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/>
  <xr:revisionPtr revIDLastSave="466" documentId="13_ncr:1_{76B1DF4F-2CB2-49E0-A67D-8E3B4A8632FC}" xr6:coauthVersionLast="46" xr6:coauthVersionMax="46" xr10:uidLastSave="{D6C4F572-0FBA-4D41-A3B9-E2A46339D4CB}"/>
  <bookViews>
    <workbookView xWindow="-120" yWindow="-120" windowWidth="29040" windowHeight="15840" tabRatio="838" xr2:uid="{00000000-000D-0000-FFFF-FFFF00000000}"/>
  </bookViews>
  <sheets>
    <sheet name="ПИРС-2" sheetId="4" r:id="rId1"/>
    <sheet name="мр1" sheetId="47" r:id="rId2"/>
    <sheet name="мр1-1" sheetId="61" r:id="rId3"/>
    <sheet name="мр1-2" sheetId="62" r:id="rId4"/>
    <sheet name="мр2" sheetId="63" r:id="rId5"/>
    <sheet name="мр3" sheetId="64" r:id="rId6"/>
    <sheet name="мр4" sheetId="65" r:id="rId7"/>
    <sheet name="мр5" sheetId="66" r:id="rId8"/>
    <sheet name="мр1-3" sheetId="77" r:id="rId9"/>
    <sheet name="Лист15" sheetId="75" r:id="rId10"/>
    <sheet name="материалы и работы" sheetId="79" r:id="rId11"/>
  </sheets>
  <externalReferences>
    <externalReference r:id="rId12"/>
  </externalReferences>
  <definedNames>
    <definedName name="_xlnm.Print_Area" localSheetId="1">мр1!$A$1:$G$61</definedName>
    <definedName name="_xlnm.Print_Area" localSheetId="2">'мр1-1'!$A$1:$G$60</definedName>
    <definedName name="_xlnm.Print_Area" localSheetId="3">'мр1-2'!$A$1:$G$60</definedName>
    <definedName name="_xlnm.Print_Area" localSheetId="8">'мр1-3'!$A$1:$G$61</definedName>
    <definedName name="_xlnm.Print_Area" localSheetId="4">мр2!$A$1:$G$60</definedName>
    <definedName name="_xlnm.Print_Area" localSheetId="5">мр3!$A$1:$G$66</definedName>
    <definedName name="_xlnm.Print_Area" localSheetId="6">мр4!$A$1:$G$66</definedName>
    <definedName name="_xlnm.Print_Area" localSheetId="7">мр5!$A$1:$G$61</definedName>
    <definedName name="_xlnm.Print_Area" localSheetId="0">'ПИРС-2'!$A$1:$G$86</definedName>
    <definedName name="чел" localSheetId="1">мр1!#REF!</definedName>
    <definedName name="чел" localSheetId="2">'мр1-1'!#REF!</definedName>
    <definedName name="чел" localSheetId="3">'мр1-2'!#REF!</definedName>
    <definedName name="чел" localSheetId="8">'мр1-3'!#REF!</definedName>
    <definedName name="чел" localSheetId="4">мр2!#REF!</definedName>
    <definedName name="чел" localSheetId="5">мр3!#REF!</definedName>
    <definedName name="чел" localSheetId="6">мр4!#REF!</definedName>
    <definedName name="чел" localSheetId="7">мр5!#REF!</definedName>
    <definedName name="чел" localSheetId="0">'ПИРС-2'!#REF!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4" l="1"/>
  <c r="E24" i="4"/>
  <c r="D24" i="4"/>
  <c r="C24" i="4"/>
  <c r="G27" i="4"/>
  <c r="H2" i="4" l="1"/>
  <c r="G73" i="79"/>
  <c r="G72" i="79"/>
  <c r="G21" i="79"/>
  <c r="G24" i="79" s="1"/>
  <c r="G22" i="79"/>
  <c r="H68" i="79"/>
  <c r="I68" i="79"/>
  <c r="C98" i="79"/>
  <c r="D98" i="79"/>
  <c r="C1048499" i="79"/>
  <c r="D10" i="4"/>
  <c r="G74" i="79" l="1"/>
  <c r="F15" i="4"/>
  <c r="E15" i="4"/>
  <c r="D15" i="4"/>
  <c r="F16" i="4"/>
  <c r="E16" i="4"/>
  <c r="D16" i="4"/>
  <c r="F10" i="4"/>
  <c r="F35" i="4"/>
  <c r="E35" i="4"/>
  <c r="D35" i="4"/>
  <c r="G54" i="4"/>
  <c r="G53" i="4" l="1"/>
  <c r="G55" i="4"/>
  <c r="G48" i="4" l="1"/>
  <c r="C39" i="4"/>
  <c r="G38" i="4"/>
  <c r="C35" i="4"/>
  <c r="C30" i="4"/>
  <c r="C21" i="4"/>
  <c r="C18" i="4"/>
  <c r="C14" i="4"/>
  <c r="C9" i="4"/>
  <c r="F22" i="4"/>
  <c r="E22" i="4"/>
  <c r="D22" i="4"/>
  <c r="B8" i="75"/>
  <c r="G58" i="77"/>
  <c r="G57" i="77"/>
  <c r="G56" i="77"/>
  <c r="G55" i="77"/>
  <c r="G54" i="77"/>
  <c r="G53" i="77"/>
  <c r="G52" i="77"/>
  <c r="G51" i="77"/>
  <c r="G50" i="77"/>
  <c r="G49" i="77"/>
  <c r="G48" i="77"/>
  <c r="G47" i="77"/>
  <c r="G46" i="77"/>
  <c r="G45" i="77"/>
  <c r="G44" i="77"/>
  <c r="G38" i="77"/>
  <c r="G37" i="77"/>
  <c r="G36" i="77"/>
  <c r="F36" i="77"/>
  <c r="E36" i="77"/>
  <c r="D36" i="77"/>
  <c r="C36" i="77"/>
  <c r="G35" i="77"/>
  <c r="C34" i="77"/>
  <c r="G28" i="77"/>
  <c r="G27" i="77"/>
  <c r="F26" i="77"/>
  <c r="E26" i="77"/>
  <c r="D26" i="77"/>
  <c r="C26" i="77"/>
  <c r="G26" i="77" s="1"/>
  <c r="I25" i="77"/>
  <c r="M25" i="77" s="1"/>
  <c r="I24" i="77"/>
  <c r="M24" i="77" s="1"/>
  <c r="D24" i="77" s="1"/>
  <c r="I22" i="77"/>
  <c r="M22" i="77" s="1"/>
  <c r="D41" i="77" s="1"/>
  <c r="M21" i="77"/>
  <c r="I21" i="77"/>
  <c r="Y18" i="77"/>
  <c r="U18" i="77" s="1"/>
  <c r="S18" i="77"/>
  <c r="O18" i="77" s="1"/>
  <c r="M18" i="77"/>
  <c r="I18" i="77" s="1"/>
  <c r="Y17" i="77"/>
  <c r="U17" i="77" s="1"/>
  <c r="F16" i="77" s="1"/>
  <c r="S17" i="77"/>
  <c r="O17" i="77"/>
  <c r="M17" i="77"/>
  <c r="I17" i="77"/>
  <c r="Y15" i="77"/>
  <c r="U15" i="77" s="1"/>
  <c r="S15" i="77"/>
  <c r="O15" i="77" s="1"/>
  <c r="M15" i="77"/>
  <c r="I15" i="77" s="1"/>
  <c r="Y14" i="77"/>
  <c r="U14" i="77" s="1"/>
  <c r="O14" i="77"/>
  <c r="I14" i="77"/>
  <c r="Y13" i="77"/>
  <c r="U13" i="77" s="1"/>
  <c r="O13" i="77"/>
  <c r="I13" i="77"/>
  <c r="D33" i="77"/>
  <c r="G12" i="77"/>
  <c r="G11" i="77"/>
  <c r="Y10" i="77"/>
  <c r="U10" i="77" s="1"/>
  <c r="F32" i="77" s="1"/>
  <c r="S10" i="77"/>
  <c r="O10" i="77" s="1"/>
  <c r="M10" i="77"/>
  <c r="I10" i="77" s="1"/>
  <c r="I25" i="47"/>
  <c r="M25" i="47" s="1"/>
  <c r="I24" i="47"/>
  <c r="M24" i="47" s="1"/>
  <c r="I22" i="47"/>
  <c r="M22" i="47" s="1"/>
  <c r="I21" i="47"/>
  <c r="M21" i="47" s="1"/>
  <c r="Y18" i="47"/>
  <c r="U18" i="47"/>
  <c r="S18" i="47"/>
  <c r="O18" i="47"/>
  <c r="M18" i="47"/>
  <c r="I18" i="47"/>
  <c r="Y17" i="47"/>
  <c r="U17" i="47"/>
  <c r="S17" i="47"/>
  <c r="O17" i="47"/>
  <c r="M17" i="47"/>
  <c r="I17" i="47"/>
  <c r="Y15" i="47"/>
  <c r="U15" i="47"/>
  <c r="S15" i="47"/>
  <c r="O15" i="47"/>
  <c r="M15" i="47"/>
  <c r="I15" i="47"/>
  <c r="Y14" i="47"/>
  <c r="U14" i="47"/>
  <c r="O14" i="47"/>
  <c r="I14" i="47"/>
  <c r="Y13" i="47"/>
  <c r="U13" i="47"/>
  <c r="O13" i="47"/>
  <c r="I13" i="47"/>
  <c r="Y10" i="47"/>
  <c r="U10" i="47"/>
  <c r="S10" i="47"/>
  <c r="O10" i="47"/>
  <c r="M10" i="47"/>
  <c r="I10" i="47"/>
  <c r="C9" i="77" l="1"/>
  <c r="E33" i="77"/>
  <c r="E16" i="77"/>
  <c r="E25" i="77"/>
  <c r="C25" i="77"/>
  <c r="E32" i="77"/>
  <c r="C33" i="77"/>
  <c r="G15" i="77"/>
  <c r="E20" i="77"/>
  <c r="E41" i="77"/>
  <c r="D43" i="77"/>
  <c r="D42" i="77" s="1"/>
  <c r="E24" i="77"/>
  <c r="C24" i="77"/>
  <c r="F34" i="77"/>
  <c r="D34" i="77"/>
  <c r="E40" i="77"/>
  <c r="E39" i="77" s="1"/>
  <c r="G10" i="77"/>
  <c r="G14" i="77"/>
  <c r="D16" i="77"/>
  <c r="G17" i="77"/>
  <c r="F41" i="77"/>
  <c r="F24" i="77"/>
  <c r="F25" i="77"/>
  <c r="D25" i="77"/>
  <c r="D23" i="77" s="1"/>
  <c r="C32" i="77"/>
  <c r="E34" i="77"/>
  <c r="C40" i="77"/>
  <c r="G34" i="77" l="1"/>
  <c r="E9" i="77"/>
  <c r="F23" i="77"/>
  <c r="F43" i="77"/>
  <c r="F42" i="77" s="1"/>
  <c r="D40" i="77"/>
  <c r="D39" i="77" s="1"/>
  <c r="D20" i="77"/>
  <c r="G21" i="77"/>
  <c r="G18" i="77"/>
  <c r="C16" i="77"/>
  <c r="F33" i="77"/>
  <c r="F31" i="77" s="1"/>
  <c r="F9" i="77"/>
  <c r="C43" i="77"/>
  <c r="G24" i="77"/>
  <c r="C23" i="77"/>
  <c r="C41" i="77"/>
  <c r="G41" i="77" s="1"/>
  <c r="G22" i="77"/>
  <c r="G13" i="77"/>
  <c r="G9" i="77" s="1"/>
  <c r="G25" i="77"/>
  <c r="C39" i="77"/>
  <c r="C31" i="77"/>
  <c r="F40" i="77"/>
  <c r="F39" i="77" s="1"/>
  <c r="F20" i="77"/>
  <c r="C20" i="77"/>
  <c r="G16" i="77"/>
  <c r="D32" i="77"/>
  <c r="D31" i="77" s="1"/>
  <c r="D59" i="77" s="1"/>
  <c r="D9" i="77"/>
  <c r="D29" i="77" s="1"/>
  <c r="E43" i="77"/>
  <c r="E42" i="77" s="1"/>
  <c r="E23" i="77"/>
  <c r="E31" i="77"/>
  <c r="E59" i="77" s="1"/>
  <c r="G40" i="77" l="1"/>
  <c r="G39" i="77" s="1"/>
  <c r="F59" i="77"/>
  <c r="E29" i="77"/>
  <c r="E60" i="77" s="1"/>
  <c r="D60" i="77"/>
  <c r="G32" i="77"/>
  <c r="G43" i="77"/>
  <c r="C42" i="77"/>
  <c r="G42" i="77" s="1"/>
  <c r="G33" i="77"/>
  <c r="C59" i="77"/>
  <c r="G23" i="77"/>
  <c r="F29" i="77"/>
  <c r="C29" i="77"/>
  <c r="G20" i="77"/>
  <c r="F60" i="77" l="1"/>
  <c r="G31" i="77"/>
  <c r="G59" i="77" s="1"/>
  <c r="C60" i="77"/>
  <c r="G29" i="77"/>
  <c r="G60" i="77" l="1"/>
  <c r="G61" i="77" s="1"/>
  <c r="F36" i="66"/>
  <c r="E36" i="66"/>
  <c r="D36" i="66"/>
  <c r="C36" i="66"/>
  <c r="C34" i="66"/>
  <c r="F34" i="66" s="1"/>
  <c r="F26" i="66"/>
  <c r="E26" i="66"/>
  <c r="D26" i="66"/>
  <c r="C26" i="66"/>
  <c r="F24" i="66"/>
  <c r="F43" i="66" s="1"/>
  <c r="F42" i="66" s="1"/>
  <c r="D24" i="66"/>
  <c r="D43" i="66" s="1"/>
  <c r="D42" i="66" s="1"/>
  <c r="F22" i="66"/>
  <c r="F41" i="66" s="1"/>
  <c r="E22" i="66"/>
  <c r="E41" i="66" s="1"/>
  <c r="D22" i="66"/>
  <c r="D41" i="66" s="1"/>
  <c r="C22" i="66"/>
  <c r="C41" i="66" s="1"/>
  <c r="F18" i="66"/>
  <c r="E18" i="66"/>
  <c r="D18" i="66"/>
  <c r="C18" i="66"/>
  <c r="F17" i="66"/>
  <c r="E17" i="66"/>
  <c r="D17" i="66"/>
  <c r="C17" i="66"/>
  <c r="F16" i="66"/>
  <c r="E16" i="66"/>
  <c r="D16" i="66"/>
  <c r="C16" i="66"/>
  <c r="F15" i="66"/>
  <c r="E15" i="66"/>
  <c r="D15" i="66"/>
  <c r="C15" i="66"/>
  <c r="F14" i="66"/>
  <c r="E14" i="66"/>
  <c r="D14" i="66"/>
  <c r="C14" i="66"/>
  <c r="F13" i="66"/>
  <c r="F33" i="66" s="1"/>
  <c r="E13" i="66"/>
  <c r="E33" i="66" s="1"/>
  <c r="D13" i="66"/>
  <c r="D33" i="66" s="1"/>
  <c r="C13" i="66"/>
  <c r="C33" i="66" s="1"/>
  <c r="F10" i="66"/>
  <c r="F32" i="66" s="1"/>
  <c r="E10" i="66"/>
  <c r="E32" i="66" s="1"/>
  <c r="D10" i="66"/>
  <c r="D32" i="66" s="1"/>
  <c r="C10" i="66"/>
  <c r="C32" i="66" s="1"/>
  <c r="F36" i="65"/>
  <c r="E36" i="65"/>
  <c r="D36" i="65"/>
  <c r="C36" i="65"/>
  <c r="C34" i="65"/>
  <c r="F34" i="65" s="1"/>
  <c r="F26" i="65"/>
  <c r="E26" i="65"/>
  <c r="D26" i="65"/>
  <c r="C26" i="65"/>
  <c r="F22" i="65"/>
  <c r="F41" i="65" s="1"/>
  <c r="E22" i="65"/>
  <c r="E41" i="65" s="1"/>
  <c r="D22" i="65"/>
  <c r="D41" i="65" s="1"/>
  <c r="C22" i="65"/>
  <c r="C41" i="65" s="1"/>
  <c r="D21" i="65"/>
  <c r="D40" i="65" s="1"/>
  <c r="D39" i="65" s="1"/>
  <c r="F18" i="65"/>
  <c r="E18" i="65"/>
  <c r="D18" i="65"/>
  <c r="C18" i="65"/>
  <c r="F17" i="65"/>
  <c r="E17" i="65"/>
  <c r="D17" i="65"/>
  <c r="C17" i="65"/>
  <c r="F16" i="65"/>
  <c r="E16" i="65"/>
  <c r="D16" i="65"/>
  <c r="C16" i="65"/>
  <c r="F15" i="65"/>
  <c r="E15" i="65"/>
  <c r="D15" i="65"/>
  <c r="C15" i="65"/>
  <c r="F14" i="65"/>
  <c r="E14" i="65"/>
  <c r="D14" i="65"/>
  <c r="C14" i="65"/>
  <c r="F13" i="65"/>
  <c r="F33" i="65" s="1"/>
  <c r="E13" i="65"/>
  <c r="E33" i="65" s="1"/>
  <c r="D13" i="65"/>
  <c r="D33" i="65" s="1"/>
  <c r="C13" i="65"/>
  <c r="C33" i="65" s="1"/>
  <c r="F10" i="65"/>
  <c r="F32" i="65" s="1"/>
  <c r="E10" i="65"/>
  <c r="E32" i="65" s="1"/>
  <c r="D10" i="65"/>
  <c r="D32" i="65" s="1"/>
  <c r="C10" i="65"/>
  <c r="C32" i="65" s="1"/>
  <c r="F36" i="64"/>
  <c r="E36" i="64"/>
  <c r="D36" i="64"/>
  <c r="C36" i="64"/>
  <c r="C34" i="64"/>
  <c r="F34" i="64" s="1"/>
  <c r="F26" i="64"/>
  <c r="E26" i="64"/>
  <c r="D26" i="64"/>
  <c r="C26" i="64"/>
  <c r="F24" i="64"/>
  <c r="F43" i="64" s="1"/>
  <c r="F42" i="64" s="1"/>
  <c r="D24" i="64"/>
  <c r="D43" i="64" s="1"/>
  <c r="D42" i="64" s="1"/>
  <c r="F22" i="64"/>
  <c r="F41" i="64" s="1"/>
  <c r="E22" i="64"/>
  <c r="E41" i="64" s="1"/>
  <c r="D22" i="64"/>
  <c r="D41" i="64" s="1"/>
  <c r="C22" i="64"/>
  <c r="C41" i="64" s="1"/>
  <c r="E21" i="64"/>
  <c r="E40" i="64" s="1"/>
  <c r="E39" i="64" s="1"/>
  <c r="D21" i="64"/>
  <c r="D40" i="64" s="1"/>
  <c r="D39" i="64" s="1"/>
  <c r="E20" i="64"/>
  <c r="F18" i="64"/>
  <c r="E18" i="64"/>
  <c r="D18" i="64"/>
  <c r="C18" i="64"/>
  <c r="F17" i="64"/>
  <c r="E17" i="64"/>
  <c r="D17" i="64"/>
  <c r="C17" i="64"/>
  <c r="F16" i="64"/>
  <c r="E16" i="64"/>
  <c r="D16" i="64"/>
  <c r="C16" i="64"/>
  <c r="F15" i="64"/>
  <c r="E15" i="64"/>
  <c r="D15" i="64"/>
  <c r="C15" i="64"/>
  <c r="F14" i="64"/>
  <c r="E14" i="64"/>
  <c r="D14" i="64"/>
  <c r="C14" i="64"/>
  <c r="F13" i="64"/>
  <c r="F33" i="64" s="1"/>
  <c r="E13" i="64"/>
  <c r="E33" i="64" s="1"/>
  <c r="D13" i="64"/>
  <c r="D33" i="64" s="1"/>
  <c r="C13" i="64"/>
  <c r="C33" i="64" s="1"/>
  <c r="F10" i="64"/>
  <c r="F32" i="64" s="1"/>
  <c r="E10" i="64"/>
  <c r="E32" i="64" s="1"/>
  <c r="D10" i="64"/>
  <c r="D32" i="64" s="1"/>
  <c r="C10" i="64"/>
  <c r="C32" i="64" s="1"/>
  <c r="F36" i="63"/>
  <c r="E36" i="63"/>
  <c r="D36" i="63"/>
  <c r="C36" i="63"/>
  <c r="C34" i="63"/>
  <c r="F34" i="63" s="1"/>
  <c r="F26" i="63"/>
  <c r="E26" i="63"/>
  <c r="D26" i="63"/>
  <c r="C26" i="63"/>
  <c r="E24" i="63"/>
  <c r="E43" i="63" s="1"/>
  <c r="E42" i="63" s="1"/>
  <c r="C24" i="63"/>
  <c r="C43" i="63" s="1"/>
  <c r="C42" i="63" s="1"/>
  <c r="F22" i="63"/>
  <c r="F41" i="63" s="1"/>
  <c r="E22" i="63"/>
  <c r="E41" i="63" s="1"/>
  <c r="D22" i="63"/>
  <c r="D41" i="63" s="1"/>
  <c r="C22" i="63"/>
  <c r="C41" i="63" s="1"/>
  <c r="F18" i="63"/>
  <c r="E18" i="63"/>
  <c r="D18" i="63"/>
  <c r="C18" i="63"/>
  <c r="F17" i="63"/>
  <c r="E17" i="63"/>
  <c r="D17" i="63"/>
  <c r="C17" i="63"/>
  <c r="F16" i="63"/>
  <c r="E16" i="63"/>
  <c r="D16" i="63"/>
  <c r="C16" i="63"/>
  <c r="F15" i="63"/>
  <c r="E15" i="63"/>
  <c r="D15" i="63"/>
  <c r="C15" i="63"/>
  <c r="F14" i="63"/>
  <c r="E14" i="63"/>
  <c r="D14" i="63"/>
  <c r="C14" i="63"/>
  <c r="F13" i="63"/>
  <c r="F33" i="63" s="1"/>
  <c r="E13" i="63"/>
  <c r="E33" i="63" s="1"/>
  <c r="D13" i="63"/>
  <c r="D33" i="63" s="1"/>
  <c r="C13" i="63"/>
  <c r="C33" i="63" s="1"/>
  <c r="F10" i="63"/>
  <c r="F32" i="63" s="1"/>
  <c r="E10" i="63"/>
  <c r="E32" i="63" s="1"/>
  <c r="D10" i="63"/>
  <c r="D32" i="63" s="1"/>
  <c r="C10" i="63"/>
  <c r="C32" i="63" s="1"/>
  <c r="F36" i="62"/>
  <c r="E36" i="62"/>
  <c r="D36" i="62"/>
  <c r="C36" i="62"/>
  <c r="C34" i="62"/>
  <c r="F34" i="62" s="1"/>
  <c r="F26" i="62"/>
  <c r="E26" i="62"/>
  <c r="D26" i="62"/>
  <c r="C26" i="62"/>
  <c r="F22" i="62"/>
  <c r="F41" i="62" s="1"/>
  <c r="E22" i="62"/>
  <c r="E41" i="62" s="1"/>
  <c r="D22" i="62"/>
  <c r="D41" i="62" s="1"/>
  <c r="C22" i="62"/>
  <c r="C41" i="62" s="1"/>
  <c r="D21" i="62"/>
  <c r="D40" i="62" s="1"/>
  <c r="D39" i="62" s="1"/>
  <c r="C21" i="62"/>
  <c r="C40" i="62" s="1"/>
  <c r="C39" i="62" s="1"/>
  <c r="F18" i="62"/>
  <c r="E18" i="62"/>
  <c r="D18" i="62"/>
  <c r="C18" i="62"/>
  <c r="F17" i="62"/>
  <c r="E17" i="62"/>
  <c r="D17" i="62"/>
  <c r="C17" i="62"/>
  <c r="F16" i="62"/>
  <c r="E16" i="62"/>
  <c r="D16" i="62"/>
  <c r="C16" i="62"/>
  <c r="F15" i="62"/>
  <c r="E15" i="62"/>
  <c r="D15" i="62"/>
  <c r="C15" i="62"/>
  <c r="F14" i="62"/>
  <c r="E14" i="62"/>
  <c r="D14" i="62"/>
  <c r="C14" i="62"/>
  <c r="F13" i="62"/>
  <c r="F33" i="62" s="1"/>
  <c r="E13" i="62"/>
  <c r="E33" i="62" s="1"/>
  <c r="D13" i="62"/>
  <c r="D33" i="62" s="1"/>
  <c r="C13" i="62"/>
  <c r="C33" i="62" s="1"/>
  <c r="F10" i="62"/>
  <c r="F32" i="62" s="1"/>
  <c r="E10" i="62"/>
  <c r="E32" i="62" s="1"/>
  <c r="D10" i="62"/>
  <c r="D32" i="62" s="1"/>
  <c r="C10" i="62"/>
  <c r="C32" i="62" s="1"/>
  <c r="F36" i="61"/>
  <c r="E36" i="61"/>
  <c r="D36" i="61"/>
  <c r="C36" i="61"/>
  <c r="C34" i="61"/>
  <c r="F34" i="61" s="1"/>
  <c r="F26" i="61"/>
  <c r="E26" i="61"/>
  <c r="D26" i="61"/>
  <c r="C26" i="61"/>
  <c r="F22" i="61"/>
  <c r="F41" i="61" s="1"/>
  <c r="E22" i="61"/>
  <c r="E41" i="61" s="1"/>
  <c r="D22" i="61"/>
  <c r="D41" i="61" s="1"/>
  <c r="C22" i="61"/>
  <c r="C41" i="61" s="1"/>
  <c r="F18" i="61"/>
  <c r="E18" i="61"/>
  <c r="D18" i="61"/>
  <c r="C18" i="61"/>
  <c r="F17" i="61"/>
  <c r="E17" i="61"/>
  <c r="D17" i="61"/>
  <c r="C17" i="61"/>
  <c r="F16" i="61"/>
  <c r="E16" i="61"/>
  <c r="D16" i="61"/>
  <c r="C16" i="61"/>
  <c r="F15" i="61"/>
  <c r="E15" i="61"/>
  <c r="D15" i="61"/>
  <c r="C15" i="61"/>
  <c r="F14" i="61"/>
  <c r="E14" i="61"/>
  <c r="D14" i="61"/>
  <c r="C14" i="61"/>
  <c r="F13" i="61"/>
  <c r="F33" i="61" s="1"/>
  <c r="E13" i="61"/>
  <c r="E33" i="61" s="1"/>
  <c r="D13" i="61"/>
  <c r="D33" i="61" s="1"/>
  <c r="C13" i="61"/>
  <c r="C33" i="61" s="1"/>
  <c r="F10" i="61"/>
  <c r="F32" i="61" s="1"/>
  <c r="E10" i="61"/>
  <c r="E32" i="61" s="1"/>
  <c r="D10" i="61"/>
  <c r="D32" i="61" s="1"/>
  <c r="C10" i="61"/>
  <c r="C32" i="61" s="1"/>
  <c r="C34" i="47"/>
  <c r="F34" i="47" s="1"/>
  <c r="F25" i="47"/>
  <c r="E25" i="47"/>
  <c r="D25" i="47"/>
  <c r="C25" i="47"/>
  <c r="F24" i="47"/>
  <c r="E24" i="47"/>
  <c r="D24" i="47"/>
  <c r="C24" i="47"/>
  <c r="F22" i="47"/>
  <c r="F41" i="47" s="1"/>
  <c r="E22" i="47"/>
  <c r="E41" i="47" s="1"/>
  <c r="D22" i="47"/>
  <c r="D41" i="47" s="1"/>
  <c r="C22" i="47"/>
  <c r="C41" i="47" s="1"/>
  <c r="F21" i="47"/>
  <c r="F40" i="47" s="1"/>
  <c r="E21" i="47"/>
  <c r="E40" i="47" s="1"/>
  <c r="D21" i="47"/>
  <c r="D40" i="47" s="1"/>
  <c r="C21" i="47"/>
  <c r="C40" i="47" s="1"/>
  <c r="F18" i="47"/>
  <c r="E18" i="47"/>
  <c r="D18" i="47"/>
  <c r="C18" i="47"/>
  <c r="F17" i="47"/>
  <c r="E17" i="47"/>
  <c r="D17" i="47"/>
  <c r="C17" i="47"/>
  <c r="F15" i="47"/>
  <c r="E15" i="47"/>
  <c r="D15" i="47"/>
  <c r="C15" i="47"/>
  <c r="F14" i="47"/>
  <c r="E14" i="47"/>
  <c r="D14" i="47"/>
  <c r="C14" i="47"/>
  <c r="F13" i="47"/>
  <c r="F33" i="47" s="1"/>
  <c r="E13" i="47"/>
  <c r="E33" i="47" s="1"/>
  <c r="D13" i="47"/>
  <c r="D33" i="47" s="1"/>
  <c r="C13" i="47"/>
  <c r="C33" i="47" s="1"/>
  <c r="F10" i="47"/>
  <c r="F32" i="47" s="1"/>
  <c r="E10" i="47"/>
  <c r="E32" i="47" s="1"/>
  <c r="D10" i="47"/>
  <c r="D32" i="47" s="1"/>
  <c r="C10" i="47"/>
  <c r="C32" i="47" s="1"/>
  <c r="I25" i="66"/>
  <c r="M25" i="66" s="1"/>
  <c r="E25" i="66" s="1"/>
  <c r="I24" i="66"/>
  <c r="M24" i="66" s="1"/>
  <c r="E24" i="66" s="1"/>
  <c r="I22" i="66"/>
  <c r="M22" i="66" s="1"/>
  <c r="I21" i="66"/>
  <c r="M21" i="66" s="1"/>
  <c r="D21" i="66" s="1"/>
  <c r="Y18" i="66"/>
  <c r="U18" i="66"/>
  <c r="S18" i="66"/>
  <c r="O18" i="66"/>
  <c r="M18" i="66"/>
  <c r="I18" i="66"/>
  <c r="Y17" i="66"/>
  <c r="U17" i="66"/>
  <c r="S17" i="66"/>
  <c r="O17" i="66"/>
  <c r="M17" i="66"/>
  <c r="I17" i="66"/>
  <c r="Y15" i="66"/>
  <c r="U15" i="66"/>
  <c r="S15" i="66"/>
  <c r="O15" i="66"/>
  <c r="M15" i="66"/>
  <c r="I15" i="66"/>
  <c r="Y14" i="66"/>
  <c r="U14" i="66"/>
  <c r="O14" i="66"/>
  <c r="I14" i="66"/>
  <c r="Y13" i="66"/>
  <c r="U13" i="66"/>
  <c r="O13" i="66"/>
  <c r="I13" i="66"/>
  <c r="Y10" i="66"/>
  <c r="U10" i="66"/>
  <c r="S10" i="66"/>
  <c r="O10" i="66"/>
  <c r="M10" i="66"/>
  <c r="I10" i="66"/>
  <c r="I25" i="65"/>
  <c r="M25" i="65" s="1"/>
  <c r="F25" i="65" s="1"/>
  <c r="I24" i="65"/>
  <c r="M24" i="65" s="1"/>
  <c r="F24" i="65" s="1"/>
  <c r="I22" i="65"/>
  <c r="M22" i="65" s="1"/>
  <c r="I21" i="65"/>
  <c r="M21" i="65" s="1"/>
  <c r="E21" i="65" s="1"/>
  <c r="Y18" i="65"/>
  <c r="U18" i="65"/>
  <c r="S18" i="65"/>
  <c r="O18" i="65"/>
  <c r="M18" i="65"/>
  <c r="I18" i="65"/>
  <c r="Y17" i="65"/>
  <c r="U17" i="65"/>
  <c r="S17" i="65"/>
  <c r="O17" i="65"/>
  <c r="M17" i="65"/>
  <c r="I17" i="65"/>
  <c r="Y15" i="65"/>
  <c r="U15" i="65"/>
  <c r="S15" i="65"/>
  <c r="O15" i="65"/>
  <c r="M15" i="65"/>
  <c r="I15" i="65"/>
  <c r="Y14" i="65"/>
  <c r="U14" i="65"/>
  <c r="O14" i="65"/>
  <c r="I14" i="65"/>
  <c r="Y13" i="65"/>
  <c r="U13" i="65"/>
  <c r="O13" i="65"/>
  <c r="I13" i="65"/>
  <c r="Y10" i="65"/>
  <c r="U10" i="65"/>
  <c r="S10" i="65"/>
  <c r="O10" i="65"/>
  <c r="M10" i="65"/>
  <c r="I10" i="65"/>
  <c r="I25" i="64"/>
  <c r="M25" i="64" s="1"/>
  <c r="E25" i="64" s="1"/>
  <c r="I24" i="64"/>
  <c r="M24" i="64" s="1"/>
  <c r="E24" i="64" s="1"/>
  <c r="I22" i="64"/>
  <c r="M22" i="64" s="1"/>
  <c r="I21" i="64"/>
  <c r="M21" i="64" s="1"/>
  <c r="F21" i="64" s="1"/>
  <c r="Y18" i="64"/>
  <c r="U18" i="64"/>
  <c r="S18" i="64"/>
  <c r="O18" i="64"/>
  <c r="M18" i="64"/>
  <c r="I18" i="64"/>
  <c r="Y17" i="64"/>
  <c r="U17" i="64"/>
  <c r="S17" i="64"/>
  <c r="O17" i="64"/>
  <c r="M17" i="64"/>
  <c r="I17" i="64"/>
  <c r="Y15" i="64"/>
  <c r="U15" i="64"/>
  <c r="S15" i="64"/>
  <c r="O15" i="64"/>
  <c r="M15" i="64"/>
  <c r="I15" i="64"/>
  <c r="Y14" i="64"/>
  <c r="U14" i="64"/>
  <c r="O14" i="64"/>
  <c r="I14" i="64"/>
  <c r="Y13" i="64"/>
  <c r="U13" i="64"/>
  <c r="O13" i="64"/>
  <c r="I13" i="64"/>
  <c r="Y10" i="64"/>
  <c r="U10" i="64"/>
  <c r="S10" i="64"/>
  <c r="O10" i="64"/>
  <c r="M10" i="64"/>
  <c r="I10" i="64"/>
  <c r="I25" i="63"/>
  <c r="M25" i="63" s="1"/>
  <c r="F25" i="63" s="1"/>
  <c r="I24" i="63"/>
  <c r="M24" i="63" s="1"/>
  <c r="F24" i="63" s="1"/>
  <c r="I22" i="63"/>
  <c r="M22" i="63" s="1"/>
  <c r="I21" i="63"/>
  <c r="M21" i="63" s="1"/>
  <c r="E21" i="63" s="1"/>
  <c r="Y18" i="63"/>
  <c r="U18" i="63"/>
  <c r="S18" i="63"/>
  <c r="O18" i="63"/>
  <c r="M18" i="63"/>
  <c r="I18" i="63"/>
  <c r="Y17" i="63"/>
  <c r="U17" i="63"/>
  <c r="S17" i="63"/>
  <c r="O17" i="63"/>
  <c r="M17" i="63"/>
  <c r="I17" i="63"/>
  <c r="Y15" i="63"/>
  <c r="U15" i="63"/>
  <c r="S15" i="63"/>
  <c r="O15" i="63"/>
  <c r="M15" i="63"/>
  <c r="I15" i="63"/>
  <c r="Y14" i="63"/>
  <c r="U14" i="63"/>
  <c r="O14" i="63"/>
  <c r="I14" i="63"/>
  <c r="Y13" i="63"/>
  <c r="U13" i="63"/>
  <c r="O13" i="63"/>
  <c r="I13" i="63"/>
  <c r="Y10" i="63"/>
  <c r="U10" i="63"/>
  <c r="S10" i="63"/>
  <c r="O10" i="63"/>
  <c r="M10" i="63"/>
  <c r="I10" i="63"/>
  <c r="I25" i="62"/>
  <c r="M25" i="62" s="1"/>
  <c r="E25" i="62" s="1"/>
  <c r="I24" i="62"/>
  <c r="M24" i="62" s="1"/>
  <c r="E24" i="62" s="1"/>
  <c r="I22" i="62"/>
  <c r="M22" i="62" s="1"/>
  <c r="I21" i="62"/>
  <c r="M21" i="62" s="1"/>
  <c r="F21" i="62" s="1"/>
  <c r="Y18" i="62"/>
  <c r="U18" i="62"/>
  <c r="S18" i="62"/>
  <c r="O18" i="62"/>
  <c r="M18" i="62"/>
  <c r="I18" i="62"/>
  <c r="Y17" i="62"/>
  <c r="U17" i="62"/>
  <c r="S17" i="62"/>
  <c r="O17" i="62"/>
  <c r="M17" i="62"/>
  <c r="I17" i="62"/>
  <c r="Y15" i="62"/>
  <c r="U15" i="62"/>
  <c r="S15" i="62"/>
  <c r="O15" i="62"/>
  <c r="M15" i="62"/>
  <c r="I15" i="62"/>
  <c r="Y14" i="62"/>
  <c r="U14" i="62"/>
  <c r="O14" i="62"/>
  <c r="I14" i="62"/>
  <c r="Y13" i="62"/>
  <c r="U13" i="62"/>
  <c r="O13" i="62"/>
  <c r="I13" i="62"/>
  <c r="Y10" i="62"/>
  <c r="U10" i="62"/>
  <c r="S10" i="62"/>
  <c r="O10" i="62"/>
  <c r="M10" i="62"/>
  <c r="I10" i="62"/>
  <c r="I25" i="61"/>
  <c r="M25" i="61" s="1"/>
  <c r="F25" i="61" s="1"/>
  <c r="I24" i="61"/>
  <c r="M24" i="61" s="1"/>
  <c r="F24" i="61" s="1"/>
  <c r="I22" i="61"/>
  <c r="M22" i="61" s="1"/>
  <c r="I21" i="61"/>
  <c r="M21" i="61" s="1"/>
  <c r="F21" i="61" s="1"/>
  <c r="Y18" i="61"/>
  <c r="U18" i="61"/>
  <c r="S18" i="61"/>
  <c r="O18" i="61"/>
  <c r="M18" i="61"/>
  <c r="I18" i="61"/>
  <c r="Y17" i="61"/>
  <c r="U17" i="61"/>
  <c r="S17" i="61"/>
  <c r="O17" i="61"/>
  <c r="M17" i="61"/>
  <c r="I17" i="61"/>
  <c r="Y15" i="61"/>
  <c r="U15" i="61"/>
  <c r="S15" i="61"/>
  <c r="O15" i="61"/>
  <c r="M15" i="61"/>
  <c r="I15" i="61"/>
  <c r="Y14" i="61"/>
  <c r="U14" i="61"/>
  <c r="O14" i="61"/>
  <c r="I14" i="61"/>
  <c r="Y13" i="61"/>
  <c r="U13" i="61"/>
  <c r="O13" i="61"/>
  <c r="I13" i="61"/>
  <c r="Y10" i="61"/>
  <c r="U10" i="61"/>
  <c r="S10" i="61"/>
  <c r="O10" i="61"/>
  <c r="M10" i="61"/>
  <c r="I10" i="61"/>
  <c r="B9" i="75"/>
  <c r="H1" i="4" s="1"/>
  <c r="B2" i="75"/>
  <c r="B4" i="75"/>
  <c r="B7" i="75"/>
  <c r="D40" i="66" l="1"/>
  <c r="D39" i="66" s="1"/>
  <c r="D20" i="66"/>
  <c r="E21" i="66"/>
  <c r="F21" i="66"/>
  <c r="C21" i="66"/>
  <c r="E40" i="65"/>
  <c r="E39" i="65" s="1"/>
  <c r="E20" i="65"/>
  <c r="D20" i="65"/>
  <c r="F21" i="65"/>
  <c r="C21" i="65"/>
  <c r="F40" i="64"/>
  <c r="F39" i="64" s="1"/>
  <c r="F20" i="64"/>
  <c r="C21" i="64"/>
  <c r="D20" i="64"/>
  <c r="E40" i="63"/>
  <c r="E39" i="63" s="1"/>
  <c r="E20" i="63"/>
  <c r="F21" i="63"/>
  <c r="C21" i="63"/>
  <c r="D21" i="63"/>
  <c r="F40" i="62"/>
  <c r="F39" i="62" s="1"/>
  <c r="F20" i="62"/>
  <c r="E21" i="62"/>
  <c r="C20" i="62"/>
  <c r="D20" i="62"/>
  <c r="F40" i="61"/>
  <c r="F39" i="61" s="1"/>
  <c r="F20" i="61"/>
  <c r="C21" i="61"/>
  <c r="D21" i="61"/>
  <c r="E21" i="61"/>
  <c r="C31" i="65"/>
  <c r="F31" i="65"/>
  <c r="F31" i="61"/>
  <c r="C31" i="61"/>
  <c r="F31" i="66"/>
  <c r="C31" i="66"/>
  <c r="C31" i="62"/>
  <c r="C31" i="63"/>
  <c r="F31" i="64"/>
  <c r="F31" i="62"/>
  <c r="F31" i="63"/>
  <c r="C31" i="64"/>
  <c r="E43" i="66"/>
  <c r="E42" i="66" s="1"/>
  <c r="E23" i="66"/>
  <c r="D25" i="66"/>
  <c r="D23" i="66" s="1"/>
  <c r="F25" i="66"/>
  <c r="F23" i="66" s="1"/>
  <c r="C24" i="66"/>
  <c r="C25" i="66"/>
  <c r="F43" i="65"/>
  <c r="F42" i="65" s="1"/>
  <c r="F23" i="65"/>
  <c r="C24" i="65"/>
  <c r="E24" i="65"/>
  <c r="C25" i="65"/>
  <c r="E25" i="65"/>
  <c r="D24" i="65"/>
  <c r="D25" i="65"/>
  <c r="E43" i="64"/>
  <c r="E42" i="64" s="1"/>
  <c r="E23" i="64"/>
  <c r="D25" i="64"/>
  <c r="D23" i="64" s="1"/>
  <c r="F25" i="64"/>
  <c r="F23" i="64" s="1"/>
  <c r="C24" i="64"/>
  <c r="C25" i="64"/>
  <c r="F43" i="63"/>
  <c r="F42" i="63" s="1"/>
  <c r="F23" i="63"/>
  <c r="C25" i="63"/>
  <c r="C23" i="63" s="1"/>
  <c r="E25" i="63"/>
  <c r="E23" i="63" s="1"/>
  <c r="D24" i="63"/>
  <c r="D25" i="63"/>
  <c r="E43" i="62"/>
  <c r="E42" i="62" s="1"/>
  <c r="E23" i="62"/>
  <c r="D24" i="62"/>
  <c r="F24" i="62"/>
  <c r="D25" i="62"/>
  <c r="F25" i="62"/>
  <c r="C24" i="62"/>
  <c r="C25" i="62"/>
  <c r="F43" i="61"/>
  <c r="F42" i="61" s="1"/>
  <c r="F23" i="61"/>
  <c r="C24" i="61"/>
  <c r="E24" i="61"/>
  <c r="C25" i="61"/>
  <c r="E25" i="61"/>
  <c r="D24" i="61"/>
  <c r="D25" i="61"/>
  <c r="E34" i="66"/>
  <c r="E31" i="66" s="1"/>
  <c r="D34" i="66"/>
  <c r="D31" i="66" s="1"/>
  <c r="E34" i="65"/>
  <c r="E31" i="65" s="1"/>
  <c r="D34" i="65"/>
  <c r="D31" i="65" s="1"/>
  <c r="E34" i="64"/>
  <c r="E31" i="64" s="1"/>
  <c r="D34" i="64"/>
  <c r="D31" i="64" s="1"/>
  <c r="E34" i="63"/>
  <c r="E31" i="63" s="1"/>
  <c r="D34" i="63"/>
  <c r="D31" i="63" s="1"/>
  <c r="E34" i="62"/>
  <c r="E31" i="62" s="1"/>
  <c r="D34" i="62"/>
  <c r="D31" i="62" s="1"/>
  <c r="E34" i="61"/>
  <c r="E31" i="61" s="1"/>
  <c r="D34" i="61"/>
  <c r="D31" i="61" s="1"/>
  <c r="E34" i="47"/>
  <c r="D34" i="47"/>
  <c r="E40" i="66" l="1"/>
  <c r="E39" i="66" s="1"/>
  <c r="E20" i="66"/>
  <c r="C40" i="66"/>
  <c r="C39" i="66" s="1"/>
  <c r="C20" i="66"/>
  <c r="F40" i="66"/>
  <c r="F39" i="66" s="1"/>
  <c r="F20" i="66"/>
  <c r="C40" i="65"/>
  <c r="C39" i="65" s="1"/>
  <c r="C20" i="65"/>
  <c r="F40" i="65"/>
  <c r="F39" i="65" s="1"/>
  <c r="F20" i="65"/>
  <c r="C40" i="64"/>
  <c r="C39" i="64" s="1"/>
  <c r="C20" i="64"/>
  <c r="D40" i="63"/>
  <c r="D39" i="63" s="1"/>
  <c r="D20" i="63"/>
  <c r="C40" i="63"/>
  <c r="C39" i="63" s="1"/>
  <c r="C20" i="63"/>
  <c r="F40" i="63"/>
  <c r="F39" i="63" s="1"/>
  <c r="F20" i="63"/>
  <c r="E40" i="62"/>
  <c r="E39" i="62" s="1"/>
  <c r="E20" i="62"/>
  <c r="E40" i="61"/>
  <c r="E39" i="61" s="1"/>
  <c r="E20" i="61"/>
  <c r="D40" i="61"/>
  <c r="D39" i="61" s="1"/>
  <c r="D20" i="61"/>
  <c r="C40" i="61"/>
  <c r="C39" i="61" s="1"/>
  <c r="C20" i="61"/>
  <c r="C43" i="66"/>
  <c r="C42" i="66" s="1"/>
  <c r="C23" i="66"/>
  <c r="E43" i="65"/>
  <c r="E42" i="65" s="1"/>
  <c r="E23" i="65"/>
  <c r="D43" i="65"/>
  <c r="D42" i="65" s="1"/>
  <c r="D23" i="65"/>
  <c r="C43" i="65"/>
  <c r="C42" i="65" s="1"/>
  <c r="C23" i="65"/>
  <c r="C43" i="64"/>
  <c r="C42" i="64" s="1"/>
  <c r="C23" i="64"/>
  <c r="D43" i="63"/>
  <c r="D42" i="63" s="1"/>
  <c r="D23" i="63"/>
  <c r="F43" i="62"/>
  <c r="F42" i="62" s="1"/>
  <c r="F23" i="62"/>
  <c r="C43" i="62"/>
  <c r="C42" i="62" s="1"/>
  <c r="C23" i="62"/>
  <c r="D43" i="62"/>
  <c r="D42" i="62" s="1"/>
  <c r="D23" i="62"/>
  <c r="E43" i="61"/>
  <c r="E42" i="61" s="1"/>
  <c r="E23" i="61"/>
  <c r="D43" i="61"/>
  <c r="D42" i="61" s="1"/>
  <c r="D23" i="61"/>
  <c r="C43" i="61"/>
  <c r="C42" i="61" s="1"/>
  <c r="C23" i="61"/>
  <c r="I43" i="4"/>
  <c r="J43" i="4" s="1"/>
  <c r="C85" i="4" l="1"/>
  <c r="G12" i="66" l="1"/>
  <c r="G11" i="66"/>
  <c r="G12" i="65"/>
  <c r="G11" i="65"/>
  <c r="G12" i="64"/>
  <c r="G11" i="64"/>
  <c r="G12" i="63"/>
  <c r="G11" i="63"/>
  <c r="G12" i="62"/>
  <c r="G11" i="62"/>
  <c r="G12" i="61"/>
  <c r="G11" i="61"/>
  <c r="G11" i="47"/>
  <c r="G12" i="47"/>
  <c r="D16" i="47"/>
  <c r="G15" i="64"/>
  <c r="G13" i="64"/>
  <c r="G18" i="65"/>
  <c r="G14" i="65"/>
  <c r="G13" i="65"/>
  <c r="G18" i="64" l="1"/>
  <c r="G13" i="63"/>
  <c r="G14" i="63"/>
  <c r="G15" i="63"/>
  <c r="G17" i="62"/>
  <c r="G14" i="47"/>
  <c r="G15" i="65"/>
  <c r="G14" i="64"/>
  <c r="G18" i="63"/>
  <c r="G13" i="62"/>
  <c r="G14" i="62"/>
  <c r="G15" i="62"/>
  <c r="G18" i="62"/>
  <c r="G14" i="61"/>
  <c r="G15" i="61"/>
  <c r="F16" i="47"/>
  <c r="G13" i="47"/>
  <c r="G18" i="47"/>
  <c r="E16" i="47"/>
  <c r="C16" i="47"/>
  <c r="G17" i="47"/>
  <c r="G13" i="61"/>
  <c r="G18" i="61"/>
  <c r="G17" i="61"/>
  <c r="G16" i="62"/>
  <c r="G17" i="63"/>
  <c r="G17" i="64"/>
  <c r="G16" i="64" s="1"/>
  <c r="G17" i="65"/>
  <c r="G16" i="65" s="1"/>
  <c r="G18" i="66"/>
  <c r="G13" i="66"/>
  <c r="G14" i="66"/>
  <c r="G15" i="66"/>
  <c r="G17" i="66"/>
  <c r="G16" i="66" s="1"/>
  <c r="G16" i="63" l="1"/>
  <c r="G16" i="47"/>
  <c r="G16" i="61"/>
  <c r="B3" i="75"/>
  <c r="B1" i="75"/>
  <c r="B6" i="75"/>
  <c r="B5" i="75"/>
  <c r="D43" i="4"/>
  <c r="E43" i="4"/>
  <c r="F43" i="4"/>
  <c r="G10" i="63" l="1"/>
  <c r="G9" i="63" s="1"/>
  <c r="G17" i="4"/>
  <c r="G10" i="62" l="1"/>
  <c r="G9" i="62" s="1"/>
  <c r="F85" i="4"/>
  <c r="G57" i="66"/>
  <c r="G56" i="66"/>
  <c r="G55" i="66"/>
  <c r="G54" i="66"/>
  <c r="G53" i="66"/>
  <c r="G52" i="66"/>
  <c r="G51" i="66"/>
  <c r="G50" i="66"/>
  <c r="G49" i="66"/>
  <c r="G48" i="66"/>
  <c r="G47" i="66"/>
  <c r="G46" i="66"/>
  <c r="G45" i="66"/>
  <c r="G44" i="66"/>
  <c r="G38" i="66"/>
  <c r="G37" i="66"/>
  <c r="G36" i="66" s="1"/>
  <c r="G35" i="66"/>
  <c r="G28" i="66"/>
  <c r="G27" i="66"/>
  <c r="G57" i="65"/>
  <c r="G56" i="65"/>
  <c r="G55" i="65"/>
  <c r="G54" i="65"/>
  <c r="G53" i="65"/>
  <c r="G52" i="65"/>
  <c r="G51" i="65"/>
  <c r="G50" i="65"/>
  <c r="G49" i="65"/>
  <c r="G48" i="65"/>
  <c r="G47" i="65"/>
  <c r="G46" i="65"/>
  <c r="G45" i="65"/>
  <c r="G44" i="65"/>
  <c r="G38" i="65"/>
  <c r="G37" i="65"/>
  <c r="G36" i="65" s="1"/>
  <c r="G35" i="65"/>
  <c r="G28" i="65"/>
  <c r="G27" i="65"/>
  <c r="G57" i="64"/>
  <c r="G56" i="64"/>
  <c r="G55" i="64"/>
  <c r="G54" i="64"/>
  <c r="G53" i="64"/>
  <c r="G52" i="64"/>
  <c r="G51" i="64"/>
  <c r="G50" i="64"/>
  <c r="G49" i="64"/>
  <c r="G48" i="64"/>
  <c r="G47" i="64"/>
  <c r="G46" i="64"/>
  <c r="G45" i="64"/>
  <c r="G44" i="64"/>
  <c r="G38" i="64"/>
  <c r="G37" i="64"/>
  <c r="G35" i="64"/>
  <c r="G34" i="64"/>
  <c r="G28" i="64"/>
  <c r="G27" i="64"/>
  <c r="G26" i="64"/>
  <c r="G57" i="63"/>
  <c r="G56" i="63"/>
  <c r="G55" i="63"/>
  <c r="G54" i="63"/>
  <c r="G53" i="63"/>
  <c r="G52" i="63"/>
  <c r="G51" i="63"/>
  <c r="G50" i="63"/>
  <c r="G49" i="63"/>
  <c r="G48" i="63"/>
  <c r="G47" i="63"/>
  <c r="G46" i="63"/>
  <c r="G45" i="63"/>
  <c r="G44" i="63"/>
  <c r="G38" i="63"/>
  <c r="G37" i="63"/>
  <c r="G35" i="63"/>
  <c r="G34" i="63"/>
  <c r="G28" i="63"/>
  <c r="G27" i="63"/>
  <c r="G58" i="62"/>
  <c r="G57" i="62"/>
  <c r="G56" i="62"/>
  <c r="G55" i="62"/>
  <c r="G54" i="62"/>
  <c r="G53" i="62"/>
  <c r="G52" i="62"/>
  <c r="G51" i="62"/>
  <c r="G50" i="62"/>
  <c r="G49" i="62"/>
  <c r="G48" i="62"/>
  <c r="G47" i="62"/>
  <c r="G46" i="62"/>
  <c r="G45" i="62"/>
  <c r="G44" i="62"/>
  <c r="G36" i="62"/>
  <c r="G35" i="62"/>
  <c r="G28" i="62"/>
  <c r="G27" i="62"/>
  <c r="G57" i="61"/>
  <c r="G56" i="61"/>
  <c r="G55" i="61"/>
  <c r="G54" i="61"/>
  <c r="G53" i="61"/>
  <c r="G52" i="61"/>
  <c r="G51" i="61"/>
  <c r="G50" i="61"/>
  <c r="G49" i="61"/>
  <c r="G48" i="61"/>
  <c r="G47" i="61"/>
  <c r="G46" i="61"/>
  <c r="G45" i="61"/>
  <c r="G44" i="61"/>
  <c r="G38" i="61"/>
  <c r="G37" i="61"/>
  <c r="G35" i="61"/>
  <c r="G34" i="61"/>
  <c r="G28" i="61"/>
  <c r="G27" i="61"/>
  <c r="G36" i="63" l="1"/>
  <c r="D9" i="61"/>
  <c r="D29" i="61" s="1"/>
  <c r="E9" i="61"/>
  <c r="E29" i="61" s="1"/>
  <c r="G58" i="61"/>
  <c r="G26" i="61"/>
  <c r="I58" i="61" s="1"/>
  <c r="J58" i="61" s="1"/>
  <c r="G26" i="62"/>
  <c r="G26" i="63"/>
  <c r="G58" i="63"/>
  <c r="D9" i="64"/>
  <c r="D29" i="64" s="1"/>
  <c r="E9" i="64"/>
  <c r="E29" i="64" s="1"/>
  <c r="G36" i="64"/>
  <c r="G58" i="64"/>
  <c r="G58" i="65"/>
  <c r="G26" i="65"/>
  <c r="G34" i="66"/>
  <c r="G58" i="66"/>
  <c r="G26" i="66"/>
  <c r="C63" i="65"/>
  <c r="C64" i="65" s="1"/>
  <c r="E63" i="65"/>
  <c r="D14" i="4"/>
  <c r="E14" i="4"/>
  <c r="E63" i="64"/>
  <c r="E64" i="64" s="1"/>
  <c r="E12" i="4"/>
  <c r="F12" i="4"/>
  <c r="D12" i="4"/>
  <c r="D11" i="4"/>
  <c r="E11" i="4"/>
  <c r="F11" i="4"/>
  <c r="D85" i="4"/>
  <c r="E85" i="4"/>
  <c r="G21" i="66"/>
  <c r="E9" i="63"/>
  <c r="E29" i="63" s="1"/>
  <c r="C9" i="63"/>
  <c r="C29" i="63" s="1"/>
  <c r="G25" i="61"/>
  <c r="G36" i="61"/>
  <c r="G25" i="62"/>
  <c r="E9" i="66"/>
  <c r="E29" i="66" s="1"/>
  <c r="G40" i="66"/>
  <c r="G43" i="66"/>
  <c r="G33" i="66"/>
  <c r="G24" i="66"/>
  <c r="D63" i="65"/>
  <c r="E9" i="65"/>
  <c r="E29" i="65" s="1"/>
  <c r="F63" i="65"/>
  <c r="F64" i="65" s="1"/>
  <c r="E64" i="65"/>
  <c r="G24" i="65"/>
  <c r="F63" i="64"/>
  <c r="F64" i="64" s="1"/>
  <c r="D63" i="64"/>
  <c r="D64" i="64" s="1"/>
  <c r="G41" i="64"/>
  <c r="G33" i="64"/>
  <c r="F9" i="64"/>
  <c r="F29" i="64" s="1"/>
  <c r="G32" i="63"/>
  <c r="G33" i="63"/>
  <c r="F9" i="63"/>
  <c r="F29" i="63" s="1"/>
  <c r="D9" i="62"/>
  <c r="D29" i="62" s="1"/>
  <c r="F9" i="62"/>
  <c r="F29" i="62" s="1"/>
  <c r="G24" i="62"/>
  <c r="G23" i="62" s="1"/>
  <c r="E9" i="62"/>
  <c r="E29" i="62" s="1"/>
  <c r="F9" i="61"/>
  <c r="F29" i="61" s="1"/>
  <c r="G33" i="61"/>
  <c r="G22" i="64" l="1"/>
  <c r="G10" i="65"/>
  <c r="G9" i="65" s="1"/>
  <c r="G10" i="64"/>
  <c r="G9" i="64" s="1"/>
  <c r="F59" i="63"/>
  <c r="C81" i="4"/>
  <c r="C82" i="4" s="1"/>
  <c r="G21" i="61"/>
  <c r="G10" i="61"/>
  <c r="G9" i="61" s="1"/>
  <c r="C9" i="61"/>
  <c r="C29" i="61" s="1"/>
  <c r="G32" i="64"/>
  <c r="G31" i="64" s="1"/>
  <c r="G24" i="64"/>
  <c r="G42" i="66"/>
  <c r="G10" i="66"/>
  <c r="G9" i="66" s="1"/>
  <c r="G24" i="61"/>
  <c r="G23" i="61" s="1"/>
  <c r="E59" i="66"/>
  <c r="G41" i="65"/>
  <c r="G22" i="65"/>
  <c r="G21" i="64"/>
  <c r="G20" i="64" s="1"/>
  <c r="G21" i="62"/>
  <c r="D59" i="62"/>
  <c r="G22" i="61"/>
  <c r="G41" i="61"/>
  <c r="G32" i="61"/>
  <c r="G31" i="61" s="1"/>
  <c r="E59" i="65"/>
  <c r="F14" i="4"/>
  <c r="C63" i="64"/>
  <c r="C64" i="64" s="1"/>
  <c r="D9" i="63"/>
  <c r="D29" i="63" s="1"/>
  <c r="G33" i="65"/>
  <c r="F9" i="65"/>
  <c r="C9" i="64"/>
  <c r="E59" i="64"/>
  <c r="D59" i="64"/>
  <c r="G25" i="64"/>
  <c r="E59" i="63"/>
  <c r="G32" i="62"/>
  <c r="G31" i="62" s="1"/>
  <c r="G22" i="62"/>
  <c r="F59" i="62"/>
  <c r="E59" i="62"/>
  <c r="C9" i="62"/>
  <c r="C29" i="62" s="1"/>
  <c r="G43" i="63"/>
  <c r="G24" i="63"/>
  <c r="G41" i="63"/>
  <c r="G22" i="63"/>
  <c r="G21" i="63"/>
  <c r="D59" i="63"/>
  <c r="G22" i="66"/>
  <c r="G20" i="66" s="1"/>
  <c r="F59" i="66"/>
  <c r="F9" i="66"/>
  <c r="F29" i="66" s="1"/>
  <c r="D59" i="66"/>
  <c r="D9" i="66"/>
  <c r="D29" i="66" s="1"/>
  <c r="G25" i="66"/>
  <c r="G23" i="66" s="1"/>
  <c r="C9" i="66"/>
  <c r="C29" i="66" s="1"/>
  <c r="C9" i="65"/>
  <c r="C29" i="65" s="1"/>
  <c r="G21" i="65"/>
  <c r="D59" i="65"/>
  <c r="D9" i="65"/>
  <c r="D29" i="65" s="1"/>
  <c r="E65" i="65"/>
  <c r="G25" i="65"/>
  <c r="G23" i="65" s="1"/>
  <c r="G43" i="65"/>
  <c r="G42" i="65"/>
  <c r="D64" i="65"/>
  <c r="D65" i="64"/>
  <c r="D66" i="64" s="1"/>
  <c r="D67" i="64" s="1"/>
  <c r="E65" i="64"/>
  <c r="E66" i="64" s="1"/>
  <c r="F65" i="64"/>
  <c r="F66" i="64" s="1"/>
  <c r="G40" i="63"/>
  <c r="G25" i="63"/>
  <c r="G31" i="63"/>
  <c r="G42" i="63"/>
  <c r="G40" i="62"/>
  <c r="G42" i="62"/>
  <c r="G43" i="62"/>
  <c r="F59" i="61"/>
  <c r="F65" i="65" l="1"/>
  <c r="F66" i="65" s="1"/>
  <c r="F29" i="65"/>
  <c r="C65" i="64"/>
  <c r="C29" i="64"/>
  <c r="G20" i="61"/>
  <c r="G23" i="64"/>
  <c r="F60" i="63"/>
  <c r="G34" i="65"/>
  <c r="E60" i="66"/>
  <c r="F59" i="64"/>
  <c r="F60" i="64" s="1"/>
  <c r="G23" i="63"/>
  <c r="G20" i="65"/>
  <c r="D60" i="63"/>
  <c r="G20" i="62"/>
  <c r="C59" i="61"/>
  <c r="C60" i="61" s="1"/>
  <c r="E60" i="62"/>
  <c r="F59" i="65"/>
  <c r="G29" i="64"/>
  <c r="C66" i="64"/>
  <c r="C67" i="64" s="1"/>
  <c r="G42" i="64"/>
  <c r="G43" i="64"/>
  <c r="E60" i="64"/>
  <c r="F60" i="62"/>
  <c r="F60" i="61"/>
  <c r="G40" i="64"/>
  <c r="G39" i="64" s="1"/>
  <c r="E60" i="65"/>
  <c r="E66" i="65"/>
  <c r="E67" i="65" s="1"/>
  <c r="G39" i="63"/>
  <c r="G59" i="63" s="1"/>
  <c r="D60" i="62"/>
  <c r="G41" i="62"/>
  <c r="G39" i="62" s="1"/>
  <c r="G59" i="62" s="1"/>
  <c r="C59" i="62"/>
  <c r="G20" i="63"/>
  <c r="C59" i="63"/>
  <c r="E60" i="63"/>
  <c r="F60" i="66"/>
  <c r="G32" i="66"/>
  <c r="G31" i="66" s="1"/>
  <c r="D60" i="66"/>
  <c r="G41" i="66"/>
  <c r="G39" i="66" s="1"/>
  <c r="F67" i="65"/>
  <c r="C65" i="65"/>
  <c r="C66" i="65" s="1"/>
  <c r="G32" i="65"/>
  <c r="G31" i="65" s="1"/>
  <c r="D65" i="65"/>
  <c r="D66" i="65" s="1"/>
  <c r="D67" i="65" s="1"/>
  <c r="D60" i="65"/>
  <c r="G40" i="65"/>
  <c r="G39" i="65" s="1"/>
  <c r="E67" i="64"/>
  <c r="F67" i="64"/>
  <c r="D60" i="64"/>
  <c r="G43" i="61"/>
  <c r="E59" i="61"/>
  <c r="G40" i="61"/>
  <c r="G39" i="61" s="1"/>
  <c r="G59" i="66" l="1"/>
  <c r="C59" i="66"/>
  <c r="C60" i="66" s="1"/>
  <c r="G59" i="64"/>
  <c r="G60" i="64" s="1"/>
  <c r="G61" i="64" s="1"/>
  <c r="G29" i="63"/>
  <c r="G60" i="63" s="1"/>
  <c r="F60" i="65"/>
  <c r="G29" i="61"/>
  <c r="C59" i="64"/>
  <c r="C60" i="64" s="1"/>
  <c r="C60" i="62"/>
  <c r="G29" i="62"/>
  <c r="G60" i="62" s="1"/>
  <c r="C60" i="63"/>
  <c r="G29" i="66"/>
  <c r="C59" i="65"/>
  <c r="C60" i="65" s="1"/>
  <c r="G29" i="65"/>
  <c r="G59" i="65"/>
  <c r="C67" i="65"/>
  <c r="D59" i="61"/>
  <c r="D60" i="61" s="1"/>
  <c r="G42" i="61"/>
  <c r="G59" i="61" s="1"/>
  <c r="E60" i="61"/>
  <c r="G60" i="66" l="1"/>
  <c r="G61" i="66" s="1"/>
  <c r="G60" i="61"/>
  <c r="G60" i="65"/>
  <c r="G61" i="65" s="1"/>
  <c r="D13" i="4" l="1"/>
  <c r="E13" i="4"/>
  <c r="F13" i="4"/>
  <c r="F23" i="4"/>
  <c r="G57" i="47"/>
  <c r="G56" i="47"/>
  <c r="G55" i="47"/>
  <c r="G54" i="47"/>
  <c r="G53" i="47"/>
  <c r="G52" i="47"/>
  <c r="G51" i="47"/>
  <c r="G50" i="47"/>
  <c r="G49" i="47"/>
  <c r="G48" i="47"/>
  <c r="G47" i="47"/>
  <c r="G46" i="47"/>
  <c r="G45" i="47"/>
  <c r="G44" i="47"/>
  <c r="G38" i="47"/>
  <c r="G37" i="47"/>
  <c r="F36" i="47"/>
  <c r="E36" i="47"/>
  <c r="D36" i="47"/>
  <c r="C36" i="47"/>
  <c r="G35" i="47"/>
  <c r="G34" i="47"/>
  <c r="G28" i="47"/>
  <c r="G27" i="47"/>
  <c r="F26" i="47"/>
  <c r="E26" i="47"/>
  <c r="D26" i="47"/>
  <c r="C26" i="47"/>
  <c r="G36" i="47" l="1"/>
  <c r="D31" i="47"/>
  <c r="F31" i="47"/>
  <c r="E43" i="47"/>
  <c r="E42" i="47" s="1"/>
  <c r="D43" i="47"/>
  <c r="D42" i="47" s="1"/>
  <c r="G25" i="47"/>
  <c r="F9" i="47"/>
  <c r="G58" i="47"/>
  <c r="E20" i="47"/>
  <c r="G15" i="47"/>
  <c r="C43" i="47"/>
  <c r="G26" i="47"/>
  <c r="G33" i="47"/>
  <c r="G10" i="47" l="1"/>
  <c r="G9" i="47" s="1"/>
  <c r="E23" i="47"/>
  <c r="E23" i="4"/>
  <c r="F43" i="47"/>
  <c r="F42" i="47" s="1"/>
  <c r="D23" i="47"/>
  <c r="D23" i="4"/>
  <c r="E39" i="47"/>
  <c r="G22" i="47"/>
  <c r="C9" i="47"/>
  <c r="E9" i="47"/>
  <c r="E10" i="4"/>
  <c r="E31" i="47"/>
  <c r="C31" i="47"/>
  <c r="C39" i="47"/>
  <c r="F23" i="47"/>
  <c r="D20" i="47"/>
  <c r="C20" i="47"/>
  <c r="D9" i="47"/>
  <c r="F20" i="47"/>
  <c r="C23" i="47"/>
  <c r="G24" i="47"/>
  <c r="G23" i="47" s="1"/>
  <c r="G21" i="47"/>
  <c r="C42" i="47"/>
  <c r="D39" i="47" l="1"/>
  <c r="D59" i="47" s="1"/>
  <c r="F29" i="47"/>
  <c r="G43" i="47"/>
  <c r="G42" i="47"/>
  <c r="G20" i="47"/>
  <c r="G41" i="47"/>
  <c r="E59" i="47"/>
  <c r="E29" i="47"/>
  <c r="G32" i="47"/>
  <c r="G31" i="47" s="1"/>
  <c r="C59" i="47"/>
  <c r="C29" i="47"/>
  <c r="D29" i="47"/>
  <c r="G40" i="47"/>
  <c r="F39" i="47"/>
  <c r="F59" i="47" s="1"/>
  <c r="G39" i="47" l="1"/>
  <c r="D60" i="47"/>
  <c r="F60" i="47"/>
  <c r="E60" i="47"/>
  <c r="C60" i="47"/>
  <c r="G59" i="47"/>
  <c r="G29" i="47"/>
  <c r="D75" i="4"/>
  <c r="C75" i="4"/>
  <c r="D58" i="4"/>
  <c r="E58" i="4"/>
  <c r="F58" i="4"/>
  <c r="C58" i="4"/>
  <c r="G60" i="47" l="1"/>
  <c r="G57" i="4"/>
  <c r="G51" i="4" l="1"/>
  <c r="G50" i="4" l="1"/>
  <c r="G58" i="4"/>
  <c r="G56" i="4"/>
  <c r="G52" i="4"/>
  <c r="G49" i="4"/>
  <c r="G47" i="4"/>
  <c r="G46" i="4"/>
  <c r="G45" i="4"/>
  <c r="F44" i="4"/>
  <c r="E44" i="4"/>
  <c r="D44" i="4"/>
  <c r="G43" i="4"/>
  <c r="F42" i="4"/>
  <c r="E42" i="4"/>
  <c r="D42" i="4"/>
  <c r="G40" i="4"/>
  <c r="G37" i="4"/>
  <c r="G36" i="4"/>
  <c r="G34" i="4"/>
  <c r="G33" i="4"/>
  <c r="F32" i="4"/>
  <c r="E32" i="4"/>
  <c r="D32" i="4"/>
  <c r="F31" i="4"/>
  <c r="E31" i="4"/>
  <c r="D31" i="4"/>
  <c r="D41" i="4" l="1"/>
  <c r="F41" i="4"/>
  <c r="G35" i="4"/>
  <c r="G39" i="4"/>
  <c r="F30" i="4"/>
  <c r="E30" i="4"/>
  <c r="D30" i="4"/>
  <c r="D39" i="4"/>
  <c r="F39" i="4"/>
  <c r="E39" i="4"/>
  <c r="G44" i="4"/>
  <c r="G32" i="4"/>
  <c r="G31" i="4"/>
  <c r="G42" i="4"/>
  <c r="G30" i="4" l="1"/>
  <c r="G16" i="4" l="1"/>
  <c r="G15" i="4"/>
  <c r="G14" i="4" l="1"/>
  <c r="G26" i="4"/>
  <c r="G25" i="4" l="1"/>
  <c r="G24" i="4" s="1"/>
  <c r="G23" i="4"/>
  <c r="F21" i="4"/>
  <c r="D21" i="4"/>
  <c r="E21" i="4"/>
  <c r="D18" i="4"/>
  <c r="E18" i="4"/>
  <c r="F18" i="4"/>
  <c r="E81" i="4"/>
  <c r="D9" i="4"/>
  <c r="E9" i="4"/>
  <c r="E83" i="4" s="1"/>
  <c r="E84" i="4" s="1"/>
  <c r="F9" i="4"/>
  <c r="C83" i="4" l="1"/>
  <c r="C84" i="4" s="1"/>
  <c r="E82" i="4"/>
  <c r="E86" i="4" s="1"/>
  <c r="F83" i="4"/>
  <c r="F84" i="4" s="1"/>
  <c r="D83" i="4"/>
  <c r="D84" i="4" s="1"/>
  <c r="F81" i="4"/>
  <c r="D81" i="4"/>
  <c r="E41" i="4"/>
  <c r="E60" i="4" s="1"/>
  <c r="F60" i="4"/>
  <c r="C41" i="4"/>
  <c r="D60" i="4"/>
  <c r="E28" i="4"/>
  <c r="C28" i="4"/>
  <c r="F28" i="4"/>
  <c r="D28" i="4"/>
  <c r="G22" i="4"/>
  <c r="G21" i="4" s="1"/>
  <c r="G19" i="4"/>
  <c r="G20" i="4"/>
  <c r="G11" i="4"/>
  <c r="G12" i="4"/>
  <c r="G13" i="4"/>
  <c r="G10" i="4"/>
  <c r="C86" i="4" l="1"/>
  <c r="D82" i="4"/>
  <c r="D86" i="4" s="1"/>
  <c r="F82" i="4"/>
  <c r="F86" i="4" s="1"/>
  <c r="D61" i="4"/>
  <c r="F61" i="4"/>
  <c r="E61" i="4"/>
  <c r="G9" i="4"/>
  <c r="G18" i="4"/>
  <c r="G28" i="4"/>
  <c r="C60" i="4" l="1"/>
  <c r="G41" i="4"/>
  <c r="G60" i="4" s="1"/>
  <c r="C61" i="4" l="1"/>
  <c r="G61" i="4"/>
  <c r="G62" i="4" s="1"/>
</calcChain>
</file>

<file path=xl/sharedStrings.xml><?xml version="1.0" encoding="utf-8"?>
<sst xmlns="http://schemas.openxmlformats.org/spreadsheetml/2006/main" count="1232" uniqueCount="183">
  <si>
    <t>№ п/п</t>
  </si>
  <si>
    <t>Наименование статей</t>
  </si>
  <si>
    <t>ДОХОДЫ</t>
  </si>
  <si>
    <t>Техническое обслуживание</t>
  </si>
  <si>
    <t>Прочие:</t>
  </si>
  <si>
    <t>Аренда велопарковок</t>
  </si>
  <si>
    <t>ВСЕГО ДОХОДОВ</t>
  </si>
  <si>
    <t>5</t>
  </si>
  <si>
    <t>План</t>
  </si>
  <si>
    <t>4</t>
  </si>
  <si>
    <t>Санитарное содержание вспомогательных помещений</t>
  </si>
  <si>
    <t>Техническое обслуживание лифта</t>
  </si>
  <si>
    <t>Обращение с твёрдыми коммунальными отходами</t>
  </si>
  <si>
    <t>Текущий ремонт</t>
  </si>
  <si>
    <t>Возмещение расходов на электроэнергию, потребляемую на работу лифта</t>
  </si>
  <si>
    <t>Основные жилищно-коммунальные услуги:</t>
  </si>
  <si>
    <t>Возмещаемые жилищно-коммунальные услуги:</t>
  </si>
  <si>
    <t>Дополнительные жилищно-коммунальные услуги:</t>
  </si>
  <si>
    <t>Техническое обслуживание системы видеонаблюдения</t>
  </si>
  <si>
    <t xml:space="preserve"> I квартал 2020г.</t>
  </si>
  <si>
    <t xml:space="preserve"> II квартал 2020г.</t>
  </si>
  <si>
    <t xml:space="preserve"> III квартал 2020г.</t>
  </si>
  <si>
    <t xml:space="preserve"> IV квартал 2020г.</t>
  </si>
  <si>
    <t xml:space="preserve"> За 2020г.</t>
  </si>
  <si>
    <t>Проценты по вкладам вступительного взноса</t>
  </si>
  <si>
    <t>Возмещение расходов на электроэнергию, потребляемую на освещение вспомогательных помещений и работу оборудования, кроме лифта</t>
  </si>
  <si>
    <t>Ставка обслуживающей организации</t>
  </si>
  <si>
    <t>Членский взнос:</t>
  </si>
  <si>
    <t xml:space="preserve">Фонд оплаты труда </t>
  </si>
  <si>
    <t>Комиссия банка за ведение расчетного счета</t>
  </si>
  <si>
    <t>Расходы по регистрации и использованию радиочастотного устройства</t>
  </si>
  <si>
    <t>Услуга по обеспечению эксплуатационной готовности радиочастотного спектра устройств</t>
  </si>
  <si>
    <t>Налог при УСН</t>
  </si>
  <si>
    <t>3</t>
  </si>
  <si>
    <t>Аренда помещения</t>
  </si>
  <si>
    <t>Возмещение коммунальных услуг арендуемого помещения</t>
  </si>
  <si>
    <t>Отчисления из заработной платы (ФСЗН и Белгосстрах)</t>
  </si>
  <si>
    <t xml:space="preserve">Комиссия банка по расчетам за членский взнос и дополнительные услуги </t>
  </si>
  <si>
    <t>Прочие расходы:</t>
  </si>
  <si>
    <t>РАСХОДЫ</t>
  </si>
  <si>
    <t>Услуга по обеспечению начислений за ЖКУ с исп. системы "Комплат"</t>
  </si>
  <si>
    <t>Вознаграждение расчетных агентов</t>
  </si>
  <si>
    <t>ВСЕГО РАСХОДОВ</t>
  </si>
  <si>
    <t>Услуги обслуживающей организации</t>
  </si>
  <si>
    <t>Техническое обслуживание подъемников</t>
  </si>
  <si>
    <t>Техническое обслуживание запорно-переговорных устройств</t>
  </si>
  <si>
    <t>Техническое обслуживание лифта с учетом технического освидетельствования с электрофмзическими измерениями и стоимостью расходного материала</t>
  </si>
  <si>
    <t>Услуга по обеспечению начислений за ЖКУ с исп. системы "Комплат" (обслуживание лицевого счета)</t>
  </si>
  <si>
    <t>Комиссия банка по расчетам за членский взнос и дополнительные услуги (2%)</t>
  </si>
  <si>
    <t>Земельный налог</t>
  </si>
  <si>
    <t>Материалы для технического обслуживания и эксплуатации зданий, дворовой территории и элементов благоустройства</t>
  </si>
  <si>
    <t>0.24 руб</t>
  </si>
  <si>
    <t>2% от суммы извещения</t>
  </si>
  <si>
    <t>Прочие услуги и работы по ремонту, обслуживанию и эксплуатации общедомового оборудования, дворовой территории и элементов благоустройства</t>
  </si>
  <si>
    <t>Членский взнос</t>
  </si>
  <si>
    <t>Справочная информация</t>
  </si>
  <si>
    <t>Согласно дефектного акта и сметы на каждый подъезд</t>
  </si>
  <si>
    <t>Возмещение экономически обоснованных затрат</t>
  </si>
  <si>
    <t>*Разрешить обоснованное отклонение по статьям доходов и расходов в пределах 20%</t>
  </si>
  <si>
    <t>Водоснабжение МОП, в том числе сезонный полив</t>
  </si>
  <si>
    <t>Техническое обслуживание по ЭОЗ</t>
  </si>
  <si>
    <t>Тариф</t>
  </si>
  <si>
    <t>Площадь по тарифу, м.кв</t>
  </si>
  <si>
    <t>Общая площадь жилых помещений</t>
  </si>
  <si>
    <t>Количество зарегистрированных</t>
  </si>
  <si>
    <t>Количество Квартир</t>
  </si>
  <si>
    <t>Кол-во кв</t>
  </si>
  <si>
    <t>Сумма</t>
  </si>
  <si>
    <t>Кол-во м.кв</t>
  </si>
  <si>
    <t>тариф</t>
  </si>
  <si>
    <t>с учетом роста курса</t>
  </si>
  <si>
    <t>5% от суммы веломеста и аренда</t>
  </si>
  <si>
    <t>Техническое обслуживание лифта с учетом технического освидетельствования с электрофизическими измерениями и стоимостью расходного материала</t>
  </si>
  <si>
    <t>Водоснабжение МОП</t>
  </si>
  <si>
    <t>на 2021 год</t>
  </si>
  <si>
    <t>Возмещение расходов на электроэнергию, потребляемую уличное освещение</t>
  </si>
  <si>
    <t xml:space="preserve"> I квартал 2021г.</t>
  </si>
  <si>
    <t xml:space="preserve"> II квартал 2021г.</t>
  </si>
  <si>
    <t xml:space="preserve"> III квартал 2021г.</t>
  </si>
  <si>
    <t xml:space="preserve"> IV квартал 2021г.</t>
  </si>
  <si>
    <t xml:space="preserve"> За 2021г.</t>
  </si>
  <si>
    <t>15,8 в сентябре</t>
  </si>
  <si>
    <t>Водоснабжение (сезонный полив)</t>
  </si>
  <si>
    <t>Согласно декларации по земельному налогу за 2021 год</t>
  </si>
  <si>
    <t xml:space="preserve">СМЕТА (ПЛАНИРУЕМАЯ) ДОХОДОВ И РАСХОДОВ ТОВАРИЩЕСТВА СОБСТВЕННИКОВ "КВАРТАЛ ПИРС-2" </t>
  </si>
  <si>
    <t>1/1</t>
  </si>
  <si>
    <t>1/2</t>
  </si>
  <si>
    <t>Предельно допустимый тариф (цена), размер возмещения расходов, рублей с 1 января с 1 июня с 1 сентября</t>
  </si>
  <si>
    <t xml:space="preserve">С ЯНВАРЯ </t>
  </si>
  <si>
    <t>С ИЮНЯ</t>
  </si>
  <si>
    <t>С СЕНТЯБРЯ</t>
  </si>
  <si>
    <t xml:space="preserve">Сумма </t>
  </si>
  <si>
    <t>норма/объем</t>
  </si>
  <si>
    <t>Тариф субсидируемый</t>
  </si>
  <si>
    <t>Тариф ЭОЗ</t>
  </si>
  <si>
    <t xml:space="preserve"> Техническое обслуживание</t>
  </si>
  <si>
    <t>чел</t>
  </si>
  <si>
    <t xml:space="preserve"> Техническое обслуживание </t>
  </si>
  <si>
    <t xml:space="preserve"> Санитарное содержание вспомогательных помещений жилого дома</t>
  </si>
  <si>
    <t xml:space="preserve"> Обращение с твердыми коммунальными отходами</t>
  </si>
  <si>
    <t>Э/Э МОП</t>
  </si>
  <si>
    <t>усл</t>
  </si>
  <si>
    <t>Э/Э ЛИФТ</t>
  </si>
  <si>
    <t xml:space="preserve">Техническое обслуживание запорнопереговорных устройств жилого дома </t>
  </si>
  <si>
    <t>Видео</t>
  </si>
  <si>
    <t>Членский взнос, ставка обслуживающей организации</t>
  </si>
  <si>
    <t>Членский взнос, возмещение экономически обоснованных затрат</t>
  </si>
  <si>
    <t>1/3</t>
  </si>
  <si>
    <t>Интернет, Wi-Fi</t>
  </si>
  <si>
    <t>Контроль состояния пожарной автоматики</t>
  </si>
  <si>
    <t>Освидетельствование и ЭФИ лифтов</t>
  </si>
  <si>
    <t>Прочие расходы ТС</t>
  </si>
  <si>
    <t>исходя из фактического потребления эл/эн *на действующий тариф</t>
  </si>
  <si>
    <t xml:space="preserve">тариф на 01.02.2021 </t>
  </si>
  <si>
    <t>в месяц</t>
  </si>
  <si>
    <t>на  01.02.2021</t>
  </si>
  <si>
    <t xml:space="preserve">1. МОП – 16 000 кВт с апреля по сентябрь; 13 500 квт с октября по март; Итого в год 177 000 кВт </t>
  </si>
  <si>
    <t>согласно данных таблицы материалы, материалы и работы по каналу разделили на пирс 1 и пирс-2</t>
  </si>
  <si>
    <t>МОП – по 18 м3 х 12мес = 216 м3</t>
  </si>
  <si>
    <t>Полив – 2250 м3, май – 100 м3; июнь – 700 м3; июль – 700м3; август – 700 м3; сентябрь – 50 м3</t>
  </si>
  <si>
    <t>тариф 3,767</t>
  </si>
  <si>
    <t>Электрический пульверизатор</t>
  </si>
  <si>
    <t>Сигнальная лента</t>
  </si>
  <si>
    <t xml:space="preserve">Растворитель </t>
  </si>
  <si>
    <t>Ветошь</t>
  </si>
  <si>
    <t>Прочие материалы</t>
  </si>
  <si>
    <t>Лента малярная</t>
  </si>
  <si>
    <t>Кисти</t>
  </si>
  <si>
    <t>Пленка</t>
  </si>
  <si>
    <t>Круги шлифовальные</t>
  </si>
  <si>
    <t>Валики</t>
  </si>
  <si>
    <t>Пропитка 10 литров</t>
  </si>
  <si>
    <t>Зона отдыха вдоль канала</t>
  </si>
  <si>
    <t>Пропитка 20 литров</t>
  </si>
  <si>
    <t>Детская площадка</t>
  </si>
  <si>
    <t>Стоимость работ, руб</t>
  </si>
  <si>
    <t>Стоимость материала, руб</t>
  </si>
  <si>
    <t xml:space="preserve">Кол. материала </t>
  </si>
  <si>
    <t>Наименование объекта</t>
  </si>
  <si>
    <t>Канал</t>
  </si>
  <si>
    <t>Всего руб.</t>
  </si>
  <si>
    <t>Краска</t>
  </si>
  <si>
    <t>Дорожная разметка</t>
  </si>
  <si>
    <t>Работа руб.</t>
  </si>
  <si>
    <t>Щетка по металлу</t>
  </si>
  <si>
    <t xml:space="preserve">Материалы руб. </t>
  </si>
  <si>
    <t>Краска маслянная</t>
  </si>
  <si>
    <t>Люки, полусферы</t>
  </si>
  <si>
    <t>Пропитка 15 литров</t>
  </si>
  <si>
    <t>Пропитка 10 лит.</t>
  </si>
  <si>
    <t>Зона отдыха МР 5</t>
  </si>
  <si>
    <t>Зона отдыха МР 3</t>
  </si>
  <si>
    <t>Зона отдыха МР 1</t>
  </si>
  <si>
    <t>Велобоксы, 4 шт</t>
  </si>
  <si>
    <t>Площадки ТБО, 4 шт</t>
  </si>
  <si>
    <t>Пирс 2</t>
  </si>
  <si>
    <t>Итого мат+раб, руб</t>
  </si>
  <si>
    <t>Стоимость работы (10% прибыли), руб</t>
  </si>
  <si>
    <t>Чел час, ч</t>
  </si>
  <si>
    <t>Материалы, руб</t>
  </si>
  <si>
    <t>Покраска дождеприемников</t>
  </si>
  <si>
    <t>герметизация отливов на кровле</t>
  </si>
  <si>
    <t>Точечный ремонт с последующей покраской</t>
  </si>
  <si>
    <t>Морской Риф 5</t>
  </si>
  <si>
    <t>Морской Риф 4</t>
  </si>
  <si>
    <t>Морской Риф 3</t>
  </si>
  <si>
    <t>Морской Риф 2</t>
  </si>
  <si>
    <t>Мелкий точечный ремонт с последующей покраской</t>
  </si>
  <si>
    <t>Морской Риф 1/2</t>
  </si>
  <si>
    <t>Морской Риф 1/1</t>
  </si>
  <si>
    <t>Морской Риф 1</t>
  </si>
  <si>
    <t>Стоимость материала руб.</t>
  </si>
  <si>
    <t xml:space="preserve">Наименование работ </t>
  </si>
  <si>
    <t>Адрес</t>
  </si>
  <si>
    <t>Техническое обслуживание запорно-переговорных устройств, техническое обслуживание системы видеонаблюдения (БайТехСерис ООО)</t>
  </si>
  <si>
    <t>Ориентировочная стоимость технического обслуживания с учетом ежегодного технического освидетельствования и запчастей с 1.01 по 31.12.2021 года составит 30119,20 белорусских рублей</t>
  </si>
  <si>
    <t>Пирс 2- 16 500,0 рублей</t>
  </si>
  <si>
    <t>Пирс 2-14976 рублей с НДС за 12 месяцев.Данные суммы без учета запасных материалов и оборудования.</t>
  </si>
  <si>
    <t>Количество помещений - 534</t>
  </si>
  <si>
    <t>Общая площадь - 34437</t>
  </si>
  <si>
    <t>Финансовый результат 2020 года</t>
  </si>
  <si>
    <t>Финансовый результат 2021 года</t>
  </si>
  <si>
    <t>Материалы за счет вступительного взноса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</si>
</sst>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Arial"/>
      <family val="2"/>
      <charset val="204"/>
    </font>
    <font>
      <sz val="11"/>
      <color indexed="8"/>
      <name val="Calibri"/>
      <family val="2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3" fillId="0" borderId="0"/>
    <xf numFmtId="0" fontId="8" fillId="0" borderId="0" applyNumberFormat="0" applyFill="0" applyBorder="0" applyAlignment="0" applyProtection="0"/>
    <xf numFmtId="0" fontId="9" fillId="0" borderId="10" applyNumberFormat="0" applyFill="0" applyAlignment="0" applyProtection="0"/>
    <xf numFmtId="0" fontId="10" fillId="0" borderId="11" applyNumberFormat="0" applyFill="0" applyAlignment="0" applyProtection="0"/>
    <xf numFmtId="0" fontId="11" fillId="0" borderId="12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13" applyNumberFormat="0" applyAlignment="0" applyProtection="0"/>
    <xf numFmtId="0" fontId="16" fillId="7" borderId="14" applyNumberFormat="0" applyAlignment="0" applyProtection="0"/>
    <xf numFmtId="0" fontId="17" fillId="7" borderId="13" applyNumberFormat="0" applyAlignment="0" applyProtection="0"/>
    <xf numFmtId="0" fontId="18" fillId="0" borderId="15" applyNumberFormat="0" applyFill="0" applyAlignment="0" applyProtection="0"/>
    <xf numFmtId="0" fontId="19" fillId="8" borderId="16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8" applyNumberFormat="0" applyFill="0" applyAlignment="0" applyProtection="0"/>
    <xf numFmtId="0" fontId="23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3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3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3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3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3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9" borderId="17" applyNumberFormat="0" applyFont="0" applyAlignment="0" applyProtection="0"/>
    <xf numFmtId="0" fontId="24" fillId="0" borderId="0"/>
    <xf numFmtId="0" fontId="25" fillId="0" borderId="0"/>
    <xf numFmtId="0" fontId="26" fillId="0" borderId="0"/>
  </cellStyleXfs>
  <cellXfs count="249">
    <xf numFmtId="0" fontId="0" fillId="0" borderId="0" xfId="0"/>
    <xf numFmtId="0" fontId="4" fillId="0" borderId="0" xfId="1" applyFont="1" applyFill="1" applyAlignment="1">
      <alignment vertical="center"/>
    </xf>
    <xf numFmtId="0" fontId="4" fillId="2" borderId="0" xfId="1" applyFont="1" applyFill="1" applyAlignment="1">
      <alignment vertical="center"/>
    </xf>
    <xf numFmtId="4" fontId="4" fillId="2" borderId="0" xfId="1" applyNumberFormat="1" applyFont="1" applyFill="1" applyAlignment="1">
      <alignment vertical="center"/>
    </xf>
    <xf numFmtId="0" fontId="5" fillId="2" borderId="0" xfId="1" applyFont="1" applyFill="1" applyAlignment="1">
      <alignment vertical="center"/>
    </xf>
    <xf numFmtId="0" fontId="5" fillId="2" borderId="0" xfId="1" applyFont="1" applyFill="1" applyAlignment="1">
      <alignment horizontal="center" vertical="center"/>
    </xf>
    <xf numFmtId="4" fontId="5" fillId="2" borderId="0" xfId="1" applyNumberFormat="1" applyFont="1" applyFill="1" applyBorder="1" applyAlignment="1">
      <alignment horizontal="right" vertical="center"/>
    </xf>
    <xf numFmtId="0" fontId="5" fillId="2" borderId="0" xfId="1" applyFont="1" applyFill="1" applyBorder="1" applyAlignment="1">
      <alignment horizontal="left" vertical="center"/>
    </xf>
    <xf numFmtId="4" fontId="5" fillId="2" borderId="3" xfId="1" applyNumberFormat="1" applyFont="1" applyFill="1" applyBorder="1" applyAlignment="1">
      <alignment horizontal="right" vertical="center"/>
    </xf>
    <xf numFmtId="4" fontId="4" fillId="2" borderId="20" xfId="1" applyNumberFormat="1" applyFont="1" applyFill="1" applyBorder="1" applyAlignment="1">
      <alignment horizontal="right" vertical="center"/>
    </xf>
    <xf numFmtId="0" fontId="4" fillId="2" borderId="20" xfId="1" applyFont="1" applyFill="1" applyBorder="1" applyAlignment="1">
      <alignment horizontal="left" vertical="center" wrapText="1"/>
    </xf>
    <xf numFmtId="4" fontId="4" fillId="2" borderId="20" xfId="1" applyNumberFormat="1" applyFont="1" applyFill="1" applyBorder="1" applyAlignment="1">
      <alignment horizontal="right"/>
    </xf>
    <xf numFmtId="4" fontId="4" fillId="2" borderId="20" xfId="1" applyNumberFormat="1" applyFont="1" applyFill="1" applyBorder="1" applyAlignment="1">
      <alignment horizontal="right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23" xfId="1" applyFont="1" applyFill="1" applyBorder="1" applyAlignment="1">
      <alignment horizontal="center" vertical="center" wrapText="1"/>
    </xf>
    <xf numFmtId="0" fontId="5" fillId="2" borderId="24" xfId="1" applyFont="1" applyFill="1" applyBorder="1" applyAlignment="1">
      <alignment horizontal="center" vertical="center" wrapText="1"/>
    </xf>
    <xf numFmtId="1" fontId="5" fillId="2" borderId="24" xfId="1" applyNumberFormat="1" applyFont="1" applyFill="1" applyBorder="1" applyAlignment="1">
      <alignment horizontal="center" vertical="center" wrapText="1"/>
    </xf>
    <xf numFmtId="1" fontId="5" fillId="2" borderId="25" xfId="1" applyNumberFormat="1" applyFont="1" applyFill="1" applyBorder="1" applyAlignment="1">
      <alignment horizontal="center" vertical="center" wrapText="1"/>
    </xf>
    <xf numFmtId="4" fontId="5" fillId="2" borderId="5" xfId="1" applyNumberFormat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left" vertical="center" wrapText="1"/>
    </xf>
    <xf numFmtId="4" fontId="5" fillId="2" borderId="2" xfId="1" applyNumberFormat="1" applyFont="1" applyFill="1" applyBorder="1" applyAlignment="1">
      <alignment horizontal="right" vertical="center"/>
    </xf>
    <xf numFmtId="0" fontId="5" fillId="2" borderId="22" xfId="1" applyFont="1" applyFill="1" applyBorder="1" applyAlignment="1">
      <alignment horizontal="center" vertical="center" wrapText="1"/>
    </xf>
    <xf numFmtId="1" fontId="4" fillId="2" borderId="22" xfId="1" applyNumberFormat="1" applyFont="1" applyFill="1" applyBorder="1" applyAlignment="1">
      <alignment horizontal="center" vertical="center" wrapText="1"/>
    </xf>
    <xf numFmtId="0" fontId="4" fillId="2" borderId="24" xfId="1" applyFont="1" applyFill="1" applyBorder="1" applyAlignment="1">
      <alignment horizontal="left" vertical="center" wrapText="1"/>
    </xf>
    <xf numFmtId="4" fontId="4" fillId="2" borderId="24" xfId="1" applyNumberFormat="1" applyFont="1" applyFill="1" applyBorder="1" applyAlignment="1">
      <alignment horizontal="right" vertical="center"/>
    </xf>
    <xf numFmtId="0" fontId="4" fillId="2" borderId="23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left" vertical="center" wrapText="1"/>
    </xf>
    <xf numFmtId="0" fontId="4" fillId="2" borderId="22" xfId="1" applyFont="1" applyFill="1" applyBorder="1" applyAlignment="1">
      <alignment horizontal="center" vertical="center" wrapText="1"/>
    </xf>
    <xf numFmtId="4" fontId="5" fillId="2" borderId="6" xfId="1" applyNumberFormat="1" applyFont="1" applyFill="1" applyBorder="1" applyAlignment="1">
      <alignment horizontal="right" vertical="center"/>
    </xf>
    <xf numFmtId="49" fontId="5" fillId="2" borderId="1" xfId="1" applyNumberFormat="1" applyFont="1" applyFill="1" applyBorder="1" applyAlignment="1">
      <alignment horizontal="center" vertical="center" wrapText="1"/>
    </xf>
    <xf numFmtId="49" fontId="4" fillId="2" borderId="22" xfId="1" applyNumberFormat="1" applyFont="1" applyFill="1" applyBorder="1" applyAlignment="1">
      <alignment horizontal="center" vertical="center" wrapText="1"/>
    </xf>
    <xf numFmtId="49" fontId="4" fillId="2" borderId="23" xfId="1" applyNumberFormat="1" applyFont="1" applyFill="1" applyBorder="1" applyAlignment="1">
      <alignment horizontal="center" vertical="center" wrapText="1"/>
    </xf>
    <xf numFmtId="49" fontId="5" fillId="2" borderId="7" xfId="1" applyNumberFormat="1" applyFont="1" applyFill="1" applyBorder="1" applyAlignment="1">
      <alignment horizontal="center" vertical="center" wrapText="1"/>
    </xf>
    <xf numFmtId="4" fontId="5" fillId="2" borderId="2" xfId="1" applyNumberFormat="1" applyFont="1" applyFill="1" applyBorder="1" applyAlignment="1">
      <alignment horizontal="right" vertical="center" wrapText="1"/>
    </xf>
    <xf numFmtId="0" fontId="5" fillId="2" borderId="6" xfId="1" applyFont="1" applyFill="1" applyBorder="1" applyAlignment="1">
      <alignment horizontal="left" vertical="center" wrapText="1"/>
    </xf>
    <xf numFmtId="4" fontId="5" fillId="2" borderId="8" xfId="1" applyNumberFormat="1" applyFont="1" applyFill="1" applyBorder="1" applyAlignment="1">
      <alignment horizontal="right" vertical="center"/>
    </xf>
    <xf numFmtId="4" fontId="7" fillId="2" borderId="4" xfId="1" applyNumberFormat="1" applyFont="1" applyFill="1" applyBorder="1" applyAlignment="1">
      <alignment horizontal="right" vertical="center"/>
    </xf>
    <xf numFmtId="4" fontId="7" fillId="2" borderId="27" xfId="1" applyNumberFormat="1" applyFont="1" applyFill="1" applyBorder="1" applyAlignment="1">
      <alignment horizontal="right" vertical="center"/>
    </xf>
    <xf numFmtId="0" fontId="4" fillId="2" borderId="0" xfId="1" applyFont="1" applyFill="1" applyBorder="1" applyAlignment="1">
      <alignment vertical="center"/>
    </xf>
    <xf numFmtId="4" fontId="4" fillId="2" borderId="0" xfId="1" applyNumberFormat="1" applyFont="1" applyFill="1" applyBorder="1" applyAlignment="1">
      <alignment vertical="center"/>
    </xf>
    <xf numFmtId="4" fontId="4" fillId="2" borderId="20" xfId="1" applyNumberFormat="1" applyFont="1" applyFill="1" applyBorder="1" applyAlignment="1">
      <alignment vertical="center"/>
    </xf>
    <xf numFmtId="2" fontId="4" fillId="2" borderId="0" xfId="1" applyNumberFormat="1" applyFont="1" applyFill="1" applyAlignment="1">
      <alignment vertical="center"/>
    </xf>
    <xf numFmtId="0" fontId="5" fillId="2" borderId="1" xfId="1" applyFont="1" applyFill="1" applyBorder="1" applyAlignment="1">
      <alignment horizontal="center" vertical="center" wrapText="1"/>
    </xf>
    <xf numFmtId="164" fontId="4" fillId="2" borderId="0" xfId="1" applyNumberFormat="1" applyFont="1" applyFill="1" applyAlignment="1">
      <alignment vertical="center"/>
    </xf>
    <xf numFmtId="49" fontId="28" fillId="0" borderId="22" xfId="1" applyNumberFormat="1" applyFont="1" applyBorder="1" applyAlignment="1">
      <alignment horizontal="center" vertical="center" wrapText="1"/>
    </xf>
    <xf numFmtId="49" fontId="29" fillId="0" borderId="22" xfId="1" applyNumberFormat="1" applyFont="1" applyBorder="1" applyAlignment="1">
      <alignment horizontal="center" vertical="center" wrapText="1"/>
    </xf>
    <xf numFmtId="49" fontId="28" fillId="0" borderId="7" xfId="1" applyNumberFormat="1" applyFont="1" applyBorder="1" applyAlignment="1">
      <alignment horizontal="center" vertical="center" wrapText="1"/>
    </xf>
    <xf numFmtId="0" fontId="4" fillId="0" borderId="20" xfId="1" applyFont="1" applyBorder="1" applyAlignment="1">
      <alignment horizontal="left" vertical="center" wrapText="1"/>
    </xf>
    <xf numFmtId="0" fontId="4" fillId="0" borderId="24" xfId="1" applyFont="1" applyBorder="1" applyAlignment="1">
      <alignment horizontal="left" vertical="center" wrapText="1"/>
    </xf>
    <xf numFmtId="0" fontId="4" fillId="0" borderId="20" xfId="1" applyFont="1" applyBorder="1" applyAlignment="1">
      <alignment vertical="center" wrapText="1"/>
    </xf>
    <xf numFmtId="4" fontId="7" fillId="2" borderId="29" xfId="1" applyNumberFormat="1" applyFont="1" applyFill="1" applyBorder="1" applyAlignment="1">
      <alignment horizontal="right" vertical="center"/>
    </xf>
    <xf numFmtId="4" fontId="7" fillId="2" borderId="30" xfId="1" applyNumberFormat="1" applyFont="1" applyFill="1" applyBorder="1" applyAlignment="1">
      <alignment horizontal="right" vertical="center"/>
    </xf>
    <xf numFmtId="4" fontId="5" fillId="2" borderId="29" xfId="1" applyNumberFormat="1" applyFont="1" applyFill="1" applyBorder="1" applyAlignment="1">
      <alignment horizontal="center" vertical="center" wrapText="1"/>
    </xf>
    <xf numFmtId="4" fontId="5" fillId="2" borderId="30" xfId="1" applyNumberFormat="1" applyFont="1" applyFill="1" applyBorder="1" applyAlignment="1">
      <alignment horizontal="center" vertical="center" wrapText="1"/>
    </xf>
    <xf numFmtId="0" fontId="29" fillId="0" borderId="23" xfId="1" applyFont="1" applyBorder="1" applyAlignment="1">
      <alignment vertical="center"/>
    </xf>
    <xf numFmtId="4" fontId="4" fillId="2" borderId="24" xfId="1" applyNumberFormat="1" applyFont="1" applyFill="1" applyBorder="1" applyAlignment="1">
      <alignment vertical="center"/>
    </xf>
    <xf numFmtId="0" fontId="29" fillId="0" borderId="22" xfId="1" applyFont="1" applyBorder="1" applyAlignment="1">
      <alignment vertical="center"/>
    </xf>
    <xf numFmtId="0" fontId="28" fillId="0" borderId="7" xfId="1" applyFont="1" applyBorder="1" applyAlignment="1">
      <alignment horizontal="left" vertical="center" wrapText="1"/>
    </xf>
    <xf numFmtId="0" fontId="29" fillId="0" borderId="22" xfId="1" applyFont="1" applyBorder="1" applyAlignment="1">
      <alignment vertical="center" wrapText="1"/>
    </xf>
    <xf numFmtId="0" fontId="29" fillId="0" borderId="22" xfId="1" applyFont="1" applyBorder="1" applyAlignment="1">
      <alignment horizontal="left" vertical="center" wrapText="1"/>
    </xf>
    <xf numFmtId="0" fontId="28" fillId="0" borderId="22" xfId="1" applyFont="1" applyBorder="1" applyAlignment="1">
      <alignment horizontal="left" vertical="center" wrapText="1"/>
    </xf>
    <xf numFmtId="0" fontId="28" fillId="0" borderId="23" xfId="1" applyFont="1" applyBorder="1" applyAlignment="1">
      <alignment horizontal="left" vertical="center" wrapText="1"/>
    </xf>
    <xf numFmtId="4" fontId="5" fillId="2" borderId="2" xfId="1" applyNumberFormat="1" applyFont="1" applyFill="1" applyBorder="1" applyAlignment="1">
      <alignment vertical="center"/>
    </xf>
    <xf numFmtId="9" fontId="4" fillId="2" borderId="0" xfId="1" applyNumberFormat="1" applyFont="1" applyFill="1" applyAlignment="1">
      <alignment vertical="center"/>
    </xf>
    <xf numFmtId="4" fontId="5" fillId="2" borderId="3" xfId="1" applyNumberFormat="1" applyFont="1" applyFill="1" applyBorder="1" applyAlignment="1">
      <alignment vertical="center"/>
    </xf>
    <xf numFmtId="2" fontId="5" fillId="2" borderId="0" xfId="1" applyNumberFormat="1" applyFont="1" applyFill="1" applyAlignment="1">
      <alignment vertical="center"/>
    </xf>
    <xf numFmtId="4" fontId="4" fillId="0" borderId="20" xfId="1" applyNumberFormat="1" applyFont="1" applyFill="1" applyBorder="1" applyAlignment="1">
      <alignment vertical="center"/>
    </xf>
    <xf numFmtId="0" fontId="29" fillId="0" borderId="0" xfId="1" applyFont="1" applyBorder="1" applyAlignment="1">
      <alignment vertical="center" wrapText="1"/>
    </xf>
    <xf numFmtId="0" fontId="28" fillId="0" borderId="0" xfId="1" applyFont="1" applyBorder="1" applyAlignment="1">
      <alignment horizontal="left" vertical="center" wrapText="1"/>
    </xf>
    <xf numFmtId="0" fontId="5" fillId="2" borderId="0" xfId="1" applyFont="1" applyFill="1" applyBorder="1" applyAlignment="1">
      <alignment horizontal="left" vertical="center" wrapText="1"/>
    </xf>
    <xf numFmtId="0" fontId="0" fillId="2" borderId="0" xfId="0" applyFill="1" applyBorder="1" applyAlignment="1">
      <alignment vertical="center" wrapText="1"/>
    </xf>
    <xf numFmtId="4" fontId="7" fillId="2" borderId="0" xfId="1" applyNumberFormat="1" applyFont="1" applyFill="1" applyBorder="1" applyAlignment="1">
      <alignment horizontal="right" vertical="center"/>
    </xf>
    <xf numFmtId="4" fontId="5" fillId="2" borderId="21" xfId="1" applyNumberFormat="1" applyFont="1" applyFill="1" applyBorder="1" applyAlignment="1">
      <alignment vertical="center"/>
    </xf>
    <xf numFmtId="4" fontId="5" fillId="0" borderId="20" xfId="1" applyNumberFormat="1" applyFont="1" applyFill="1" applyBorder="1" applyAlignment="1">
      <alignment vertical="center"/>
    </xf>
    <xf numFmtId="4" fontId="5" fillId="2" borderId="25" xfId="1" applyNumberFormat="1" applyFont="1" applyFill="1" applyBorder="1" applyAlignment="1">
      <alignment vertical="center"/>
    </xf>
    <xf numFmtId="4" fontId="5" fillId="2" borderId="21" xfId="1" applyNumberFormat="1" applyFont="1" applyFill="1" applyBorder="1" applyAlignment="1">
      <alignment horizontal="right" vertical="center" wrapText="1"/>
    </xf>
    <xf numFmtId="4" fontId="5" fillId="2" borderId="21" xfId="1" applyNumberFormat="1" applyFont="1" applyFill="1" applyBorder="1" applyAlignment="1">
      <alignment horizontal="right" vertical="center"/>
    </xf>
    <xf numFmtId="4" fontId="5" fillId="2" borderId="25" xfId="1" applyNumberFormat="1" applyFont="1" applyFill="1" applyBorder="1" applyAlignment="1">
      <alignment horizontal="right" vertical="center"/>
    </xf>
    <xf numFmtId="165" fontId="7" fillId="2" borderId="0" xfId="1" applyNumberFormat="1" applyFont="1" applyFill="1" applyBorder="1" applyAlignment="1">
      <alignment horizontal="right" vertical="center"/>
    </xf>
    <xf numFmtId="0" fontId="4" fillId="0" borderId="20" xfId="1" applyFont="1" applyFill="1" applyBorder="1" applyAlignment="1">
      <alignment horizontal="left" vertical="center" wrapText="1"/>
    </xf>
    <xf numFmtId="4" fontId="5" fillId="0" borderId="21" xfId="1" applyNumberFormat="1" applyFont="1" applyFill="1" applyBorder="1" applyAlignment="1">
      <alignment vertical="center"/>
    </xf>
    <xf numFmtId="0" fontId="4" fillId="0" borderId="0" xfId="1" applyFont="1" applyBorder="1" applyAlignment="1">
      <alignment horizontal="left" vertical="center" wrapText="1"/>
    </xf>
    <xf numFmtId="4" fontId="4" fillId="2" borderId="20" xfId="1" applyNumberFormat="1" applyFont="1" applyFill="1" applyBorder="1" applyAlignment="1">
      <alignment horizontal="center" vertical="center"/>
    </xf>
    <xf numFmtId="4" fontId="4" fillId="2" borderId="0" xfId="1" applyNumberFormat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left" vertical="center" wrapText="1"/>
    </xf>
    <xf numFmtId="0" fontId="5" fillId="0" borderId="20" xfId="1" applyFont="1" applyBorder="1" applyAlignment="1">
      <alignment horizontal="left" vertical="center" wrapText="1"/>
    </xf>
    <xf numFmtId="4" fontId="5" fillId="2" borderId="20" xfId="1" applyNumberFormat="1" applyFont="1" applyFill="1" applyBorder="1" applyAlignment="1">
      <alignment horizontal="center" vertical="center"/>
    </xf>
    <xf numFmtId="3" fontId="4" fillId="2" borderId="0" xfId="1" applyNumberFormat="1" applyFont="1" applyFill="1" applyBorder="1" applyAlignment="1">
      <alignment horizontal="center" vertical="center"/>
    </xf>
    <xf numFmtId="4" fontId="4" fillId="2" borderId="0" xfId="1" applyNumberFormat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left" vertical="center" wrapText="1"/>
    </xf>
    <xf numFmtId="0" fontId="5" fillId="2" borderId="0" xfId="1" applyFont="1" applyFill="1" applyBorder="1" applyAlignment="1">
      <alignment horizontal="left" vertical="center" wrapText="1"/>
    </xf>
    <xf numFmtId="4" fontId="4" fillId="2" borderId="0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5" fillId="2" borderId="22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5" fillId="2" borderId="23" xfId="1" applyFont="1" applyFill="1" applyBorder="1" applyAlignment="1">
      <alignment horizontal="center" vertical="center" wrapText="1"/>
    </xf>
    <xf numFmtId="4" fontId="5" fillId="2" borderId="0" xfId="1" applyNumberFormat="1" applyFont="1" applyFill="1" applyAlignment="1">
      <alignment horizontal="right" vertical="center"/>
    </xf>
    <xf numFmtId="0" fontId="5" fillId="2" borderId="0" xfId="1" applyFont="1" applyFill="1" applyAlignment="1">
      <alignment horizontal="left" vertical="center"/>
    </xf>
    <xf numFmtId="4" fontId="4" fillId="2" borderId="34" xfId="1" applyNumberFormat="1" applyFont="1" applyFill="1" applyBorder="1" applyAlignment="1">
      <alignment horizontal="center" vertical="center"/>
    </xf>
    <xf numFmtId="4" fontId="4" fillId="2" borderId="35" xfId="1" applyNumberFormat="1" applyFont="1" applyFill="1" applyBorder="1" applyAlignment="1">
      <alignment horizontal="center" vertical="center"/>
    </xf>
    <xf numFmtId="4" fontId="4" fillId="2" borderId="36" xfId="1" applyNumberFormat="1" applyFont="1" applyFill="1" applyBorder="1" applyAlignment="1">
      <alignment horizontal="center" vertical="center"/>
    </xf>
    <xf numFmtId="4" fontId="4" fillId="2" borderId="37" xfId="1" applyNumberFormat="1" applyFont="1" applyFill="1" applyBorder="1" applyAlignment="1">
      <alignment horizontal="center" vertical="center"/>
    </xf>
    <xf numFmtId="4" fontId="4" fillId="2" borderId="38" xfId="1" applyNumberFormat="1" applyFont="1" applyFill="1" applyBorder="1" applyAlignment="1">
      <alignment horizontal="center" vertical="center"/>
    </xf>
    <xf numFmtId="4" fontId="4" fillId="2" borderId="9" xfId="1" applyNumberFormat="1" applyFont="1" applyFill="1" applyBorder="1" applyAlignment="1">
      <alignment horizontal="center" vertical="center"/>
    </xf>
    <xf numFmtId="0" fontId="4" fillId="2" borderId="34" xfId="1" applyFont="1" applyFill="1" applyBorder="1" applyAlignment="1">
      <alignment horizontal="center" vertical="center"/>
    </xf>
    <xf numFmtId="0" fontId="4" fillId="2" borderId="35" xfId="1" applyFont="1" applyFill="1" applyBorder="1" applyAlignment="1">
      <alignment horizontal="center" vertical="center"/>
    </xf>
    <xf numFmtId="0" fontId="4" fillId="2" borderId="36" xfId="1" applyFont="1" applyFill="1" applyBorder="1" applyAlignment="1">
      <alignment horizontal="center" vertical="center"/>
    </xf>
    <xf numFmtId="0" fontId="4" fillId="2" borderId="37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38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left" vertical="center" wrapText="1"/>
    </xf>
    <xf numFmtId="4" fontId="4" fillId="2" borderId="0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5" fillId="2" borderId="22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5" fillId="2" borderId="23" xfId="1" applyFont="1" applyFill="1" applyBorder="1" applyAlignment="1">
      <alignment horizontal="center" vertical="center" wrapText="1"/>
    </xf>
    <xf numFmtId="0" fontId="4" fillId="2" borderId="0" xfId="1" applyFont="1" applyFill="1" applyAlignment="1">
      <alignment horizontal="center" vertical="center"/>
    </xf>
    <xf numFmtId="0" fontId="4" fillId="2" borderId="39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left" vertical="center" wrapText="1"/>
    </xf>
    <xf numFmtId="4" fontId="4" fillId="2" borderId="5" xfId="1" applyNumberFormat="1" applyFont="1" applyFill="1" applyBorder="1" applyAlignment="1">
      <alignment horizontal="right" vertical="center"/>
    </xf>
    <xf numFmtId="4" fontId="5" fillId="2" borderId="41" xfId="1" applyNumberFormat="1" applyFont="1" applyFill="1" applyBorder="1" applyAlignment="1">
      <alignment horizontal="right" vertical="center"/>
    </xf>
    <xf numFmtId="4" fontId="4" fillId="2" borderId="6" xfId="1" applyNumberFormat="1" applyFont="1" applyFill="1" applyBorder="1" applyAlignment="1">
      <alignment horizontal="right" vertical="center" wrapText="1"/>
    </xf>
    <xf numFmtId="4" fontId="5" fillId="2" borderId="40" xfId="1" applyNumberFormat="1" applyFont="1" applyFill="1" applyBorder="1" applyAlignment="1">
      <alignment horizontal="right" vertical="center"/>
    </xf>
    <xf numFmtId="4" fontId="0" fillId="0" borderId="0" xfId="0" applyNumberFormat="1"/>
    <xf numFmtId="2" fontId="0" fillId="0" borderId="0" xfId="0" applyNumberFormat="1"/>
    <xf numFmtId="0" fontId="5" fillId="2" borderId="0" xfId="1" applyFont="1" applyFill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5" fillId="2" borderId="22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2" borderId="0" xfId="1" applyFont="1" applyFill="1" applyBorder="1" applyAlignment="1">
      <alignment horizontal="left" vertical="center" wrapText="1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4" fillId="2" borderId="0" xfId="1" applyFont="1" applyFill="1" applyAlignment="1">
      <alignment horizontal="center" vertical="center" wrapText="1"/>
    </xf>
    <xf numFmtId="0" fontId="4" fillId="2" borderId="0" xfId="1" applyFont="1" applyFill="1" applyAlignment="1">
      <alignment vertical="center" wrapText="1"/>
    </xf>
    <xf numFmtId="164" fontId="4" fillId="2" borderId="20" xfId="1" applyNumberFormat="1" applyFont="1" applyFill="1" applyBorder="1"/>
    <xf numFmtId="4" fontId="0" fillId="0" borderId="20" xfId="0" applyNumberFormat="1" applyBorder="1"/>
    <xf numFmtId="4" fontId="4" fillId="2" borderId="0" xfId="1" applyNumberFormat="1" applyFont="1" applyFill="1" applyAlignment="1">
      <alignment horizontal="center" vertical="center"/>
    </xf>
    <xf numFmtId="3" fontId="4" fillId="2" borderId="0" xfId="1" applyNumberFormat="1" applyFont="1" applyFill="1" applyAlignment="1">
      <alignment horizontal="center" vertical="center"/>
    </xf>
    <xf numFmtId="0" fontId="4" fillId="2" borderId="19" xfId="1" applyFont="1" applyFill="1" applyBorder="1" applyAlignment="1">
      <alignment vertical="center" wrapText="1"/>
    </xf>
    <xf numFmtId="164" fontId="4" fillId="2" borderId="0" xfId="1" applyNumberFormat="1" applyFont="1" applyFill="1" applyAlignment="1">
      <alignment vertical="center" wrapText="1"/>
    </xf>
    <xf numFmtId="2" fontId="4" fillId="2" borderId="0" xfId="1" applyNumberFormat="1" applyFont="1" applyFill="1" applyAlignment="1">
      <alignment vertical="center" wrapText="1"/>
    </xf>
    <xf numFmtId="0" fontId="4" fillId="0" borderId="0" xfId="1" applyFont="1" applyAlignment="1">
      <alignment vertical="center"/>
    </xf>
    <xf numFmtId="4" fontId="4" fillId="0" borderId="6" xfId="1" applyNumberFormat="1" applyFont="1" applyBorder="1" applyAlignment="1">
      <alignment horizontal="right" vertical="center" wrapText="1"/>
    </xf>
    <xf numFmtId="4" fontId="4" fillId="0" borderId="20" xfId="1" applyNumberFormat="1" applyFont="1" applyBorder="1" applyAlignment="1">
      <alignment horizontal="right" vertical="center"/>
    </xf>
    <xf numFmtId="49" fontId="4" fillId="0" borderId="22" xfId="1" applyNumberFormat="1" applyFont="1" applyBorder="1" applyAlignment="1">
      <alignment horizontal="center" vertical="center" wrapText="1"/>
    </xf>
    <xf numFmtId="4" fontId="4" fillId="2" borderId="5" xfId="1" applyNumberFormat="1" applyFont="1" applyFill="1" applyBorder="1" applyAlignment="1">
      <alignment horizontal="right" vertical="center" wrapText="1"/>
    </xf>
    <xf numFmtId="4" fontId="5" fillId="2" borderId="43" xfId="1" applyNumberFormat="1" applyFont="1" applyFill="1" applyBorder="1" applyAlignment="1">
      <alignment horizontal="right" vertical="center"/>
    </xf>
    <xf numFmtId="0" fontId="4" fillId="0" borderId="31" xfId="1" applyFont="1" applyBorder="1" applyAlignment="1">
      <alignment horizontal="left" vertical="center" wrapText="1"/>
    </xf>
    <xf numFmtId="4" fontId="5" fillId="2" borderId="1" xfId="1" applyNumberFormat="1" applyFont="1" applyFill="1" applyBorder="1" applyAlignment="1">
      <alignment horizontal="right" vertical="center"/>
    </xf>
    <xf numFmtId="4" fontId="4" fillId="0" borderId="22" xfId="1" applyNumberFormat="1" applyFont="1" applyBorder="1" applyAlignment="1">
      <alignment horizontal="right" vertical="center"/>
    </xf>
    <xf numFmtId="0" fontId="4" fillId="0" borderId="24" xfId="1" applyFont="1" applyBorder="1" applyAlignment="1">
      <alignment vertical="center" wrapText="1"/>
    </xf>
    <xf numFmtId="4" fontId="5" fillId="2" borderId="6" xfId="1" applyNumberFormat="1" applyFont="1" applyFill="1" applyBorder="1" applyAlignment="1">
      <alignment vertical="center"/>
    </xf>
    <xf numFmtId="4" fontId="4" fillId="2" borderId="0" xfId="1" applyNumberFormat="1" applyFont="1" applyFill="1" applyBorder="1" applyAlignment="1">
      <alignment horizontal="center" vertical="center"/>
    </xf>
    <xf numFmtId="0" fontId="4" fillId="2" borderId="31" xfId="1" applyFont="1" applyFill="1" applyBorder="1" applyAlignment="1">
      <alignment horizontal="left" vertical="center" wrapText="1"/>
    </xf>
    <xf numFmtId="4" fontId="4" fillId="2" borderId="22" xfId="1" applyNumberFormat="1" applyFont="1" applyFill="1" applyBorder="1" applyAlignment="1">
      <alignment horizontal="right" vertical="center"/>
    </xf>
    <xf numFmtId="0" fontId="30" fillId="2" borderId="0" xfId="1" applyFont="1" applyFill="1" applyAlignment="1">
      <alignment vertical="center"/>
    </xf>
    <xf numFmtId="2" fontId="4" fillId="2" borderId="0" xfId="1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left" vertical="center" indent="1"/>
    </xf>
    <xf numFmtId="0" fontId="3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0" xfId="0" applyBorder="1" applyAlignment="1">
      <alignment vertical="center"/>
    </xf>
    <xf numFmtId="0" fontId="0" fillId="0" borderId="20" xfId="0" applyBorder="1"/>
    <xf numFmtId="0" fontId="0" fillId="0" borderId="20" xfId="0" applyBorder="1" applyAlignment="1">
      <alignment wrapText="1"/>
    </xf>
    <xf numFmtId="0" fontId="22" fillId="0" borderId="20" xfId="0" applyFont="1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2" fillId="0" borderId="0" xfId="0" applyFont="1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wrapText="1"/>
    </xf>
    <xf numFmtId="0" fontId="1" fillId="0" borderId="0" xfId="0" applyFont="1" applyBorder="1"/>
    <xf numFmtId="0" fontId="5" fillId="2" borderId="1" xfId="1" applyFont="1" applyFill="1" applyBorder="1" applyAlignment="1">
      <alignment horizontal="center" vertical="center" wrapText="1"/>
    </xf>
    <xf numFmtId="4" fontId="4" fillId="2" borderId="0" xfId="1" applyNumberFormat="1" applyFont="1" applyFill="1" applyBorder="1" applyAlignment="1">
      <alignment horizontal="center" vertical="center"/>
    </xf>
    <xf numFmtId="4" fontId="4" fillId="0" borderId="6" xfId="1" applyNumberFormat="1" applyFont="1" applyFill="1" applyBorder="1" applyAlignment="1">
      <alignment horizontal="right" vertical="center" wrapText="1"/>
    </xf>
    <xf numFmtId="4" fontId="4" fillId="0" borderId="44" xfId="1" applyNumberFormat="1" applyFont="1" applyFill="1" applyBorder="1" applyAlignment="1">
      <alignment vertical="center"/>
    </xf>
    <xf numFmtId="0" fontId="5" fillId="2" borderId="7" xfId="1" applyFont="1" applyFill="1" applyBorder="1" applyAlignment="1">
      <alignment horizontal="center" vertical="center" wrapText="1"/>
    </xf>
    <xf numFmtId="0" fontId="4" fillId="0" borderId="20" xfId="1" applyFont="1" applyFill="1" applyBorder="1" applyAlignment="1">
      <alignment vertical="center" wrapText="1"/>
    </xf>
    <xf numFmtId="0" fontId="4" fillId="0" borderId="26" xfId="1" applyFont="1" applyBorder="1" applyAlignment="1">
      <alignment horizontal="left" vertical="center" wrapText="1"/>
    </xf>
    <xf numFmtId="4" fontId="7" fillId="2" borderId="53" xfId="1" applyNumberFormat="1" applyFont="1" applyFill="1" applyBorder="1" applyAlignment="1">
      <alignment horizontal="right" vertical="center"/>
    </xf>
    <xf numFmtId="4" fontId="7" fillId="2" borderId="40" xfId="1" applyNumberFormat="1" applyFont="1" applyFill="1" applyBorder="1" applyAlignment="1">
      <alignment horizontal="right" vertical="center"/>
    </xf>
    <xf numFmtId="4" fontId="4" fillId="0" borderId="20" xfId="1" applyNumberFormat="1" applyFont="1" applyFill="1" applyBorder="1" applyAlignment="1">
      <alignment horizontal="right" vertical="center" wrapText="1"/>
    </xf>
    <xf numFmtId="0" fontId="28" fillId="0" borderId="54" xfId="1" applyFont="1" applyBorder="1" applyAlignment="1">
      <alignment horizontal="left" vertical="center" wrapText="1"/>
    </xf>
    <xf numFmtId="0" fontId="4" fillId="0" borderId="44" xfId="1" applyFont="1" applyBorder="1" applyAlignment="1">
      <alignment horizontal="left" vertical="center" wrapText="1"/>
    </xf>
    <xf numFmtId="4" fontId="4" fillId="2" borderId="44" xfId="1" applyNumberFormat="1" applyFont="1" applyFill="1" applyBorder="1" applyAlignment="1">
      <alignment vertical="center"/>
    </xf>
    <xf numFmtId="4" fontId="5" fillId="2" borderId="43" xfId="1" applyNumberFormat="1" applyFont="1" applyFill="1" applyBorder="1" applyAlignment="1">
      <alignment vertical="center"/>
    </xf>
    <xf numFmtId="0" fontId="5" fillId="2" borderId="26" xfId="1" applyFont="1" applyFill="1" applyBorder="1" applyAlignment="1">
      <alignment horizontal="center" vertical="center" wrapText="1"/>
    </xf>
    <xf numFmtId="0" fontId="4" fillId="0" borderId="4" xfId="1" applyFont="1" applyBorder="1" applyAlignment="1">
      <alignment horizontal="left" vertical="center" wrapText="1"/>
    </xf>
    <xf numFmtId="4" fontId="4" fillId="2" borderId="4" xfId="1" applyNumberFormat="1" applyFont="1" applyFill="1" applyBorder="1" applyAlignment="1">
      <alignment vertical="center"/>
    </xf>
    <xf numFmtId="4" fontId="5" fillId="2" borderId="27" xfId="1" applyNumberFormat="1" applyFont="1" applyFill="1" applyBorder="1" applyAlignment="1">
      <alignment vertical="center"/>
    </xf>
    <xf numFmtId="0" fontId="5" fillId="2" borderId="0" xfId="1" applyFont="1" applyFill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4" fontId="5" fillId="2" borderId="21" xfId="1" applyNumberFormat="1" applyFont="1" applyFill="1" applyBorder="1" applyAlignment="1">
      <alignment horizontal="center" vertical="center" wrapText="1"/>
    </xf>
    <xf numFmtId="4" fontId="5" fillId="2" borderId="20" xfId="1" applyNumberFormat="1" applyFont="1" applyFill="1" applyBorder="1" applyAlignment="1">
      <alignment horizontal="center" vertical="center" wrapText="1"/>
    </xf>
    <xf numFmtId="0" fontId="5" fillId="2" borderId="52" xfId="1" applyFont="1" applyFill="1" applyBorder="1" applyAlignment="1">
      <alignment vertical="center" wrapText="1"/>
    </xf>
    <xf numFmtId="0" fontId="0" fillId="2" borderId="53" xfId="0" applyFill="1" applyBorder="1" applyAlignment="1">
      <alignment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22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2" borderId="20" xfId="1" applyFont="1" applyFill="1" applyBorder="1" applyAlignment="1">
      <alignment horizontal="center" vertical="center" wrapText="1"/>
    </xf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28" xfId="1" applyFont="1" applyFill="1" applyBorder="1" applyAlignment="1">
      <alignment horizontal="left" vertical="center" wrapText="1"/>
    </xf>
    <xf numFmtId="0" fontId="0" fillId="2" borderId="29" xfId="0" applyFill="1" applyBorder="1" applyAlignment="1">
      <alignment vertical="center" wrapText="1"/>
    </xf>
    <xf numFmtId="0" fontId="5" fillId="2" borderId="0" xfId="1" applyFont="1" applyFill="1" applyBorder="1" applyAlignment="1">
      <alignment horizontal="left" vertical="center" wrapText="1"/>
    </xf>
    <xf numFmtId="4" fontId="4" fillId="0" borderId="31" xfId="1" applyNumberFormat="1" applyFont="1" applyFill="1" applyBorder="1" applyAlignment="1">
      <alignment horizontal="center" vertical="center"/>
    </xf>
    <xf numFmtId="4" fontId="4" fillId="0" borderId="32" xfId="1" applyNumberFormat="1" applyFont="1" applyFill="1" applyBorder="1" applyAlignment="1">
      <alignment horizontal="center" vertical="center"/>
    </xf>
    <xf numFmtId="4" fontId="4" fillId="0" borderId="33" xfId="1" applyNumberFormat="1" applyFont="1" applyFill="1" applyBorder="1" applyAlignment="1">
      <alignment horizontal="center" vertical="center"/>
    </xf>
    <xf numFmtId="4" fontId="4" fillId="2" borderId="31" xfId="1" applyNumberFormat="1" applyFont="1" applyFill="1" applyBorder="1" applyAlignment="1">
      <alignment horizontal="center" vertical="center"/>
    </xf>
    <xf numFmtId="4" fontId="4" fillId="2" borderId="32" xfId="1" applyNumberFormat="1" applyFont="1" applyFill="1" applyBorder="1" applyAlignment="1">
      <alignment horizontal="center" vertical="center"/>
    </xf>
    <xf numFmtId="4" fontId="4" fillId="2" borderId="0" xfId="1" applyNumberFormat="1" applyFont="1" applyFill="1" applyBorder="1" applyAlignment="1">
      <alignment horizontal="center" vertical="center"/>
    </xf>
    <xf numFmtId="4" fontId="4" fillId="2" borderId="49" xfId="1" applyNumberFormat="1" applyFont="1" applyFill="1" applyBorder="1" applyAlignment="1">
      <alignment horizontal="center" vertical="center"/>
    </xf>
    <xf numFmtId="4" fontId="4" fillId="2" borderId="50" xfId="1" applyNumberFormat="1" applyFont="1" applyFill="1" applyBorder="1" applyAlignment="1">
      <alignment horizontal="center" vertical="center"/>
    </xf>
    <xf numFmtId="4" fontId="4" fillId="2" borderId="51" xfId="1" applyNumberFormat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4" fillId="2" borderId="42" xfId="1" applyFont="1" applyFill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2" borderId="26" xfId="1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5" fillId="2" borderId="55" xfId="1" applyFont="1" applyFill="1" applyBorder="1" applyAlignment="1">
      <alignment horizontal="left" vertical="center" wrapText="1"/>
    </xf>
    <xf numFmtId="0" fontId="5" fillId="2" borderId="52" xfId="1" applyFont="1" applyFill="1" applyBorder="1" applyAlignment="1">
      <alignment horizontal="left" vertical="center" wrapText="1"/>
    </xf>
  </cellXfs>
  <cellStyles count="47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Normal" xfId="45" xr:uid="{659137CD-3943-4139-AC4C-B18E1441787E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7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Обычный 2" xfId="1" xr:uid="{00000000-0005-0000-0000-000001000000}"/>
    <cellStyle name="Обычный 3" xfId="42" xr:uid="{8DF518EB-2C68-4609-A81F-6ADC846899D0}"/>
    <cellStyle name="Обычный 4" xfId="44" xr:uid="{53DE2654-AF92-4A8C-8F01-ABC2844E1AC9}"/>
    <cellStyle name="Обычный 5" xfId="46" xr:uid="{D1E6B386-E91F-41C6-8CC3-D5399CA4BFCC}"/>
    <cellStyle name="Плохой" xfId="8" builtinId="27" customBuiltin="1"/>
    <cellStyle name="Пояснение" xfId="16" builtinId="53" customBuiltin="1"/>
    <cellStyle name="Примечание 2" xfId="43" xr:uid="{AD3F9400-9619-4C82-987C-EAF6678E20F4}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0"/>
  <tableStyles count="0" defaultTableStyle="TableStyleMedium2" defaultPivotStyle="PivotStyleLight16"/>
  <colors>
    <mruColors>
      <color rgb="FF9C5B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%20&#1055;&#1080;&#1088;&#1089;-1%20(1-4%20&#1082;&#1074;&#1072;&#1088;&#1090;&#1072;&#1083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ИРС-1"/>
      <sheetName val="тх2"/>
      <sheetName val="тх4"/>
      <sheetName val="тх6"/>
      <sheetName val="КТ"/>
      <sheetName val="УВ1"/>
      <sheetName val="УВ3"/>
      <sheetName val="УВ5"/>
      <sheetName val="УВ7"/>
      <sheetName val="УВ9"/>
      <sheetName val="УВ11"/>
      <sheetName val="УВ13"/>
      <sheetName val="УВ15"/>
      <sheetName val="УВ17"/>
      <sheetName val="УВ19"/>
      <sheetName val="УВ21"/>
      <sheetName val="Лист15"/>
      <sheetName val="информационно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6">
          <cell r="D6">
            <v>382.33653737004119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fitToPage="1"/>
  </sheetPr>
  <dimension ref="A1:T86"/>
  <sheetViews>
    <sheetView showGridLines="0" tabSelected="1" view="pageBreakPreview" topLeftCell="A50" zoomScale="60" zoomScaleNormal="70" workbookViewId="0">
      <selection activeCell="C68" sqref="C68:F69"/>
    </sheetView>
  </sheetViews>
  <sheetFormatPr defaultColWidth="10.140625" defaultRowHeight="18.75" outlineLevelRow="1" x14ac:dyDescent="0.25"/>
  <cols>
    <col min="1" max="1" width="8" style="2" customWidth="1"/>
    <col min="2" max="2" width="84.7109375" style="2" customWidth="1"/>
    <col min="3" max="7" width="16.7109375" style="3" customWidth="1"/>
    <col min="8" max="8" width="38" style="2" customWidth="1"/>
    <col min="9" max="9" width="14.85546875" style="2" customWidth="1"/>
    <col min="10" max="10" width="23.7109375" style="2" bestFit="1" customWidth="1"/>
    <col min="11" max="11" width="13.28515625" style="2" bestFit="1" customWidth="1"/>
    <col min="12" max="12" width="11.5703125" style="2" bestFit="1" customWidth="1"/>
    <col min="13" max="13" width="10.42578125" style="2" bestFit="1" customWidth="1"/>
    <col min="14" max="17" width="10.140625" style="2"/>
    <col min="18" max="18" width="64.7109375" style="2" customWidth="1"/>
    <col min="19" max="16384" width="10.140625" style="2"/>
  </cols>
  <sheetData>
    <row r="1" spans="1:15" x14ac:dyDescent="0.25">
      <c r="A1" s="200"/>
      <c r="B1" s="200"/>
      <c r="C1" s="200"/>
      <c r="D1" s="5"/>
      <c r="E1" s="5"/>
      <c r="F1" s="5"/>
      <c r="G1" s="5"/>
      <c r="H1" s="3">
        <f>Лист15!B9</f>
        <v>34436.999999999993</v>
      </c>
    </row>
    <row r="2" spans="1:15" x14ac:dyDescent="0.25">
      <c r="A2" s="200" t="s">
        <v>84</v>
      </c>
      <c r="B2" s="200"/>
      <c r="C2" s="200"/>
      <c r="D2" s="200"/>
      <c r="E2" s="200"/>
      <c r="F2" s="200"/>
      <c r="G2" s="200"/>
      <c r="H2" s="2">
        <f>SUM(мр1!J5+'мр1-1'!J5+'мр1-2'!J5+мр2!J5+мр3!J5+мр4!J5+мр5!J5)</f>
        <v>534</v>
      </c>
    </row>
    <row r="3" spans="1:15" ht="19.5" thickBot="1" x14ac:dyDescent="0.3">
      <c r="A3" s="201" t="s">
        <v>74</v>
      </c>
      <c r="B3" s="201"/>
      <c r="C3" s="201"/>
      <c r="D3" s="201"/>
      <c r="E3" s="201"/>
      <c r="F3" s="201"/>
      <c r="G3" s="201"/>
    </row>
    <row r="4" spans="1:15" x14ac:dyDescent="0.25">
      <c r="A4" s="207" t="s">
        <v>0</v>
      </c>
      <c r="B4" s="209" t="s">
        <v>1</v>
      </c>
      <c r="C4" s="13"/>
      <c r="D4" s="13"/>
      <c r="E4" s="13"/>
      <c r="F4" s="13"/>
      <c r="G4" s="14"/>
    </row>
    <row r="5" spans="1:15" ht="18" customHeight="1" x14ac:dyDescent="0.25">
      <c r="A5" s="208"/>
      <c r="B5" s="210"/>
      <c r="C5" s="203" t="s">
        <v>76</v>
      </c>
      <c r="D5" s="203" t="s">
        <v>77</v>
      </c>
      <c r="E5" s="203" t="s">
        <v>78</v>
      </c>
      <c r="F5" s="203" t="s">
        <v>79</v>
      </c>
      <c r="G5" s="202" t="s">
        <v>80</v>
      </c>
    </row>
    <row r="6" spans="1:15" x14ac:dyDescent="0.25">
      <c r="A6" s="208"/>
      <c r="B6" s="210"/>
      <c r="C6" s="203"/>
      <c r="D6" s="203"/>
      <c r="E6" s="203"/>
      <c r="F6" s="203"/>
      <c r="G6" s="202"/>
    </row>
    <row r="7" spans="1:15" ht="19.5" thickBot="1" x14ac:dyDescent="0.3">
      <c r="A7" s="15">
        <v>1</v>
      </c>
      <c r="B7" s="16">
        <v>2</v>
      </c>
      <c r="C7" s="17">
        <v>3</v>
      </c>
      <c r="D7" s="17">
        <v>4</v>
      </c>
      <c r="E7" s="17">
        <v>5</v>
      </c>
      <c r="F7" s="17">
        <v>5</v>
      </c>
      <c r="G7" s="18">
        <v>7</v>
      </c>
    </row>
    <row r="8" spans="1:15" ht="26.1" customHeight="1" thickBot="1" x14ac:dyDescent="0.3">
      <c r="A8" s="206" t="s">
        <v>2</v>
      </c>
      <c r="B8" s="206"/>
      <c r="C8" s="19" t="s">
        <v>8</v>
      </c>
      <c r="D8" s="19" t="s">
        <v>8</v>
      </c>
      <c r="E8" s="19" t="s">
        <v>8</v>
      </c>
      <c r="F8" s="19" t="s">
        <v>8</v>
      </c>
      <c r="G8" s="19" t="s">
        <v>8</v>
      </c>
    </row>
    <row r="9" spans="1:15" ht="20.100000000000001" customHeight="1" x14ac:dyDescent="0.25">
      <c r="A9" s="20">
        <v>1</v>
      </c>
      <c r="B9" s="21" t="s">
        <v>15</v>
      </c>
      <c r="C9" s="22">
        <f>SUM(C10:C13)</f>
        <v>23893.439999999999</v>
      </c>
      <c r="D9" s="22">
        <f>SUM(D10:D13)</f>
        <v>22214.155008000002</v>
      </c>
      <c r="E9" s="22">
        <f>SUM(E10:E13)</f>
        <v>22804.401118000002</v>
      </c>
      <c r="F9" s="22">
        <f>SUM(F10:F13)</f>
        <v>27148.466778000002</v>
      </c>
      <c r="G9" s="8">
        <f>SUM(G10:G13)</f>
        <v>96060.462904</v>
      </c>
    </row>
    <row r="10" spans="1:15" ht="20.100000000000001" customHeight="1" x14ac:dyDescent="0.25">
      <c r="A10" s="23"/>
      <c r="B10" s="10" t="s">
        <v>3</v>
      </c>
      <c r="C10" s="12">
        <v>12985.05</v>
      </c>
      <c r="D10" s="12">
        <f>мр1!D10+'мр1-1'!D10+'мр1-2'!D10+мр2!D10+мр3!D10+мр4!D10+мр5!D10</f>
        <v>13329.15756</v>
      </c>
      <c r="E10" s="12">
        <f>мр1!E10+'мр1-1'!E10+'мр1-2'!E10+мр2!E10+мр3!E10+мр4!E10+мр5!E10</f>
        <v>12752.31612</v>
      </c>
      <c r="F10" s="12">
        <f>мр1!F10+'мр1-1'!F10+'мр1-2'!F10+мр2!F10+мр3!F10+мр4!F10+мр5!F10</f>
        <v>12752.31612</v>
      </c>
      <c r="G10" s="77">
        <f>SUM(C10:F10)</f>
        <v>51818.839800000002</v>
      </c>
      <c r="H10" s="41"/>
      <c r="I10" s="41"/>
      <c r="J10" s="40"/>
      <c r="K10" s="40"/>
      <c r="L10" s="40"/>
      <c r="M10" s="41"/>
      <c r="N10" s="41"/>
      <c r="O10" s="40"/>
    </row>
    <row r="11" spans="1:15" ht="20.100000000000001" customHeight="1" x14ac:dyDescent="0.25">
      <c r="A11" s="23"/>
      <c r="B11" s="10" t="s">
        <v>10</v>
      </c>
      <c r="C11" s="12">
        <v>2780.1</v>
      </c>
      <c r="D11" s="12">
        <f>мр1!D13+'мр1-1'!D13+'мр1-2'!D13+мр2!D13+мр3!D13+мр4!D13+мр5!D13</f>
        <v>1754.19</v>
      </c>
      <c r="E11" s="12">
        <f>мр1!E13+'мр1-1'!E13+'мр1-2'!E13+мр2!E13+мр3!E13+мр4!E13+мр5!E13</f>
        <v>2534.88706</v>
      </c>
      <c r="F11" s="12">
        <f>мр1!F13+'мр1-1'!F13+'мр1-2'!F13+мр2!F13+мр3!F13+мр4!F13+мр5!F13</f>
        <v>4192.4011799999998</v>
      </c>
      <c r="G11" s="77">
        <f t="shared" ref="G11:G13" si="0">SUM(C11:F11)</f>
        <v>11261.578239999999</v>
      </c>
      <c r="H11" s="41"/>
      <c r="I11" s="41"/>
      <c r="J11" s="40"/>
      <c r="K11" s="40"/>
      <c r="L11" s="40"/>
      <c r="M11" s="41"/>
      <c r="N11" s="41"/>
      <c r="O11" s="40"/>
    </row>
    <row r="12" spans="1:15" ht="20.100000000000001" customHeight="1" outlineLevel="1" x14ac:dyDescent="0.25">
      <c r="A12" s="24"/>
      <c r="B12" s="10" t="s">
        <v>11</v>
      </c>
      <c r="C12" s="12">
        <v>4709.1900000000005</v>
      </c>
      <c r="D12" s="12">
        <f>мр1!D14+'мр1-1'!D14+'мр1-2'!D14+мр2!D14+мр3!D14+мр4!D14+мр5!D14</f>
        <v>3350.8500000000004</v>
      </c>
      <c r="E12" s="12">
        <f>мр1!E14+'мр1-1'!E14+'мр1-2'!E14+мр2!E14+мр3!E14+мр4!E14+мр5!E14</f>
        <v>3818.3657699999999</v>
      </c>
      <c r="F12" s="12">
        <f>мр1!F14+'мр1-1'!F14+'мр1-2'!F14+мр2!F14+мр3!F14+мр4!F14+мр5!F14</f>
        <v>6504.9173099999998</v>
      </c>
      <c r="G12" s="77">
        <f t="shared" si="0"/>
        <v>18383.323080000002</v>
      </c>
      <c r="H12" s="41"/>
      <c r="I12" s="41"/>
      <c r="J12" s="40"/>
      <c r="K12" s="40"/>
      <c r="L12" s="40"/>
      <c r="M12" s="41"/>
      <c r="N12" s="41"/>
      <c r="O12" s="40"/>
    </row>
    <row r="13" spans="1:15" ht="20.100000000000001" customHeight="1" outlineLevel="1" thickBot="1" x14ac:dyDescent="0.3">
      <c r="A13" s="24"/>
      <c r="B13" s="10" t="s">
        <v>12</v>
      </c>
      <c r="C13" s="12">
        <v>3419.1</v>
      </c>
      <c r="D13" s="12">
        <f>мр1!D15+'мр1-1'!D15+'мр1-2'!D15+мр2!D15+мр3!D15+мр4!D15+мр5!D15</f>
        <v>3779.9574479999997</v>
      </c>
      <c r="E13" s="12">
        <f>мр1!E15+'мр1-1'!E15+'мр1-2'!E15+мр2!E15+мр3!E15+мр4!E15+мр5!E15</f>
        <v>3698.8321679999995</v>
      </c>
      <c r="F13" s="12">
        <f>мр1!F15+'мр1-1'!F15+'мр1-2'!F15+мр2!F15+мр3!F15+мр4!F15+мр5!F15</f>
        <v>3698.8321679999995</v>
      </c>
      <c r="G13" s="77">
        <f t="shared" si="0"/>
        <v>14596.721783999998</v>
      </c>
      <c r="H13" s="41"/>
      <c r="I13" s="41"/>
      <c r="J13" s="40"/>
      <c r="K13" s="40"/>
      <c r="L13" s="40"/>
      <c r="M13" s="41"/>
      <c r="N13" s="41"/>
      <c r="O13" s="40"/>
    </row>
    <row r="14" spans="1:15" ht="20.100000000000001" customHeight="1" x14ac:dyDescent="0.25">
      <c r="A14" s="20">
        <v>2</v>
      </c>
      <c r="B14" s="28" t="s">
        <v>16</v>
      </c>
      <c r="C14" s="35">
        <f>SUM(C15:C17)</f>
        <v>10268.540000000001</v>
      </c>
      <c r="D14" s="35">
        <f t="shared" ref="D14:G14" si="1">SUM(D15:D17)</f>
        <v>8998.25</v>
      </c>
      <c r="E14" s="35">
        <f t="shared" si="1"/>
        <v>9109.3888399999996</v>
      </c>
      <c r="F14" s="35">
        <f t="shared" si="1"/>
        <v>9331.6665200000007</v>
      </c>
      <c r="G14" s="35">
        <f t="shared" si="1"/>
        <v>37707.845359999999</v>
      </c>
      <c r="H14" s="41"/>
      <c r="I14" s="41"/>
      <c r="M14" s="3"/>
      <c r="N14" s="3"/>
      <c r="O14" s="40"/>
    </row>
    <row r="15" spans="1:15" ht="39" customHeight="1" outlineLevel="1" x14ac:dyDescent="0.25">
      <c r="A15" s="29"/>
      <c r="B15" s="10" t="s">
        <v>25</v>
      </c>
      <c r="C15" s="12">
        <v>2519.61</v>
      </c>
      <c r="D15" s="12">
        <f>мр1!D17+'мр1-1'!D17+'мр1-2'!D17+мр2!D17+мр3!D17+мр4!D17+мр5!D17</f>
        <v>1706.13</v>
      </c>
      <c r="E15" s="12">
        <f>мр1!E17+'мр1-1'!E17+'мр1-2'!E17+мр2!E17+мр3!E17+мр4!E17+мр5!E17</f>
        <v>1817.2688400000002</v>
      </c>
      <c r="F15" s="12">
        <f>мр1!F17+'мр1-1'!F17+'мр1-2'!F17+мр2!F17+мр3!F17+мр4!F17+мр5!F17</f>
        <v>2039.5465200000003</v>
      </c>
      <c r="G15" s="78">
        <f>SUM(C15:F15)</f>
        <v>8082.5553600000003</v>
      </c>
      <c r="H15" s="41"/>
      <c r="I15" s="41"/>
      <c r="M15" s="41"/>
      <c r="N15" s="41"/>
      <c r="O15" s="40"/>
    </row>
    <row r="16" spans="1:15" ht="40.5" customHeight="1" outlineLevel="1" x14ac:dyDescent="0.25">
      <c r="A16" s="29"/>
      <c r="B16" s="10" t="s">
        <v>14</v>
      </c>
      <c r="C16" s="12">
        <v>2355.1799999999998</v>
      </c>
      <c r="D16" s="12">
        <f>мр1!D18+'мр1-1'!D18+'мр1-2'!D18+мр2!D18+мр3!D18+мр4!D18+мр5!D18</f>
        <v>1898.37</v>
      </c>
      <c r="E16" s="12">
        <f>мр1!E18+'мр1-1'!E18+'мр1-2'!E18+мр2!E18+мр3!E18+мр4!E18+мр5!E18</f>
        <v>1898.37</v>
      </c>
      <c r="F16" s="12">
        <f>мр1!F18+'мр1-1'!F18+'мр1-2'!F18+мр2!F18+мр3!F18+мр4!F18+мр5!F18</f>
        <v>1898.37</v>
      </c>
      <c r="G16" s="78">
        <f>SUM(C16:F16)</f>
        <v>8050.2899999999991</v>
      </c>
      <c r="H16" s="41"/>
      <c r="I16" s="41"/>
      <c r="M16" s="41"/>
      <c r="N16" s="41"/>
      <c r="O16" s="40"/>
    </row>
    <row r="17" spans="1:15" ht="40.5" customHeight="1" outlineLevel="1" thickBot="1" x14ac:dyDescent="0.3">
      <c r="A17" s="124"/>
      <c r="B17" s="125" t="s">
        <v>75</v>
      </c>
      <c r="C17" s="150">
        <v>5393.75</v>
      </c>
      <c r="D17" s="150">
        <v>5393.75</v>
      </c>
      <c r="E17" s="150">
        <v>5393.75</v>
      </c>
      <c r="F17" s="150">
        <v>5393.75</v>
      </c>
      <c r="G17" s="129">
        <f>SUM(C17:F17)</f>
        <v>21575</v>
      </c>
      <c r="H17" s="41"/>
      <c r="I17" s="41"/>
      <c r="M17" s="41"/>
      <c r="N17" s="41"/>
      <c r="O17" s="40"/>
    </row>
    <row r="18" spans="1:15" ht="20.100000000000001" customHeight="1" outlineLevel="1" x14ac:dyDescent="0.25">
      <c r="A18" s="20">
        <v>3</v>
      </c>
      <c r="B18" s="28" t="s">
        <v>17</v>
      </c>
      <c r="C18" s="22">
        <f>SUM(C19:C20)</f>
        <v>4693.8599999999997</v>
      </c>
      <c r="D18" s="22">
        <f t="shared" ref="D18:F18" si="2">SUM(D19:D20)</f>
        <v>4693.8599999999997</v>
      </c>
      <c r="E18" s="22">
        <f t="shared" si="2"/>
        <v>4693.8599999999997</v>
      </c>
      <c r="F18" s="22">
        <f t="shared" si="2"/>
        <v>4693.8599999999997</v>
      </c>
      <c r="G18" s="8">
        <f>SUM(G19:G20)</f>
        <v>18775.439999999999</v>
      </c>
      <c r="H18" s="41"/>
      <c r="I18" s="41"/>
    </row>
    <row r="19" spans="1:15" ht="20.100000000000001" customHeight="1" outlineLevel="1" x14ac:dyDescent="0.25">
      <c r="A19" s="29"/>
      <c r="B19" s="10" t="s">
        <v>45</v>
      </c>
      <c r="C19" s="128">
        <v>1489.86</v>
      </c>
      <c r="D19" s="128">
        <v>1489.86</v>
      </c>
      <c r="E19" s="128">
        <v>1489.86</v>
      </c>
      <c r="F19" s="128">
        <v>1489.86</v>
      </c>
      <c r="G19" s="78">
        <f>SUM(C19:F19)</f>
        <v>5959.44</v>
      </c>
      <c r="H19" s="41"/>
      <c r="I19" s="41"/>
    </row>
    <row r="20" spans="1:15" ht="20.100000000000001" customHeight="1" outlineLevel="1" thickBot="1" x14ac:dyDescent="0.3">
      <c r="A20" s="27"/>
      <c r="B20" s="25" t="s">
        <v>18</v>
      </c>
      <c r="C20" s="128">
        <v>3204</v>
      </c>
      <c r="D20" s="128">
        <v>3204</v>
      </c>
      <c r="E20" s="128">
        <v>3204</v>
      </c>
      <c r="F20" s="128">
        <v>3204</v>
      </c>
      <c r="G20" s="79">
        <f>SUM(C20:F20)</f>
        <v>12816</v>
      </c>
      <c r="H20" s="41"/>
      <c r="I20" s="41"/>
    </row>
    <row r="21" spans="1:15" ht="20.100000000000001" customHeight="1" x14ac:dyDescent="0.25">
      <c r="A21" s="31" t="s">
        <v>9</v>
      </c>
      <c r="B21" s="28" t="s">
        <v>27</v>
      </c>
      <c r="C21" s="22">
        <f>SUM(C22:C23)</f>
        <v>75498.06</v>
      </c>
      <c r="D21" s="22">
        <f t="shared" ref="D21:F21" si="3">SUM(D22:D23)</f>
        <v>75301.662000000011</v>
      </c>
      <c r="E21" s="22">
        <f t="shared" si="3"/>
        <v>75301.662000000011</v>
      </c>
      <c r="F21" s="22">
        <f t="shared" si="3"/>
        <v>75301.662000000011</v>
      </c>
      <c r="G21" s="8">
        <f>SUM(G22:G23)</f>
        <v>301403.04600000003</v>
      </c>
      <c r="H21" s="45"/>
    </row>
    <row r="22" spans="1:15" ht="20.100000000000001" customHeight="1" outlineLevel="1" x14ac:dyDescent="0.25">
      <c r="A22" s="32"/>
      <c r="B22" s="10" t="s">
        <v>26</v>
      </c>
      <c r="C22" s="128">
        <v>64121.64</v>
      </c>
      <c r="D22" s="128">
        <f>мр1!D24+'мр1-1'!D24+'мр1-2'!D24+мр2!D24+мр3!D24+мр4!D24+мр5!D24+'мр1-3'!D24</f>
        <v>63970.848000000005</v>
      </c>
      <c r="E22" s="128">
        <f>мр1!E24+'мр1-1'!E24+'мр1-2'!E24+мр2!E24+мр3!E24+мр4!E24+мр5!E24+'мр1-3'!E24</f>
        <v>63970.848000000005</v>
      </c>
      <c r="F22" s="128">
        <f>мр1!F24+'мр1-1'!F24+'мр1-2'!F24+мр2!F24+мр3!F24+мр4!F24+мр5!F24+'мр1-3'!F24</f>
        <v>63970.848000000005</v>
      </c>
      <c r="G22" s="78">
        <f t="shared" ref="G22:G28" si="4">SUM(C22:F22)</f>
        <v>256034.18400000001</v>
      </c>
      <c r="H22" s="43"/>
      <c r="I22" s="43"/>
      <c r="J22" s="43"/>
    </row>
    <row r="23" spans="1:15" ht="20.100000000000001" customHeight="1" outlineLevel="1" thickBot="1" x14ac:dyDescent="0.3">
      <c r="A23" s="33"/>
      <c r="B23" s="25" t="s">
        <v>57</v>
      </c>
      <c r="C23" s="153">
        <v>11376.420000000002</v>
      </c>
      <c r="D23" s="153">
        <f>мр1!D25+'мр1-1'!D25+'мр1-2'!D25+мр2!D25+мр3!D25+мр4!D25+мр5!D25</f>
        <v>11330.814</v>
      </c>
      <c r="E23" s="153">
        <f>мр1!E25+'мр1-1'!E25+'мр1-2'!E25+мр2!E25+мр3!E25+мр4!E25+мр5!E25</f>
        <v>11330.814</v>
      </c>
      <c r="F23" s="153">
        <f>мр1!F25+'мр1-1'!F25+'мр1-2'!F25+мр2!F25+мр3!F25+мр4!F25+мр5!F25</f>
        <v>11330.814</v>
      </c>
      <c r="G23" s="154">
        <f t="shared" si="4"/>
        <v>45368.862000000001</v>
      </c>
      <c r="H23" s="43"/>
      <c r="I23" s="43"/>
      <c r="J23" s="43"/>
    </row>
    <row r="24" spans="1:15" ht="20.100000000000001" customHeight="1" outlineLevel="1" x14ac:dyDescent="0.25">
      <c r="A24" s="31" t="s">
        <v>7</v>
      </c>
      <c r="B24" s="247" t="s">
        <v>4</v>
      </c>
      <c r="C24" s="156">
        <f>SUM(C25:C27)</f>
        <v>3476.7799999999997</v>
      </c>
      <c r="D24" s="156">
        <f>SUM(D25:D27)</f>
        <v>3346.7799999999997</v>
      </c>
      <c r="E24" s="156">
        <f>SUM(E25:E27)</f>
        <v>3346.7799999999997</v>
      </c>
      <c r="F24" s="156">
        <f>SUM(F25:F27)</f>
        <v>3346.7799999999997</v>
      </c>
      <c r="G24" s="8">
        <f>SUM(G25:G27)</f>
        <v>13517.119999999999</v>
      </c>
    </row>
    <row r="25" spans="1:15" s="1" customFormat="1" ht="20.100000000000001" customHeight="1" outlineLevel="1" x14ac:dyDescent="0.25">
      <c r="A25" s="152"/>
      <c r="B25" s="155" t="s">
        <v>5</v>
      </c>
      <c r="C25" s="157">
        <v>360</v>
      </c>
      <c r="D25" s="151">
        <v>230</v>
      </c>
      <c r="E25" s="151">
        <v>230</v>
      </c>
      <c r="F25" s="151">
        <v>230</v>
      </c>
      <c r="G25" s="78">
        <f t="shared" si="4"/>
        <v>1050</v>
      </c>
    </row>
    <row r="26" spans="1:15" s="1" customFormat="1" ht="21.75" customHeight="1" outlineLevel="1" x14ac:dyDescent="0.25">
      <c r="A26" s="152"/>
      <c r="B26" s="161" t="s">
        <v>24</v>
      </c>
      <c r="C26" s="162">
        <v>366.78</v>
      </c>
      <c r="D26" s="9">
        <v>366.78</v>
      </c>
      <c r="E26" s="9">
        <v>366.78</v>
      </c>
      <c r="F26" s="9">
        <v>366.78</v>
      </c>
      <c r="G26" s="78">
        <f t="shared" si="4"/>
        <v>1467.12</v>
      </c>
    </row>
    <row r="27" spans="1:15" s="1" customFormat="1" ht="36" customHeight="1" outlineLevel="1" x14ac:dyDescent="0.25">
      <c r="A27" s="152"/>
      <c r="B27" s="10" t="s">
        <v>182</v>
      </c>
      <c r="C27" s="9">
        <v>2750</v>
      </c>
      <c r="D27" s="9">
        <v>2750</v>
      </c>
      <c r="E27" s="9">
        <v>2750</v>
      </c>
      <c r="F27" s="9">
        <v>2750</v>
      </c>
      <c r="G27" s="78">
        <f>SUM(C27:F27)</f>
        <v>11000</v>
      </c>
    </row>
    <row r="28" spans="1:15" ht="26.1" customHeight="1" outlineLevel="1" thickBot="1" x14ac:dyDescent="0.3">
      <c r="A28" s="248" t="s">
        <v>6</v>
      </c>
      <c r="B28" s="205"/>
      <c r="C28" s="189">
        <f>C9+C14+C18+C21+C24</f>
        <v>117830.68</v>
      </c>
      <c r="D28" s="189">
        <f>D9+D14+D18+D21+D24</f>
        <v>114554.70700800001</v>
      </c>
      <c r="E28" s="189">
        <f>E9+E14+E18+E21+E24</f>
        <v>115256.091958</v>
      </c>
      <c r="F28" s="189">
        <f>F9+F14+F18+F21+F24</f>
        <v>119822.43529800001</v>
      </c>
      <c r="G28" s="190">
        <f t="shared" si="4"/>
        <v>467463.91426400002</v>
      </c>
    </row>
    <row r="29" spans="1:15" ht="26.1" customHeight="1" thickBot="1" x14ac:dyDescent="0.3">
      <c r="A29" s="211" t="s">
        <v>39</v>
      </c>
      <c r="B29" s="212"/>
      <c r="C29" s="54" t="s">
        <v>8</v>
      </c>
      <c r="D29" s="54" t="s">
        <v>8</v>
      </c>
      <c r="E29" s="54" t="s">
        <v>8</v>
      </c>
      <c r="F29" s="54" t="s">
        <v>8</v>
      </c>
      <c r="G29" s="55" t="s">
        <v>8</v>
      </c>
    </row>
    <row r="30" spans="1:15" ht="20.100000000000001" customHeight="1" x14ac:dyDescent="0.25">
      <c r="A30" s="44">
        <v>1</v>
      </c>
      <c r="B30" s="21" t="s">
        <v>15</v>
      </c>
      <c r="C30" s="64">
        <f>SUM(C31:C34)</f>
        <v>27419.95</v>
      </c>
      <c r="D30" s="64">
        <f>SUM(D31:D34)</f>
        <v>26738.147560000001</v>
      </c>
      <c r="E30" s="64">
        <f>SUM(E31:E34)</f>
        <v>26942.00318</v>
      </c>
      <c r="F30" s="64">
        <f>SUM(F31:F34)</f>
        <v>28599.5173</v>
      </c>
      <c r="G30" s="64">
        <f>SUM(G31:G34)</f>
        <v>109699.61804</v>
      </c>
    </row>
    <row r="31" spans="1:15" ht="20.100000000000001" customHeight="1" x14ac:dyDescent="0.25">
      <c r="A31" s="46"/>
      <c r="B31" s="10" t="s">
        <v>3</v>
      </c>
      <c r="C31" s="42">
        <v>12985.05</v>
      </c>
      <c r="D31" s="42">
        <f>D10</f>
        <v>13329.15756</v>
      </c>
      <c r="E31" s="42">
        <f>E10</f>
        <v>12752.31612</v>
      </c>
      <c r="F31" s="42">
        <f>F10</f>
        <v>12752.31612</v>
      </c>
      <c r="G31" s="74">
        <f>SUM(C31:F31)</f>
        <v>51818.839800000002</v>
      </c>
    </row>
    <row r="32" spans="1:15" ht="20.100000000000001" customHeight="1" x14ac:dyDescent="0.25">
      <c r="A32" s="46"/>
      <c r="B32" s="10" t="s">
        <v>10</v>
      </c>
      <c r="C32" s="42">
        <v>2780.1</v>
      </c>
      <c r="D32" s="42">
        <f>D11</f>
        <v>1754.19</v>
      </c>
      <c r="E32" s="42">
        <f>E11</f>
        <v>2534.88706</v>
      </c>
      <c r="F32" s="42">
        <f>F11</f>
        <v>4192.4011799999998</v>
      </c>
      <c r="G32" s="74">
        <f>SUM(C32:F32)</f>
        <v>11261.578239999999</v>
      </c>
    </row>
    <row r="33" spans="1:20" ht="57.75" customHeight="1" x14ac:dyDescent="0.25">
      <c r="A33" s="46"/>
      <c r="B33" s="81" t="s">
        <v>72</v>
      </c>
      <c r="C33" s="184">
        <v>7529.8</v>
      </c>
      <c r="D33" s="184">
        <v>7529.8</v>
      </c>
      <c r="E33" s="184">
        <v>7529.8</v>
      </c>
      <c r="F33" s="184">
        <v>7529.8</v>
      </c>
      <c r="G33" s="82">
        <f>SUM(C33:F33)</f>
        <v>30119.200000000001</v>
      </c>
      <c r="H33" s="163" t="s">
        <v>175</v>
      </c>
      <c r="J33" s="99"/>
      <c r="K33" s="99"/>
      <c r="L33" s="99"/>
    </row>
    <row r="34" spans="1:20" ht="20.100000000000001" customHeight="1" thickBot="1" x14ac:dyDescent="0.3">
      <c r="A34" s="46"/>
      <c r="B34" s="81" t="s">
        <v>12</v>
      </c>
      <c r="C34" s="185">
        <v>4125</v>
      </c>
      <c r="D34" s="185">
        <v>4125</v>
      </c>
      <c r="E34" s="185">
        <v>4125</v>
      </c>
      <c r="F34" s="185">
        <v>4125</v>
      </c>
      <c r="G34" s="82">
        <f>SUM(C34:F34)</f>
        <v>16500</v>
      </c>
      <c r="H34" s="163" t="s">
        <v>176</v>
      </c>
      <c r="J34" s="164"/>
      <c r="K34" s="99"/>
      <c r="L34" s="160"/>
    </row>
    <row r="35" spans="1:20" ht="20.100000000000001" customHeight="1" x14ac:dyDescent="0.25">
      <c r="A35" s="182">
        <v>2</v>
      </c>
      <c r="B35" s="28" t="s">
        <v>16</v>
      </c>
      <c r="C35" s="66">
        <f>SUM(C36:C38)</f>
        <v>15811.91</v>
      </c>
      <c r="D35" s="64">
        <f>SUM(D36:D38)</f>
        <v>17380.91</v>
      </c>
      <c r="E35" s="64">
        <f t="shared" ref="E35:F35" si="5">SUM(E36:E38)</f>
        <v>17380.91</v>
      </c>
      <c r="F35" s="64">
        <f t="shared" si="5"/>
        <v>15811.91</v>
      </c>
      <c r="G35" s="66">
        <f>SUM(G36:G38)</f>
        <v>66385.64</v>
      </c>
      <c r="J35" s="99"/>
      <c r="K35" s="99"/>
      <c r="L35" s="99"/>
    </row>
    <row r="36" spans="1:20" ht="39.950000000000003" customHeight="1" x14ac:dyDescent="0.25">
      <c r="A36" s="29"/>
      <c r="B36" s="81" t="s">
        <v>25</v>
      </c>
      <c r="C36" s="68">
        <v>8472.6</v>
      </c>
      <c r="D36" s="68">
        <v>10041.6</v>
      </c>
      <c r="E36" s="68">
        <v>10041.6</v>
      </c>
      <c r="F36" s="68">
        <v>8472.6</v>
      </c>
      <c r="G36" s="82">
        <f>SUM(C36:F36)</f>
        <v>37028.400000000001</v>
      </c>
      <c r="H36" s="163" t="s">
        <v>112</v>
      </c>
      <c r="M36" s="165" t="s">
        <v>116</v>
      </c>
      <c r="S36" s="2">
        <v>0.2092</v>
      </c>
      <c r="T36" s="2" t="s">
        <v>113</v>
      </c>
    </row>
    <row r="37" spans="1:20" ht="39.950000000000003" customHeight="1" x14ac:dyDescent="0.25">
      <c r="A37" s="29"/>
      <c r="B37" s="81" t="s">
        <v>14</v>
      </c>
      <c r="C37" s="68">
        <v>1945.56</v>
      </c>
      <c r="D37" s="68">
        <v>1945.56</v>
      </c>
      <c r="E37" s="68">
        <v>1945.56</v>
      </c>
      <c r="F37" s="68">
        <v>1945.56</v>
      </c>
      <c r="G37" s="82">
        <f>SUM(C37:F37)</f>
        <v>7782.24</v>
      </c>
      <c r="H37" s="163" t="s">
        <v>112</v>
      </c>
      <c r="M37" s="163">
        <v>3100</v>
      </c>
      <c r="N37" s="2" t="s">
        <v>114</v>
      </c>
      <c r="O37" s="2">
        <v>0.2092</v>
      </c>
      <c r="P37" s="2" t="s">
        <v>113</v>
      </c>
    </row>
    <row r="38" spans="1:20" ht="39.950000000000003" customHeight="1" thickBot="1" x14ac:dyDescent="0.3">
      <c r="A38" s="27"/>
      <c r="B38" s="158" t="s">
        <v>75</v>
      </c>
      <c r="C38" s="150">
        <v>5393.75</v>
      </c>
      <c r="D38" s="150">
        <v>5393.75</v>
      </c>
      <c r="E38" s="150">
        <v>5393.75</v>
      </c>
      <c r="F38" s="150">
        <v>5393.75</v>
      </c>
      <c r="G38" s="76">
        <f>SUM(C38:F38)</f>
        <v>21575</v>
      </c>
      <c r="H38" s="163" t="s">
        <v>112</v>
      </c>
      <c r="M38" s="163">
        <v>0.38894299999999998</v>
      </c>
      <c r="N38" s="2" t="s">
        <v>115</v>
      </c>
    </row>
    <row r="39" spans="1:20" ht="20.100000000000001" customHeight="1" x14ac:dyDescent="0.25">
      <c r="A39" s="186" t="s">
        <v>33</v>
      </c>
      <c r="B39" s="36" t="s">
        <v>17</v>
      </c>
      <c r="C39" s="159">
        <f>SUM(C40:C40)</f>
        <v>3744</v>
      </c>
      <c r="D39" s="159">
        <f>SUM(D40:D40)</f>
        <v>3744</v>
      </c>
      <c r="E39" s="159">
        <f>SUM(E40:E40)</f>
        <v>3744</v>
      </c>
      <c r="F39" s="159">
        <f>SUM(F40:F40)</f>
        <v>3744</v>
      </c>
      <c r="G39" s="159">
        <f>SUM(G40:G40)</f>
        <v>14976</v>
      </c>
    </row>
    <row r="40" spans="1:20" ht="87" customHeight="1" thickBot="1" x14ac:dyDescent="0.3">
      <c r="A40" s="46"/>
      <c r="B40" s="81" t="s">
        <v>174</v>
      </c>
      <c r="C40" s="68">
        <v>3744</v>
      </c>
      <c r="D40" s="68">
        <v>3744</v>
      </c>
      <c r="E40" s="68">
        <v>3744</v>
      </c>
      <c r="F40" s="68">
        <v>3744</v>
      </c>
      <c r="G40" s="82">
        <f>SUM(C40:F40)</f>
        <v>14976</v>
      </c>
      <c r="H40" s="2" t="s">
        <v>177</v>
      </c>
    </row>
    <row r="41" spans="1:20" ht="20.100000000000001" customHeight="1" x14ac:dyDescent="0.25">
      <c r="A41" s="182" t="s">
        <v>9</v>
      </c>
      <c r="B41" s="28" t="s">
        <v>38</v>
      </c>
      <c r="C41" s="64">
        <f>SUM(C42:C58)</f>
        <v>73201.086851399989</v>
      </c>
      <c r="D41" s="64">
        <f>SUM(D42:D58)</f>
        <v>76940.549376012146</v>
      </c>
      <c r="E41" s="64">
        <f>SUM(E42:E58)</f>
        <v>77673.441547548951</v>
      </c>
      <c r="F41" s="64">
        <f>SUM(F42:F58)</f>
        <v>74070.623194251355</v>
      </c>
      <c r="G41" s="66">
        <f t="shared" ref="G41:G49" si="6">SUM(C41:F41)</f>
        <v>301885.70096921246</v>
      </c>
    </row>
    <row r="42" spans="1:20" ht="20.100000000000001" customHeight="1" x14ac:dyDescent="0.25">
      <c r="A42" s="58"/>
      <c r="B42" s="49" t="s">
        <v>43</v>
      </c>
      <c r="C42" s="42">
        <v>64121.64</v>
      </c>
      <c r="D42" s="42">
        <f>D22</f>
        <v>63970.848000000005</v>
      </c>
      <c r="E42" s="42">
        <f>E22</f>
        <v>63970.848000000005</v>
      </c>
      <c r="F42" s="42">
        <f>F22</f>
        <v>63970.848000000005</v>
      </c>
      <c r="G42" s="74">
        <f t="shared" si="6"/>
        <v>256034.18400000001</v>
      </c>
    </row>
    <row r="43" spans="1:20" ht="20.100000000000001" customHeight="1" x14ac:dyDescent="0.25">
      <c r="A43" s="47"/>
      <c r="B43" s="49" t="s">
        <v>28</v>
      </c>
      <c r="C43" s="42">
        <v>4883.76</v>
      </c>
      <c r="D43" s="42">
        <f t="shared" ref="D43:F43" si="7">$H$43*3</f>
        <v>4883.76</v>
      </c>
      <c r="E43" s="42">
        <f t="shared" si="7"/>
        <v>4883.76</v>
      </c>
      <c r="F43" s="42">
        <f t="shared" si="7"/>
        <v>4883.76</v>
      </c>
      <c r="G43" s="74">
        <f>SUM(C43:F43)</f>
        <v>19535.04</v>
      </c>
      <c r="H43" s="2">
        <v>1627.92</v>
      </c>
      <c r="I43" s="2">
        <f>H43*14/100</f>
        <v>227.90880000000001</v>
      </c>
      <c r="J43" s="2">
        <f>H43-I43</f>
        <v>1400.0112000000001</v>
      </c>
    </row>
    <row r="44" spans="1:20" ht="20.100000000000001" customHeight="1" x14ac:dyDescent="0.25">
      <c r="A44" s="47"/>
      <c r="B44" s="49" t="s">
        <v>36</v>
      </c>
      <c r="C44" s="42">
        <v>566.51616000000001</v>
      </c>
      <c r="D44" s="42">
        <f t="shared" ref="D44:F44" si="8">D43*11.6/100</f>
        <v>566.51616000000001</v>
      </c>
      <c r="E44" s="42">
        <f t="shared" si="8"/>
        <v>566.51616000000001</v>
      </c>
      <c r="F44" s="42">
        <f t="shared" si="8"/>
        <v>566.51616000000001</v>
      </c>
      <c r="G44" s="74">
        <f t="shared" si="6"/>
        <v>2266.0646400000001</v>
      </c>
      <c r="H44" s="2">
        <v>11.6</v>
      </c>
    </row>
    <row r="45" spans="1:20" ht="20.100000000000001" customHeight="1" x14ac:dyDescent="0.25">
      <c r="A45" s="47"/>
      <c r="B45" s="81" t="s">
        <v>34</v>
      </c>
      <c r="C45" s="42">
        <v>60</v>
      </c>
      <c r="D45" s="42">
        <v>60</v>
      </c>
      <c r="E45" s="42">
        <v>60</v>
      </c>
      <c r="F45" s="42">
        <v>60</v>
      </c>
      <c r="G45" s="74">
        <f t="shared" si="6"/>
        <v>240</v>
      </c>
      <c r="H45" s="2" t="s">
        <v>81</v>
      </c>
      <c r="I45" s="2" t="s">
        <v>70</v>
      </c>
    </row>
    <row r="46" spans="1:20" ht="20.100000000000001" customHeight="1" x14ac:dyDescent="0.25">
      <c r="A46" s="46"/>
      <c r="B46" s="81" t="s">
        <v>35</v>
      </c>
      <c r="C46" s="68">
        <v>60</v>
      </c>
      <c r="D46" s="42">
        <v>100</v>
      </c>
      <c r="E46" s="42">
        <v>100</v>
      </c>
      <c r="F46" s="42">
        <v>150</v>
      </c>
      <c r="G46" s="74">
        <f t="shared" si="6"/>
        <v>410</v>
      </c>
    </row>
    <row r="47" spans="1:20" ht="20.100000000000001" customHeight="1" x14ac:dyDescent="0.25">
      <c r="A47" s="58"/>
      <c r="B47" s="81" t="s">
        <v>73</v>
      </c>
      <c r="C47" s="68">
        <v>203.42</v>
      </c>
      <c r="D47" s="68">
        <v>203.42</v>
      </c>
      <c r="E47" s="68">
        <v>203.42</v>
      </c>
      <c r="F47" s="68">
        <v>203.42</v>
      </c>
      <c r="G47" s="82">
        <f t="shared" si="6"/>
        <v>813.68</v>
      </c>
      <c r="H47" s="166" t="s">
        <v>118</v>
      </c>
      <c r="J47" s="163" t="s">
        <v>120</v>
      </c>
    </row>
    <row r="48" spans="1:20" ht="20.100000000000001" customHeight="1" x14ac:dyDescent="0.25">
      <c r="A48" s="58"/>
      <c r="B48" s="81" t="s">
        <v>82</v>
      </c>
      <c r="C48" s="68">
        <v>0</v>
      </c>
      <c r="D48" s="68">
        <v>1661.04</v>
      </c>
      <c r="E48" s="68">
        <v>3010.64</v>
      </c>
      <c r="F48" s="68">
        <v>0</v>
      </c>
      <c r="G48" s="82">
        <f t="shared" si="6"/>
        <v>4671.68</v>
      </c>
      <c r="H48" s="166" t="s">
        <v>119</v>
      </c>
      <c r="P48" s="2" t="s">
        <v>69</v>
      </c>
      <c r="Q48" s="2">
        <v>2.0762499999999999</v>
      </c>
    </row>
    <row r="49" spans="1:14" ht="20.100000000000001" customHeight="1" x14ac:dyDescent="0.25">
      <c r="A49" s="46"/>
      <c r="B49" s="81" t="s">
        <v>29</v>
      </c>
      <c r="C49" s="68">
        <v>116.4</v>
      </c>
      <c r="D49" s="68">
        <v>116.4</v>
      </c>
      <c r="E49" s="68">
        <v>116.4</v>
      </c>
      <c r="F49" s="68">
        <v>116.4</v>
      </c>
      <c r="G49" s="82">
        <f t="shared" si="6"/>
        <v>465.6</v>
      </c>
      <c r="H49" s="166"/>
      <c r="K49" s="43"/>
      <c r="L49" s="43"/>
    </row>
    <row r="50" spans="1:14" ht="20.100000000000001" customHeight="1" x14ac:dyDescent="0.25">
      <c r="A50" s="59"/>
      <c r="B50" s="49" t="s">
        <v>41</v>
      </c>
      <c r="C50" s="68">
        <v>1367.2906914</v>
      </c>
      <c r="D50" s="68">
        <v>1259.25521601216</v>
      </c>
      <c r="E50" s="68">
        <v>1291.5473875489602</v>
      </c>
      <c r="F50" s="68">
        <v>1519.1190342513601</v>
      </c>
      <c r="G50" s="82">
        <f t="shared" ref="G50:G57" si="9">SUM(C50:F50)</f>
        <v>5437.2123292124797</v>
      </c>
      <c r="I50" s="4"/>
      <c r="J50" s="4"/>
      <c r="K50" s="4"/>
      <c r="L50" s="4"/>
      <c r="M50" s="4"/>
      <c r="N50" s="4"/>
    </row>
    <row r="51" spans="1:14" ht="20.100000000000001" customHeight="1" x14ac:dyDescent="0.25">
      <c r="A51" s="61"/>
      <c r="B51" s="49" t="s">
        <v>30</v>
      </c>
      <c r="C51" s="42">
        <v>0</v>
      </c>
      <c r="D51" s="42">
        <v>0</v>
      </c>
      <c r="E51" s="42">
        <v>0</v>
      </c>
      <c r="F51" s="42">
        <v>0</v>
      </c>
      <c r="G51" s="74">
        <f t="shared" si="9"/>
        <v>0</v>
      </c>
    </row>
    <row r="52" spans="1:14" ht="41.25" customHeight="1" x14ac:dyDescent="0.25">
      <c r="A52" s="61"/>
      <c r="B52" s="49" t="s">
        <v>111</v>
      </c>
      <c r="C52" s="42">
        <v>0</v>
      </c>
      <c r="D52" s="42">
        <v>50</v>
      </c>
      <c r="E52" s="42">
        <v>50</v>
      </c>
      <c r="F52" s="42">
        <v>100</v>
      </c>
      <c r="G52" s="74">
        <f t="shared" si="9"/>
        <v>200</v>
      </c>
    </row>
    <row r="53" spans="1:14" ht="41.25" customHeight="1" x14ac:dyDescent="0.25">
      <c r="A53" s="61"/>
      <c r="B53" s="49" t="s">
        <v>108</v>
      </c>
      <c r="C53" s="42">
        <v>729.06</v>
      </c>
      <c r="D53" s="42">
        <v>729.06</v>
      </c>
      <c r="E53" s="42">
        <v>729.06</v>
      </c>
      <c r="F53" s="42">
        <v>729.06</v>
      </c>
      <c r="G53" s="82">
        <f t="shared" si="9"/>
        <v>2916.24</v>
      </c>
    </row>
    <row r="54" spans="1:14" ht="41.25" customHeight="1" x14ac:dyDescent="0.25">
      <c r="A54" s="61"/>
      <c r="B54" s="81" t="s">
        <v>110</v>
      </c>
      <c r="C54" s="68">
        <v>0</v>
      </c>
      <c r="D54" s="191">
        <v>649</v>
      </c>
      <c r="E54" s="68">
        <v>0</v>
      </c>
      <c r="F54" s="191">
        <v>649</v>
      </c>
      <c r="G54" s="82">
        <f t="shared" si="9"/>
        <v>1298</v>
      </c>
    </row>
    <row r="55" spans="1:14" ht="41.25" customHeight="1" x14ac:dyDescent="0.25">
      <c r="A55" s="61"/>
      <c r="B55" s="81" t="s">
        <v>109</v>
      </c>
      <c r="C55" s="68">
        <v>0</v>
      </c>
      <c r="D55" s="68">
        <v>36</v>
      </c>
      <c r="E55" s="68">
        <v>36</v>
      </c>
      <c r="F55" s="68">
        <v>36</v>
      </c>
      <c r="G55" s="82">
        <f t="shared" ref="G55" si="10">SUM(C55:F55)</f>
        <v>108</v>
      </c>
    </row>
    <row r="56" spans="1:14" ht="39" customHeight="1" x14ac:dyDescent="0.25">
      <c r="A56" s="62"/>
      <c r="B56" s="81" t="s">
        <v>50</v>
      </c>
      <c r="C56" s="68">
        <v>550</v>
      </c>
      <c r="D56" s="68">
        <v>1113.75</v>
      </c>
      <c r="E56" s="68">
        <v>1113.75</v>
      </c>
      <c r="F56" s="68">
        <v>550</v>
      </c>
      <c r="G56" s="82">
        <f t="shared" si="9"/>
        <v>3327.5</v>
      </c>
      <c r="H56" s="163" t="s">
        <v>117</v>
      </c>
    </row>
    <row r="57" spans="1:14" ht="60" customHeight="1" x14ac:dyDescent="0.25">
      <c r="A57" s="60"/>
      <c r="B57" s="187" t="s">
        <v>53</v>
      </c>
      <c r="C57" s="68">
        <v>525</v>
      </c>
      <c r="D57" s="68">
        <v>1530</v>
      </c>
      <c r="E57" s="68">
        <v>1530</v>
      </c>
      <c r="F57" s="68">
        <v>525</v>
      </c>
      <c r="G57" s="82">
        <f t="shared" si="9"/>
        <v>4110</v>
      </c>
      <c r="H57" s="163" t="s">
        <v>117</v>
      </c>
    </row>
    <row r="58" spans="1:14" ht="20.100000000000001" customHeight="1" thickBot="1" x14ac:dyDescent="0.3">
      <c r="A58" s="192"/>
      <c r="B58" s="193" t="s">
        <v>32</v>
      </c>
      <c r="C58" s="194">
        <f>C25*5/100</f>
        <v>18</v>
      </c>
      <c r="D58" s="194">
        <f>D25*5/100</f>
        <v>11.5</v>
      </c>
      <c r="E58" s="194">
        <f>E25*5/100</f>
        <v>11.5</v>
      </c>
      <c r="F58" s="194">
        <f>F25*5/100</f>
        <v>11.5</v>
      </c>
      <c r="G58" s="195">
        <f>SUM(C58:F58)</f>
        <v>52.5</v>
      </c>
      <c r="H58" s="2" t="s">
        <v>71</v>
      </c>
    </row>
    <row r="59" spans="1:14" ht="20.100000000000001" customHeight="1" thickBot="1" x14ac:dyDescent="0.3">
      <c r="A59" s="196">
        <v>5</v>
      </c>
      <c r="B59" s="197" t="s">
        <v>180</v>
      </c>
      <c r="C59" s="198"/>
      <c r="D59" s="198"/>
      <c r="E59" s="198"/>
      <c r="F59" s="198"/>
      <c r="G59" s="199">
        <v>5647.46</v>
      </c>
    </row>
    <row r="60" spans="1:14" ht="20.100000000000001" customHeight="1" outlineLevel="1" thickBot="1" x14ac:dyDescent="0.3">
      <c r="A60" s="204" t="s">
        <v>42</v>
      </c>
      <c r="B60" s="205"/>
      <c r="C60" s="189">
        <f>C30+C35+C39+C41</f>
        <v>120176.94685139999</v>
      </c>
      <c r="D60" s="189">
        <f>D30+D35+D39+D41</f>
        <v>124803.60693601215</v>
      </c>
      <c r="E60" s="189">
        <f>E30+E35+E39+E41</f>
        <v>125740.35472754895</v>
      </c>
      <c r="F60" s="189">
        <f>F30+F35+F39+F41</f>
        <v>122226.05049425135</v>
      </c>
      <c r="G60" s="190">
        <f>G30+G35+G39+G41+G59</f>
        <v>498594.41900921246</v>
      </c>
    </row>
    <row r="61" spans="1:14" ht="26.1" customHeight="1" outlineLevel="1" x14ac:dyDescent="0.25">
      <c r="A61" s="71"/>
      <c r="B61" s="72"/>
      <c r="C61" s="73">
        <f>C28-C60</f>
        <v>-2346.2668513999961</v>
      </c>
      <c r="D61" s="73">
        <f>D28-D60</f>
        <v>-10248.899928012135</v>
      </c>
      <c r="E61" s="73">
        <f>E28-E60</f>
        <v>-10484.26276954895</v>
      </c>
      <c r="F61" s="73">
        <f>F28-F60</f>
        <v>-2403.6151962513395</v>
      </c>
      <c r="G61" s="73">
        <f>G28-G60</f>
        <v>-31130.504745212442</v>
      </c>
    </row>
    <row r="62" spans="1:14" ht="26.1" customHeight="1" outlineLevel="1" x14ac:dyDescent="0.25">
      <c r="A62" s="71"/>
      <c r="B62" s="72"/>
      <c r="C62" s="73"/>
      <c r="D62" s="73"/>
      <c r="E62" s="73"/>
      <c r="F62" s="73"/>
      <c r="G62" s="80">
        <f>G61/H1/12</f>
        <v>-7.5332018723108976E-2</v>
      </c>
    </row>
    <row r="63" spans="1:14" ht="37.5" x14ac:dyDescent="0.25">
      <c r="A63" s="69"/>
      <c r="B63" s="81" t="s">
        <v>47</v>
      </c>
      <c r="C63" s="216" t="s">
        <v>51</v>
      </c>
      <c r="D63" s="217"/>
      <c r="E63" s="217"/>
      <c r="F63" s="217"/>
      <c r="G63" s="218"/>
      <c r="H63" s="2">
        <v>236.16</v>
      </c>
    </row>
    <row r="64" spans="1:14" ht="39.75" customHeight="1" x14ac:dyDescent="0.25">
      <c r="A64" s="69"/>
      <c r="B64" s="81" t="s">
        <v>48</v>
      </c>
      <c r="C64" s="216" t="s">
        <v>52</v>
      </c>
      <c r="D64" s="217"/>
      <c r="E64" s="217"/>
      <c r="F64" s="217"/>
      <c r="G64" s="218"/>
      <c r="H64" s="2">
        <v>389.19</v>
      </c>
    </row>
    <row r="65" spans="1:12" x14ac:dyDescent="0.25">
      <c r="A65" s="69"/>
      <c r="B65" s="81" t="s">
        <v>13</v>
      </c>
      <c r="C65" s="216" t="s">
        <v>56</v>
      </c>
      <c r="D65" s="217"/>
      <c r="E65" s="217"/>
      <c r="F65" s="217"/>
      <c r="G65" s="218"/>
    </row>
    <row r="66" spans="1:12" x14ac:dyDescent="0.25">
      <c r="A66" s="69"/>
      <c r="B66" s="49" t="s">
        <v>49</v>
      </c>
      <c r="C66" s="219" t="s">
        <v>83</v>
      </c>
      <c r="D66" s="220"/>
      <c r="E66" s="220"/>
      <c r="F66" s="220"/>
      <c r="G66" s="220"/>
      <c r="H66" s="221"/>
      <c r="I66" s="221"/>
      <c r="J66" s="221"/>
      <c r="K66" s="221"/>
      <c r="L66" s="221"/>
    </row>
    <row r="67" spans="1:12" ht="19.5" thickBot="1" x14ac:dyDescent="0.3">
      <c r="A67" s="69"/>
      <c r="B67" s="83"/>
      <c r="C67" s="183"/>
      <c r="D67" s="183"/>
      <c r="E67" s="183"/>
      <c r="F67" s="183"/>
      <c r="G67" s="183"/>
      <c r="H67" s="183"/>
      <c r="I67" s="183"/>
      <c r="J67" s="183"/>
      <c r="K67" s="183"/>
      <c r="L67" s="183"/>
    </row>
    <row r="68" spans="1:12" ht="19.5" thickBot="1" x14ac:dyDescent="0.3">
      <c r="A68" s="69"/>
      <c r="B68" s="188" t="s">
        <v>180</v>
      </c>
      <c r="C68" s="222">
        <v>-5647.46</v>
      </c>
      <c r="D68" s="223"/>
      <c r="E68" s="223"/>
      <c r="F68" s="224"/>
      <c r="G68" s="183"/>
      <c r="H68" s="183"/>
      <c r="I68" s="183"/>
      <c r="J68" s="183"/>
      <c r="K68" s="183"/>
      <c r="L68" s="183"/>
    </row>
    <row r="69" spans="1:12" ht="19.5" thickBot="1" x14ac:dyDescent="0.3">
      <c r="A69" s="69"/>
      <c r="B69" s="188" t="s">
        <v>181</v>
      </c>
      <c r="C69" s="222">
        <v>-36483.040000000001</v>
      </c>
      <c r="D69" s="223"/>
      <c r="E69" s="223"/>
      <c r="F69" s="224"/>
      <c r="G69" s="183"/>
      <c r="H69" s="183"/>
      <c r="I69" s="183"/>
      <c r="J69" s="183"/>
      <c r="K69" s="183"/>
      <c r="L69" s="183"/>
    </row>
    <row r="70" spans="1:12" x14ac:dyDescent="0.25">
      <c r="A70" s="69"/>
      <c r="B70" s="83"/>
      <c r="C70" s="85"/>
      <c r="D70" s="85"/>
      <c r="E70" s="85"/>
      <c r="F70" s="85"/>
      <c r="G70" s="85"/>
      <c r="H70" s="85"/>
      <c r="I70" s="85"/>
      <c r="J70" s="85"/>
      <c r="K70" s="85"/>
      <c r="L70" s="85"/>
    </row>
    <row r="71" spans="1:12" x14ac:dyDescent="0.25">
      <c r="A71" s="69"/>
      <c r="B71" s="86" t="s">
        <v>55</v>
      </c>
      <c r="C71" s="85"/>
      <c r="D71" s="85"/>
      <c r="E71" s="85"/>
      <c r="F71" s="85"/>
      <c r="G71" s="85"/>
      <c r="H71" s="85"/>
      <c r="I71" s="85"/>
      <c r="J71" s="85"/>
      <c r="K71" s="85"/>
      <c r="L71" s="85"/>
    </row>
    <row r="72" spans="1:12" x14ac:dyDescent="0.25">
      <c r="A72" s="69"/>
      <c r="B72" s="83" t="s">
        <v>178</v>
      </c>
      <c r="C72" s="85"/>
      <c r="D72" s="85"/>
      <c r="E72" s="85"/>
      <c r="F72" s="85"/>
      <c r="G72" s="85"/>
      <c r="H72" s="85"/>
      <c r="I72" s="85"/>
      <c r="J72" s="85"/>
      <c r="K72" s="85"/>
      <c r="L72" s="85"/>
    </row>
    <row r="73" spans="1:12" x14ac:dyDescent="0.25">
      <c r="A73" s="69"/>
      <c r="B73" s="83" t="s">
        <v>179</v>
      </c>
      <c r="C73" s="85"/>
      <c r="D73" s="85"/>
      <c r="E73" s="85"/>
      <c r="F73" s="85"/>
      <c r="G73" s="85"/>
      <c r="H73" s="85"/>
      <c r="I73" s="85"/>
      <c r="J73" s="85"/>
      <c r="K73" s="85"/>
      <c r="L73" s="85"/>
    </row>
    <row r="74" spans="1:12" x14ac:dyDescent="0.25">
      <c r="A74" s="69"/>
      <c r="B74" s="83"/>
      <c r="C74" s="89">
        <v>2020</v>
      </c>
      <c r="D74" s="89">
        <v>2021</v>
      </c>
      <c r="E74" s="85"/>
      <c r="F74" s="85"/>
      <c r="G74" s="85"/>
      <c r="H74" s="85"/>
      <c r="I74" s="85"/>
      <c r="J74" s="85"/>
      <c r="K74" s="85"/>
      <c r="L74" s="85"/>
    </row>
    <row r="75" spans="1:12" ht="19.5" customHeight="1" x14ac:dyDescent="0.25">
      <c r="A75" s="69"/>
      <c r="B75" s="87" t="s">
        <v>54</v>
      </c>
      <c r="C75" s="88">
        <f>C76+C77</f>
        <v>0.73</v>
      </c>
      <c r="D75" s="88">
        <f>D76+D77</f>
        <v>0.73</v>
      </c>
      <c r="E75" s="85"/>
      <c r="F75" s="85"/>
      <c r="G75" s="85"/>
      <c r="H75" s="85"/>
      <c r="I75" s="85"/>
      <c r="J75" s="85"/>
      <c r="K75" s="85"/>
      <c r="L75" s="85"/>
    </row>
    <row r="76" spans="1:12" ht="19.5" customHeight="1" x14ac:dyDescent="0.25">
      <c r="A76" s="69"/>
      <c r="B76" s="10" t="s">
        <v>26</v>
      </c>
      <c r="C76" s="84">
        <v>0.62</v>
      </c>
      <c r="D76" s="84">
        <v>0.62</v>
      </c>
      <c r="E76" s="85"/>
      <c r="F76" s="85"/>
      <c r="G76" s="85"/>
      <c r="H76" s="85"/>
      <c r="I76" s="85"/>
      <c r="J76" s="85"/>
      <c r="K76" s="85"/>
      <c r="L76" s="85"/>
    </row>
    <row r="77" spans="1:12" ht="19.5" customHeight="1" thickBot="1" x14ac:dyDescent="0.3">
      <c r="A77" s="69"/>
      <c r="B77" s="25" t="s">
        <v>57</v>
      </c>
      <c r="C77" s="84">
        <v>0.11</v>
      </c>
      <c r="D77" s="84">
        <v>0.11</v>
      </c>
      <c r="E77" s="85"/>
      <c r="F77" s="85"/>
      <c r="G77" s="85"/>
      <c r="H77" s="85"/>
      <c r="I77" s="85"/>
      <c r="J77" s="85"/>
      <c r="K77" s="85"/>
      <c r="L77" s="85"/>
    </row>
    <row r="78" spans="1:12" ht="19.5" customHeight="1" x14ac:dyDescent="0.25">
      <c r="A78" s="69"/>
      <c r="B78" s="91"/>
      <c r="C78" s="90"/>
      <c r="D78" s="90"/>
      <c r="E78" s="90"/>
      <c r="F78" s="90"/>
      <c r="G78" s="90"/>
      <c r="H78" s="90"/>
      <c r="I78" s="90"/>
      <c r="J78" s="90"/>
      <c r="K78" s="90"/>
      <c r="L78" s="90"/>
    </row>
    <row r="79" spans="1:12" ht="19.5" customHeight="1" x14ac:dyDescent="0.25">
      <c r="A79" s="69"/>
      <c r="B79" s="215" t="s">
        <v>58</v>
      </c>
      <c r="C79" s="215"/>
      <c r="D79" s="215"/>
      <c r="E79" s="215"/>
      <c r="F79" s="215"/>
      <c r="G79" s="215"/>
      <c r="H79" s="90"/>
      <c r="I79" s="90"/>
      <c r="J79" s="90"/>
      <c r="K79" s="90"/>
      <c r="L79" s="90"/>
    </row>
    <row r="80" spans="1:12" ht="39.75" customHeight="1" x14ac:dyDescent="0.25">
      <c r="A80" s="69"/>
      <c r="B80" s="83"/>
      <c r="C80" s="85"/>
      <c r="D80" s="85"/>
      <c r="E80" s="85"/>
      <c r="F80" s="85"/>
      <c r="G80" s="85"/>
      <c r="H80" s="85"/>
      <c r="I80" s="85"/>
      <c r="J80" s="85"/>
      <c r="K80" s="85"/>
      <c r="L80" s="85"/>
    </row>
    <row r="81" spans="1:6" x14ac:dyDescent="0.25">
      <c r="A81" s="69"/>
      <c r="C81" s="67">
        <f>(C15+C16)*1.2/100</f>
        <v>58.497479999999996</v>
      </c>
      <c r="D81" s="67">
        <f>D14*1.2/100</f>
        <v>107.979</v>
      </c>
      <c r="E81" s="67">
        <f>E14*1.2/100</f>
        <v>109.31266608</v>
      </c>
      <c r="F81" s="67">
        <f>F14*1.2/100</f>
        <v>111.97999824</v>
      </c>
    </row>
    <row r="82" spans="1:6" x14ac:dyDescent="0.25">
      <c r="A82" s="70"/>
      <c r="C82" s="67">
        <f>(C15+C16-C81)*0.5/100</f>
        <v>24.081462599999998</v>
      </c>
      <c r="D82" s="67">
        <f>(D14-D81)*0.5/100</f>
        <v>44.451355000000007</v>
      </c>
      <c r="E82" s="67">
        <f>(E14-E81)*0.5/100</f>
        <v>45.000380869599994</v>
      </c>
      <c r="F82" s="67">
        <f>(F14-F81)*0.5/100</f>
        <v>46.098432608800003</v>
      </c>
    </row>
    <row r="83" spans="1:6" x14ac:dyDescent="0.25">
      <c r="C83" s="3">
        <f>C9*1.2/100</f>
        <v>286.72127999999998</v>
      </c>
      <c r="D83" s="3">
        <f>D9*1.2/100</f>
        <v>266.56986009600001</v>
      </c>
      <c r="E83" s="3">
        <f>E9*1.2/100</f>
        <v>273.65281341600001</v>
      </c>
      <c r="F83" s="3">
        <f>F9*1.2/100</f>
        <v>325.78160133599999</v>
      </c>
    </row>
    <row r="84" spans="1:6" x14ac:dyDescent="0.25">
      <c r="C84" s="3">
        <f>(C9-C83)*4/100</f>
        <v>944.26874879999991</v>
      </c>
      <c r="D84" s="3">
        <f>(D9-D83)*4/100</f>
        <v>877.90340591616007</v>
      </c>
      <c r="E84" s="3">
        <f>(E9-E83)*4/100</f>
        <v>901.22993218336012</v>
      </c>
      <c r="F84" s="3">
        <f>(F9-F83)*4/100</f>
        <v>1072.9074070665602</v>
      </c>
    </row>
    <row r="85" spans="1:6" x14ac:dyDescent="0.25">
      <c r="C85" s="3">
        <f>(H1*0.13)*1.2/100</f>
        <v>53.721719999999998</v>
      </c>
      <c r="D85" s="3">
        <f>C85</f>
        <v>53.721719999999998</v>
      </c>
      <c r="E85" s="3">
        <f>C85</f>
        <v>53.721719999999998</v>
      </c>
      <c r="F85" s="3">
        <f>C85</f>
        <v>53.721719999999998</v>
      </c>
    </row>
    <row r="86" spans="1:6" x14ac:dyDescent="0.25">
      <c r="C86" s="3">
        <f>SUM(C81:C85)</f>
        <v>1367.2906914</v>
      </c>
      <c r="D86" s="3">
        <f t="shared" ref="D86:F86" si="11">SUM(D81:D85)</f>
        <v>1350.6253410121601</v>
      </c>
      <c r="E86" s="3">
        <f t="shared" si="11"/>
        <v>1382.9175125489601</v>
      </c>
      <c r="F86" s="3">
        <f t="shared" si="11"/>
        <v>1610.4891592513602</v>
      </c>
    </row>
  </sheetData>
  <dataConsolidate/>
  <mergeCells count="22">
    <mergeCell ref="B79:G79"/>
    <mergeCell ref="C65:G65"/>
    <mergeCell ref="C66:G66"/>
    <mergeCell ref="H66:L66"/>
    <mergeCell ref="C63:G63"/>
    <mergeCell ref="C64:G64"/>
    <mergeCell ref="C68:F68"/>
    <mergeCell ref="C69:F69"/>
    <mergeCell ref="A60:B60"/>
    <mergeCell ref="A8:B8"/>
    <mergeCell ref="D5:D6"/>
    <mergeCell ref="A4:A6"/>
    <mergeCell ref="B4:B6"/>
    <mergeCell ref="C5:C6"/>
    <mergeCell ref="A29:B29"/>
    <mergeCell ref="A28:B28"/>
    <mergeCell ref="A1:C1"/>
    <mergeCell ref="A2:G2"/>
    <mergeCell ref="A3:G3"/>
    <mergeCell ref="G5:G6"/>
    <mergeCell ref="E5:E6"/>
    <mergeCell ref="F5:F6"/>
  </mergeCells>
  <phoneticPr fontId="27" type="noConversion"/>
  <pageMargins left="0.70866141732283472" right="0.70866141732283472" top="0.74803149606299213" bottom="0.74803149606299213" header="0.31496062992125984" footer="0.31496062992125984"/>
  <pageSetup paperSize="9" scale="35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AF80B-6A23-4443-81A3-0AE871FCB37A}">
  <sheetPr>
    <tabColor rgb="FFFFC000"/>
  </sheetPr>
  <dimension ref="A1:D9"/>
  <sheetViews>
    <sheetView workbookViewId="0">
      <selection activeCell="B9" sqref="B9"/>
    </sheetView>
  </sheetViews>
  <sheetFormatPr defaultRowHeight="15" x14ac:dyDescent="0.25"/>
  <sheetData>
    <row r="1" spans="1:4" x14ac:dyDescent="0.25">
      <c r="A1" s="138">
        <v>1</v>
      </c>
      <c r="B1" s="130">
        <f>мр1!J1</f>
        <v>7287</v>
      </c>
    </row>
    <row r="2" spans="1:4" x14ac:dyDescent="0.25">
      <c r="A2" s="139" t="s">
        <v>85</v>
      </c>
      <c r="B2" s="130">
        <f>'мр1-1'!J1</f>
        <v>3195.4</v>
      </c>
    </row>
    <row r="3" spans="1:4" x14ac:dyDescent="0.25">
      <c r="A3" s="139" t="s">
        <v>86</v>
      </c>
      <c r="B3" s="130">
        <f>'мр1-2'!J1</f>
        <v>3671.4</v>
      </c>
    </row>
    <row r="4" spans="1:4" x14ac:dyDescent="0.25">
      <c r="A4" s="138">
        <v>2</v>
      </c>
      <c r="B4" s="130">
        <f>мр2!J1</f>
        <v>5266.4</v>
      </c>
      <c r="C4" s="131"/>
    </row>
    <row r="5" spans="1:4" x14ac:dyDescent="0.25">
      <c r="A5" s="138">
        <v>3</v>
      </c>
      <c r="B5" s="130">
        <f>мр3!J1</f>
        <v>4813.1000000000004</v>
      </c>
      <c r="C5" s="131"/>
      <c r="D5" s="131"/>
    </row>
    <row r="6" spans="1:4" x14ac:dyDescent="0.25">
      <c r="A6" s="138">
        <v>4</v>
      </c>
      <c r="B6" s="130">
        <f>мр4!J1</f>
        <v>5286.1</v>
      </c>
      <c r="C6" s="131"/>
      <c r="D6" s="131"/>
    </row>
    <row r="7" spans="1:4" x14ac:dyDescent="0.25">
      <c r="A7" s="138">
        <v>5</v>
      </c>
      <c r="B7" s="130">
        <f>мр5!J1</f>
        <v>4816.3999999999996</v>
      </c>
      <c r="C7" s="131"/>
      <c r="D7" s="131"/>
    </row>
    <row r="8" spans="1:4" x14ac:dyDescent="0.25">
      <c r="A8" s="139" t="s">
        <v>107</v>
      </c>
      <c r="B8" s="130">
        <f>'мр1-3'!J1</f>
        <v>101.2</v>
      </c>
    </row>
    <row r="9" spans="1:4" x14ac:dyDescent="0.25">
      <c r="B9" s="130">
        <f>SUM(B1:B8)</f>
        <v>34436.999999999993</v>
      </c>
    </row>
  </sheetData>
  <phoneticPr fontId="27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F6C4-91AA-405D-8A2E-B5CE888AB7F3}">
  <dimension ref="A1:K1048499"/>
  <sheetViews>
    <sheetView topLeftCell="A28" workbookViewId="0">
      <selection activeCell="G72" sqref="G72:G73"/>
    </sheetView>
  </sheetViews>
  <sheetFormatPr defaultRowHeight="15" x14ac:dyDescent="0.25"/>
  <cols>
    <col min="1" max="1" width="19.7109375" customWidth="1"/>
    <col min="2" max="2" width="32.7109375" customWidth="1"/>
    <col min="3" max="3" width="24.85546875" customWidth="1"/>
    <col min="4" max="4" width="14.28515625" customWidth="1"/>
    <col min="5" max="6" width="19.7109375" customWidth="1"/>
    <col min="7" max="7" width="32.7109375" customWidth="1"/>
    <col min="8" max="8" width="24.85546875" customWidth="1"/>
    <col min="9" max="9" width="14.28515625" customWidth="1"/>
  </cols>
  <sheetData>
    <row r="1" spans="1:7" x14ac:dyDescent="0.25">
      <c r="A1" s="181"/>
      <c r="B1" s="174"/>
      <c r="C1" s="177"/>
      <c r="D1" s="178"/>
      <c r="E1" s="174" t="s">
        <v>173</v>
      </c>
      <c r="F1" s="174" t="s">
        <v>172</v>
      </c>
      <c r="G1" s="174" t="s">
        <v>171</v>
      </c>
    </row>
    <row r="2" spans="1:7" x14ac:dyDescent="0.25">
      <c r="A2" s="232"/>
      <c r="B2" s="174"/>
      <c r="C2" s="179"/>
      <c r="D2" s="178"/>
      <c r="E2" s="231" t="s">
        <v>170</v>
      </c>
      <c r="F2" s="172" t="s">
        <v>160</v>
      </c>
      <c r="G2" s="171">
        <v>5</v>
      </c>
    </row>
    <row r="3" spans="1:7" ht="60" x14ac:dyDescent="0.25">
      <c r="A3" s="232"/>
      <c r="B3" s="178"/>
      <c r="C3" s="179"/>
      <c r="D3" s="178"/>
      <c r="E3" s="231"/>
      <c r="F3" s="173" t="s">
        <v>167</v>
      </c>
      <c r="G3" s="171">
        <v>150</v>
      </c>
    </row>
    <row r="4" spans="1:7" x14ac:dyDescent="0.25">
      <c r="A4" s="232"/>
      <c r="B4" s="180"/>
      <c r="C4" s="179"/>
      <c r="D4" s="178"/>
      <c r="E4" s="231" t="s">
        <v>169</v>
      </c>
      <c r="F4" s="172" t="s">
        <v>160</v>
      </c>
      <c r="G4" s="171">
        <v>5</v>
      </c>
    </row>
    <row r="5" spans="1:7" ht="60" x14ac:dyDescent="0.25">
      <c r="A5" s="232"/>
      <c r="B5" s="180"/>
      <c r="C5" s="179"/>
      <c r="D5" s="178"/>
      <c r="E5" s="231"/>
      <c r="F5" s="173" t="s">
        <v>167</v>
      </c>
      <c r="G5" s="171">
        <v>75</v>
      </c>
    </row>
    <row r="6" spans="1:7" x14ac:dyDescent="0.25">
      <c r="A6" s="232"/>
      <c r="B6" s="178"/>
      <c r="C6" s="179"/>
      <c r="D6" s="178"/>
      <c r="E6" s="231" t="s">
        <v>168</v>
      </c>
      <c r="F6" s="172" t="s">
        <v>160</v>
      </c>
      <c r="G6" s="171">
        <v>5</v>
      </c>
    </row>
    <row r="7" spans="1:7" ht="60" x14ac:dyDescent="0.25">
      <c r="A7" s="232"/>
      <c r="B7" s="178"/>
      <c r="C7" s="179"/>
      <c r="D7" s="178"/>
      <c r="E7" s="231"/>
      <c r="F7" s="173" t="s">
        <v>167</v>
      </c>
      <c r="G7" s="171">
        <v>75</v>
      </c>
    </row>
    <row r="8" spans="1:7" x14ac:dyDescent="0.25">
      <c r="A8" s="232"/>
      <c r="B8" s="178"/>
      <c r="C8" s="179"/>
      <c r="D8" s="178"/>
      <c r="E8" s="231" t="s">
        <v>166</v>
      </c>
      <c r="F8" s="172" t="s">
        <v>160</v>
      </c>
      <c r="G8" s="171">
        <v>5</v>
      </c>
    </row>
    <row r="9" spans="1:7" ht="45" x14ac:dyDescent="0.25">
      <c r="A9" s="232"/>
      <c r="B9" s="180"/>
      <c r="C9" s="179"/>
      <c r="D9" s="178"/>
      <c r="E9" s="231"/>
      <c r="F9" s="173" t="s">
        <v>162</v>
      </c>
      <c r="G9" s="171">
        <v>200</v>
      </c>
    </row>
    <row r="10" spans="1:7" ht="30" x14ac:dyDescent="0.25">
      <c r="A10" s="232"/>
      <c r="B10" s="180"/>
      <c r="C10" s="179"/>
      <c r="D10" s="178"/>
      <c r="E10" s="231"/>
      <c r="F10" s="173" t="s">
        <v>161</v>
      </c>
      <c r="G10" s="171">
        <v>30</v>
      </c>
    </row>
    <row r="11" spans="1:7" x14ac:dyDescent="0.25">
      <c r="A11" s="232"/>
      <c r="B11" s="178"/>
      <c r="C11" s="179"/>
      <c r="D11" s="178"/>
      <c r="E11" s="231" t="s">
        <v>165</v>
      </c>
      <c r="F11" s="172" t="s">
        <v>160</v>
      </c>
      <c r="G11" s="171">
        <v>5</v>
      </c>
    </row>
    <row r="12" spans="1:7" ht="45" x14ac:dyDescent="0.25">
      <c r="A12" s="232"/>
      <c r="B12" s="178"/>
      <c r="C12" s="179"/>
      <c r="D12" s="178"/>
      <c r="E12" s="231"/>
      <c r="F12" s="173" t="s">
        <v>162</v>
      </c>
      <c r="G12" s="171">
        <v>200</v>
      </c>
    </row>
    <row r="13" spans="1:7" ht="30" x14ac:dyDescent="0.25">
      <c r="A13" s="232"/>
      <c r="B13" s="178"/>
      <c r="C13" s="179"/>
      <c r="D13" s="178"/>
      <c r="E13" s="231"/>
      <c r="F13" s="173" t="s">
        <v>161</v>
      </c>
      <c r="G13" s="171">
        <v>30</v>
      </c>
    </row>
    <row r="14" spans="1:7" x14ac:dyDescent="0.25">
      <c r="A14" s="232"/>
      <c r="B14" s="180"/>
      <c r="C14" s="179"/>
      <c r="D14" s="178"/>
      <c r="E14" s="231" t="s">
        <v>164</v>
      </c>
      <c r="F14" s="172" t="s">
        <v>160</v>
      </c>
      <c r="G14" s="171">
        <v>5</v>
      </c>
    </row>
    <row r="15" spans="1:7" ht="45" x14ac:dyDescent="0.25">
      <c r="A15" s="232"/>
      <c r="B15" s="180"/>
      <c r="C15" s="179"/>
      <c r="D15" s="178"/>
      <c r="E15" s="231"/>
      <c r="F15" s="173" t="s">
        <v>162</v>
      </c>
      <c r="G15" s="171">
        <v>200</v>
      </c>
    </row>
    <row r="16" spans="1:7" ht="30" x14ac:dyDescent="0.25">
      <c r="A16" s="232"/>
      <c r="B16" s="178"/>
      <c r="C16" s="179"/>
      <c r="D16" s="178"/>
      <c r="E16" s="231"/>
      <c r="F16" s="173" t="s">
        <v>161</v>
      </c>
      <c r="G16" s="171">
        <v>30</v>
      </c>
    </row>
    <row r="17" spans="1:11" x14ac:dyDescent="0.25">
      <c r="A17" s="232"/>
      <c r="B17" s="178"/>
      <c r="C17" s="179"/>
      <c r="D17" s="178"/>
      <c r="E17" s="231" t="s">
        <v>163</v>
      </c>
      <c r="F17" s="172" t="s">
        <v>160</v>
      </c>
      <c r="G17" s="171">
        <v>5</v>
      </c>
    </row>
    <row r="18" spans="1:11" ht="45" x14ac:dyDescent="0.25">
      <c r="A18" s="232"/>
      <c r="B18" s="178"/>
      <c r="C18" s="179"/>
      <c r="D18" s="178"/>
      <c r="E18" s="231"/>
      <c r="F18" s="173" t="s">
        <v>162</v>
      </c>
      <c r="G18" s="171">
        <v>150</v>
      </c>
    </row>
    <row r="19" spans="1:11" ht="30" x14ac:dyDescent="0.25">
      <c r="A19" s="232"/>
      <c r="B19" s="180"/>
      <c r="C19" s="179"/>
      <c r="D19" s="178"/>
      <c r="E19" s="231"/>
      <c r="F19" s="173" t="s">
        <v>161</v>
      </c>
      <c r="G19" s="171">
        <v>30</v>
      </c>
    </row>
    <row r="20" spans="1:11" x14ac:dyDescent="0.25">
      <c r="A20" s="232"/>
      <c r="B20" s="180"/>
      <c r="C20" s="179"/>
      <c r="D20" s="178"/>
      <c r="E20" s="172"/>
      <c r="F20" s="172"/>
      <c r="G20" s="172"/>
    </row>
    <row r="21" spans="1:11" x14ac:dyDescent="0.25">
      <c r="A21" s="232"/>
      <c r="B21" s="178"/>
      <c r="C21" s="179"/>
      <c r="D21" s="178"/>
      <c r="E21" s="172"/>
      <c r="F21" s="172" t="s">
        <v>159</v>
      </c>
      <c r="G21" s="172">
        <f>SUM(G2:G19)</f>
        <v>1205</v>
      </c>
    </row>
    <row r="22" spans="1:11" x14ac:dyDescent="0.25">
      <c r="A22" s="232"/>
      <c r="B22" s="178"/>
      <c r="C22" s="179"/>
      <c r="D22" s="178"/>
      <c r="E22" s="172"/>
      <c r="F22" s="172" t="s">
        <v>158</v>
      </c>
      <c r="G22" s="172">
        <f>15*7</f>
        <v>105</v>
      </c>
    </row>
    <row r="23" spans="1:11" x14ac:dyDescent="0.25">
      <c r="A23" s="232"/>
      <c r="B23" s="178"/>
      <c r="C23" s="179"/>
      <c r="D23" s="178"/>
      <c r="E23" s="172"/>
      <c r="F23" s="172" t="s">
        <v>157</v>
      </c>
      <c r="G23" s="172">
        <v>1100</v>
      </c>
    </row>
    <row r="24" spans="1:11" x14ac:dyDescent="0.25">
      <c r="A24" s="232"/>
      <c r="B24" s="180"/>
      <c r="C24" s="179"/>
      <c r="D24" s="178"/>
      <c r="E24" s="172"/>
      <c r="F24" s="174" t="s">
        <v>156</v>
      </c>
      <c r="G24" s="174">
        <f>G21+G23</f>
        <v>2305</v>
      </c>
    </row>
    <row r="25" spans="1:11" x14ac:dyDescent="0.25">
      <c r="A25" s="232"/>
      <c r="B25" s="180"/>
      <c r="C25" s="179"/>
      <c r="D25" s="178"/>
      <c r="E25" s="172"/>
      <c r="F25" s="172"/>
      <c r="G25" s="172"/>
    </row>
    <row r="26" spans="1:11" x14ac:dyDescent="0.25">
      <c r="A26" s="232"/>
      <c r="B26" s="178"/>
      <c r="C26" s="179"/>
      <c r="D26" s="178"/>
    </row>
    <row r="27" spans="1:11" x14ac:dyDescent="0.25">
      <c r="A27" s="176"/>
      <c r="B27" s="178"/>
      <c r="C27" s="179"/>
      <c r="D27" s="178"/>
    </row>
    <row r="28" spans="1:11" x14ac:dyDescent="0.25">
      <c r="A28" s="178"/>
      <c r="B28" s="178"/>
      <c r="C28" s="178"/>
      <c r="D28" s="178"/>
    </row>
    <row r="29" spans="1:11" x14ac:dyDescent="0.25">
      <c r="A29" s="233"/>
      <c r="B29" s="233"/>
      <c r="C29" s="233"/>
      <c r="D29" s="233"/>
      <c r="E29" s="168"/>
      <c r="F29" s="244" t="s">
        <v>155</v>
      </c>
      <c r="G29" s="245"/>
      <c r="H29" s="245"/>
      <c r="I29" s="246"/>
      <c r="J29" s="167"/>
      <c r="K29" s="167"/>
    </row>
    <row r="30" spans="1:11" ht="30" x14ac:dyDescent="0.25">
      <c r="A30" s="175"/>
      <c r="B30" s="175"/>
      <c r="C30" s="175"/>
      <c r="D30" s="175"/>
      <c r="E30" s="168"/>
      <c r="F30" s="170" t="s">
        <v>138</v>
      </c>
      <c r="G30" s="170" t="s">
        <v>137</v>
      </c>
      <c r="H30" s="170" t="s">
        <v>136</v>
      </c>
      <c r="I30" s="170" t="s">
        <v>135</v>
      </c>
      <c r="J30" s="167"/>
      <c r="K30" s="167"/>
    </row>
    <row r="31" spans="1:11" x14ac:dyDescent="0.25">
      <c r="A31" s="233"/>
      <c r="B31" s="175"/>
      <c r="C31" s="175"/>
      <c r="D31" s="233"/>
      <c r="E31" s="168"/>
      <c r="F31" s="234" t="s">
        <v>154</v>
      </c>
      <c r="G31" s="170" t="s">
        <v>149</v>
      </c>
      <c r="H31" s="170">
        <v>150</v>
      </c>
      <c r="I31" s="234">
        <v>320</v>
      </c>
      <c r="J31" s="167"/>
      <c r="K31" s="167"/>
    </row>
    <row r="32" spans="1:11" x14ac:dyDescent="0.25">
      <c r="A32" s="233"/>
      <c r="B32" s="175"/>
      <c r="C32" s="175"/>
      <c r="D32" s="233"/>
      <c r="E32" s="168"/>
      <c r="F32" s="235"/>
      <c r="G32" s="170" t="s">
        <v>130</v>
      </c>
      <c r="H32" s="170">
        <v>20</v>
      </c>
      <c r="I32" s="235"/>
      <c r="J32" s="167"/>
      <c r="K32" s="167"/>
    </row>
    <row r="33" spans="1:11" x14ac:dyDescent="0.25">
      <c r="A33" s="233"/>
      <c r="B33" s="175"/>
      <c r="C33" s="175"/>
      <c r="D33" s="233"/>
      <c r="E33" s="168"/>
      <c r="F33" s="235"/>
      <c r="G33" s="170" t="s">
        <v>128</v>
      </c>
      <c r="H33" s="170">
        <v>5</v>
      </c>
      <c r="I33" s="235"/>
      <c r="J33" s="167"/>
      <c r="K33" s="167"/>
    </row>
    <row r="34" spans="1:11" x14ac:dyDescent="0.25">
      <c r="A34" s="233"/>
      <c r="B34" s="175"/>
      <c r="C34" s="175"/>
      <c r="D34" s="233"/>
      <c r="E34" s="168"/>
      <c r="F34" s="235"/>
      <c r="G34" s="170" t="s">
        <v>127</v>
      </c>
      <c r="H34" s="170">
        <v>15</v>
      </c>
      <c r="I34" s="235"/>
      <c r="J34" s="167"/>
      <c r="K34" s="167"/>
    </row>
    <row r="35" spans="1:11" x14ac:dyDescent="0.25">
      <c r="A35" s="233"/>
      <c r="B35" s="176"/>
      <c r="C35" s="175"/>
      <c r="D35" s="233"/>
      <c r="E35" s="168"/>
      <c r="F35" s="235"/>
      <c r="G35" s="167" t="s">
        <v>129</v>
      </c>
      <c r="H35" s="170">
        <v>10</v>
      </c>
      <c r="I35" s="235"/>
      <c r="J35" s="167"/>
      <c r="K35" s="167"/>
    </row>
    <row r="36" spans="1:11" x14ac:dyDescent="0.25">
      <c r="A36" s="233"/>
      <c r="B36" s="175"/>
      <c r="C36" s="175"/>
      <c r="D36" s="233"/>
      <c r="E36" s="168"/>
      <c r="F36" s="236"/>
      <c r="G36" s="170" t="s">
        <v>126</v>
      </c>
      <c r="H36" s="170">
        <v>15</v>
      </c>
      <c r="I36" s="236"/>
      <c r="J36" s="167"/>
      <c r="K36" s="167"/>
    </row>
    <row r="37" spans="1:11" x14ac:dyDescent="0.25">
      <c r="A37" s="233"/>
      <c r="B37" s="175"/>
      <c r="C37" s="175"/>
      <c r="D37" s="233"/>
      <c r="E37" s="168"/>
      <c r="F37" s="234" t="s">
        <v>153</v>
      </c>
      <c r="G37" s="170" t="s">
        <v>148</v>
      </c>
      <c r="H37" s="170">
        <v>225</v>
      </c>
      <c r="I37" s="234">
        <v>260</v>
      </c>
      <c r="J37" s="167"/>
      <c r="K37" s="167"/>
    </row>
    <row r="38" spans="1:11" x14ac:dyDescent="0.25">
      <c r="A38" s="233"/>
      <c r="B38" s="175"/>
      <c r="C38" s="175"/>
      <c r="D38" s="233"/>
      <c r="E38" s="168"/>
      <c r="F38" s="235"/>
      <c r="G38" s="170" t="s">
        <v>130</v>
      </c>
      <c r="H38" s="170">
        <v>30</v>
      </c>
      <c r="I38" s="235"/>
      <c r="J38" s="167"/>
      <c r="K38" s="167"/>
    </row>
    <row r="39" spans="1:11" x14ac:dyDescent="0.25">
      <c r="A39" s="233"/>
      <c r="B39" s="175"/>
      <c r="C39" s="175"/>
      <c r="D39" s="233"/>
      <c r="E39" s="168"/>
      <c r="F39" s="235"/>
      <c r="G39" s="170" t="s">
        <v>128</v>
      </c>
      <c r="H39" s="170">
        <v>5</v>
      </c>
      <c r="I39" s="235"/>
      <c r="J39" s="167"/>
      <c r="K39" s="167"/>
    </row>
    <row r="40" spans="1:11" x14ac:dyDescent="0.25">
      <c r="A40" s="233"/>
      <c r="B40" s="176"/>
      <c r="C40" s="175"/>
      <c r="D40" s="233"/>
      <c r="E40" s="168"/>
      <c r="F40" s="235"/>
      <c r="G40" s="167" t="s">
        <v>129</v>
      </c>
      <c r="H40" s="170">
        <v>10</v>
      </c>
      <c r="I40" s="235"/>
      <c r="J40" s="167"/>
      <c r="K40" s="167"/>
    </row>
    <row r="41" spans="1:11" x14ac:dyDescent="0.25">
      <c r="A41" s="233"/>
      <c r="B41" s="175"/>
      <c r="C41" s="175"/>
      <c r="D41" s="233"/>
      <c r="E41" s="168"/>
      <c r="F41" s="235"/>
      <c r="G41" s="170" t="s">
        <v>127</v>
      </c>
      <c r="H41" s="170">
        <v>15</v>
      </c>
      <c r="I41" s="235"/>
      <c r="J41" s="167"/>
      <c r="K41" s="167"/>
    </row>
    <row r="42" spans="1:11" x14ac:dyDescent="0.25">
      <c r="A42" s="233"/>
      <c r="B42" s="175"/>
      <c r="C42" s="175"/>
      <c r="D42" s="233"/>
      <c r="E42" s="168"/>
      <c r="F42" s="236"/>
      <c r="G42" s="170" t="s">
        <v>126</v>
      </c>
      <c r="H42" s="170">
        <v>15</v>
      </c>
      <c r="I42" s="236"/>
      <c r="J42" s="167"/>
      <c r="K42" s="167"/>
    </row>
    <row r="43" spans="1:11" x14ac:dyDescent="0.25">
      <c r="A43" s="233"/>
      <c r="B43" s="175"/>
      <c r="C43" s="175"/>
      <c r="D43" s="233"/>
      <c r="E43" s="168"/>
      <c r="F43" s="234" t="s">
        <v>152</v>
      </c>
      <c r="G43" s="170" t="s">
        <v>149</v>
      </c>
      <c r="H43" s="170">
        <v>150</v>
      </c>
      <c r="I43" s="241">
        <v>280</v>
      </c>
      <c r="J43" s="167"/>
      <c r="K43" s="167"/>
    </row>
    <row r="44" spans="1:11" x14ac:dyDescent="0.25">
      <c r="A44" s="233"/>
      <c r="B44" s="175"/>
      <c r="C44" s="175"/>
      <c r="D44" s="233"/>
      <c r="E44" s="168"/>
      <c r="F44" s="235"/>
      <c r="G44" s="170" t="s">
        <v>130</v>
      </c>
      <c r="H44" s="170">
        <v>20</v>
      </c>
      <c r="I44" s="242"/>
      <c r="J44" s="167"/>
      <c r="K44" s="167"/>
    </row>
    <row r="45" spans="1:11" x14ac:dyDescent="0.25">
      <c r="A45" s="233"/>
      <c r="B45" s="176"/>
      <c r="C45" s="175"/>
      <c r="D45" s="233"/>
      <c r="E45" s="168"/>
      <c r="F45" s="235"/>
      <c r="G45" s="167" t="s">
        <v>129</v>
      </c>
      <c r="H45" s="170">
        <v>10</v>
      </c>
      <c r="I45" s="242"/>
      <c r="J45" s="167"/>
      <c r="K45" s="167"/>
    </row>
    <row r="46" spans="1:11" x14ac:dyDescent="0.25">
      <c r="A46" s="233"/>
      <c r="B46" s="175"/>
      <c r="C46" s="175"/>
      <c r="D46" s="233"/>
      <c r="E46" s="168"/>
      <c r="F46" s="235"/>
      <c r="G46" s="170" t="s">
        <v>128</v>
      </c>
      <c r="H46" s="170">
        <v>10</v>
      </c>
      <c r="I46" s="242"/>
      <c r="J46" s="167"/>
      <c r="K46" s="167"/>
    </row>
    <row r="47" spans="1:11" x14ac:dyDescent="0.25">
      <c r="A47" s="233"/>
      <c r="B47" s="175"/>
      <c r="C47" s="175"/>
      <c r="D47" s="233"/>
      <c r="E47" s="168"/>
      <c r="F47" s="235"/>
      <c r="G47" s="170" t="s">
        <v>127</v>
      </c>
      <c r="H47" s="170">
        <v>20</v>
      </c>
      <c r="I47" s="242"/>
      <c r="J47" s="167"/>
      <c r="K47" s="167"/>
    </row>
    <row r="48" spans="1:11" x14ac:dyDescent="0.25">
      <c r="A48" s="233"/>
      <c r="B48" s="175"/>
      <c r="C48" s="175"/>
      <c r="D48" s="233"/>
      <c r="E48" s="168"/>
      <c r="F48" s="236"/>
      <c r="G48" s="170" t="s">
        <v>126</v>
      </c>
      <c r="H48" s="170">
        <v>20</v>
      </c>
      <c r="I48" s="243"/>
      <c r="J48" s="167"/>
      <c r="K48" s="167"/>
    </row>
    <row r="49" spans="1:11" x14ac:dyDescent="0.25">
      <c r="A49" s="233"/>
      <c r="B49" s="175"/>
      <c r="C49" s="175"/>
      <c r="D49" s="233"/>
      <c r="E49" s="168"/>
      <c r="F49" s="234" t="s">
        <v>151</v>
      </c>
      <c r="G49" s="170" t="s">
        <v>149</v>
      </c>
      <c r="H49" s="170">
        <v>150</v>
      </c>
      <c r="I49" s="241">
        <v>280</v>
      </c>
      <c r="J49" s="167"/>
      <c r="K49" s="167"/>
    </row>
    <row r="50" spans="1:11" x14ac:dyDescent="0.25">
      <c r="A50" s="233"/>
      <c r="B50" s="175"/>
      <c r="C50" s="175"/>
      <c r="D50" s="233"/>
      <c r="E50" s="168"/>
      <c r="F50" s="235"/>
      <c r="G50" s="170" t="s">
        <v>130</v>
      </c>
      <c r="H50" s="170">
        <v>20</v>
      </c>
      <c r="I50" s="242"/>
      <c r="J50" s="167"/>
      <c r="K50" s="167"/>
    </row>
    <row r="51" spans="1:11" x14ac:dyDescent="0.25">
      <c r="A51" s="233"/>
      <c r="B51" s="176"/>
      <c r="C51" s="175"/>
      <c r="D51" s="233"/>
      <c r="E51" s="168"/>
      <c r="F51" s="235"/>
      <c r="G51" s="167" t="s">
        <v>129</v>
      </c>
      <c r="H51" s="170">
        <v>10</v>
      </c>
      <c r="I51" s="242"/>
      <c r="J51" s="167"/>
      <c r="K51" s="167"/>
    </row>
    <row r="52" spans="1:11" x14ac:dyDescent="0.25">
      <c r="A52" s="233"/>
      <c r="B52" s="175"/>
      <c r="C52" s="175"/>
      <c r="D52" s="233"/>
      <c r="E52" s="168"/>
      <c r="F52" s="235"/>
      <c r="G52" s="170" t="s">
        <v>128</v>
      </c>
      <c r="H52" s="170">
        <v>10</v>
      </c>
      <c r="I52" s="242"/>
      <c r="J52" s="167"/>
      <c r="K52" s="167"/>
    </row>
    <row r="53" spans="1:11" x14ac:dyDescent="0.25">
      <c r="A53" s="233"/>
      <c r="B53" s="175"/>
      <c r="C53" s="175"/>
      <c r="D53" s="233"/>
      <c r="E53" s="168"/>
      <c r="F53" s="235"/>
      <c r="G53" s="170" t="s">
        <v>127</v>
      </c>
      <c r="H53" s="170">
        <v>20</v>
      </c>
      <c r="I53" s="242"/>
      <c r="J53" s="167"/>
      <c r="K53" s="167"/>
    </row>
    <row r="54" spans="1:11" x14ac:dyDescent="0.25">
      <c r="A54" s="233"/>
      <c r="B54" s="175"/>
      <c r="C54" s="175"/>
      <c r="D54" s="233"/>
      <c r="E54" s="168"/>
      <c r="F54" s="236"/>
      <c r="G54" s="170" t="s">
        <v>126</v>
      </c>
      <c r="H54" s="170">
        <v>20</v>
      </c>
      <c r="I54" s="243"/>
      <c r="J54" s="167"/>
      <c r="K54" s="167"/>
    </row>
    <row r="55" spans="1:11" x14ac:dyDescent="0.25">
      <c r="A55" s="233"/>
      <c r="B55" s="175"/>
      <c r="C55" s="175"/>
      <c r="D55" s="233"/>
      <c r="E55" s="168"/>
      <c r="F55" s="234" t="s">
        <v>150</v>
      </c>
      <c r="G55" s="170" t="s">
        <v>149</v>
      </c>
      <c r="H55" s="170">
        <v>150</v>
      </c>
      <c r="I55" s="241">
        <v>280</v>
      </c>
      <c r="J55" s="167"/>
      <c r="K55" s="167"/>
    </row>
    <row r="56" spans="1:11" x14ac:dyDescent="0.25">
      <c r="A56" s="233"/>
      <c r="B56" s="175"/>
      <c r="C56" s="175"/>
      <c r="D56" s="233"/>
      <c r="E56" s="168"/>
      <c r="F56" s="235"/>
      <c r="G56" s="170" t="s">
        <v>130</v>
      </c>
      <c r="H56" s="170">
        <v>20</v>
      </c>
      <c r="I56" s="242"/>
      <c r="J56" s="167"/>
      <c r="K56" s="167"/>
    </row>
    <row r="57" spans="1:11" x14ac:dyDescent="0.25">
      <c r="A57" s="233"/>
      <c r="B57" s="176"/>
      <c r="C57" s="175"/>
      <c r="D57" s="233"/>
      <c r="E57" s="168"/>
      <c r="F57" s="235"/>
      <c r="G57" s="167" t="s">
        <v>129</v>
      </c>
      <c r="H57" s="170">
        <v>10</v>
      </c>
      <c r="I57" s="242"/>
      <c r="J57" s="167"/>
      <c r="K57" s="167"/>
    </row>
    <row r="58" spans="1:11" x14ac:dyDescent="0.25">
      <c r="A58" s="233"/>
      <c r="B58" s="175"/>
      <c r="C58" s="175"/>
      <c r="D58" s="233"/>
      <c r="E58" s="168"/>
      <c r="F58" s="235"/>
      <c r="G58" s="170" t="s">
        <v>128</v>
      </c>
      <c r="H58" s="170">
        <v>10</v>
      </c>
      <c r="I58" s="242"/>
      <c r="J58" s="167"/>
      <c r="K58" s="167"/>
    </row>
    <row r="59" spans="1:11" x14ac:dyDescent="0.25">
      <c r="A59" s="233"/>
      <c r="B59" s="175"/>
      <c r="C59" s="175"/>
      <c r="D59" s="233"/>
      <c r="E59" s="168"/>
      <c r="F59" s="235"/>
      <c r="G59" s="170" t="s">
        <v>127</v>
      </c>
      <c r="H59" s="170">
        <v>20</v>
      </c>
      <c r="I59" s="242"/>
      <c r="J59" s="167"/>
      <c r="K59" s="167"/>
    </row>
    <row r="60" spans="1:11" x14ac:dyDescent="0.25">
      <c r="A60" s="233"/>
      <c r="B60" s="175"/>
      <c r="C60" s="175"/>
      <c r="D60" s="233"/>
      <c r="E60" s="168"/>
      <c r="F60" s="236"/>
      <c r="G60" s="170" t="s">
        <v>126</v>
      </c>
      <c r="H60" s="170">
        <v>20</v>
      </c>
      <c r="I60" s="243"/>
      <c r="J60" s="167"/>
      <c r="K60" s="167"/>
    </row>
    <row r="61" spans="1:11" x14ac:dyDescent="0.25">
      <c r="A61" s="233"/>
      <c r="B61" s="175"/>
      <c r="C61" s="175"/>
      <c r="D61" s="233"/>
      <c r="E61" s="168"/>
      <c r="F61" s="234" t="s">
        <v>147</v>
      </c>
      <c r="G61" s="170" t="s">
        <v>146</v>
      </c>
      <c r="H61" s="170">
        <v>70</v>
      </c>
      <c r="I61" s="234">
        <v>150</v>
      </c>
      <c r="J61" s="167"/>
      <c r="K61" s="167"/>
    </row>
    <row r="62" spans="1:11" x14ac:dyDescent="0.25">
      <c r="A62" s="233"/>
      <c r="B62" s="175"/>
      <c r="C62" s="175"/>
      <c r="D62" s="233"/>
      <c r="E62" s="168"/>
      <c r="F62" s="235"/>
      <c r="G62" s="170" t="s">
        <v>127</v>
      </c>
      <c r="H62" s="170">
        <v>45</v>
      </c>
      <c r="I62" s="235"/>
      <c r="J62" s="167"/>
      <c r="K62" s="167"/>
    </row>
    <row r="63" spans="1:11" x14ac:dyDescent="0.25">
      <c r="A63" s="233"/>
      <c r="B63" s="176"/>
      <c r="C63" s="175"/>
      <c r="D63" s="233"/>
      <c r="E63" s="168"/>
      <c r="F63" s="236"/>
      <c r="G63" s="170" t="s">
        <v>144</v>
      </c>
      <c r="H63" s="170">
        <v>15</v>
      </c>
      <c r="I63" s="236"/>
      <c r="J63" s="167"/>
      <c r="K63" s="167"/>
    </row>
    <row r="64" spans="1:11" x14ac:dyDescent="0.25">
      <c r="A64" s="233"/>
      <c r="B64" s="175"/>
      <c r="C64" s="175"/>
      <c r="D64" s="233"/>
      <c r="E64" s="168"/>
      <c r="F64" s="234" t="s">
        <v>142</v>
      </c>
      <c r="G64" s="170" t="s">
        <v>141</v>
      </c>
      <c r="H64" s="170">
        <v>200</v>
      </c>
      <c r="I64" s="234">
        <v>1200</v>
      </c>
      <c r="J64" s="167"/>
      <c r="K64" s="167"/>
    </row>
    <row r="65" spans="1:11" x14ac:dyDescent="0.25">
      <c r="A65" s="233"/>
      <c r="B65" s="175"/>
      <c r="C65" s="175"/>
      <c r="D65" s="233"/>
      <c r="E65" s="168"/>
      <c r="F65" s="235"/>
      <c r="G65" s="170" t="s">
        <v>123</v>
      </c>
      <c r="H65" s="170">
        <v>50</v>
      </c>
      <c r="I65" s="235"/>
      <c r="J65" s="167"/>
      <c r="K65" s="167"/>
    </row>
    <row r="66" spans="1:11" x14ac:dyDescent="0.25">
      <c r="A66" s="233"/>
      <c r="B66" s="175"/>
      <c r="C66" s="175"/>
      <c r="D66" s="233"/>
      <c r="E66" s="168"/>
      <c r="F66" s="235"/>
      <c r="G66" s="170" t="s">
        <v>130</v>
      </c>
      <c r="H66" s="170">
        <v>100</v>
      </c>
      <c r="I66" s="235"/>
      <c r="J66" s="167"/>
      <c r="K66" s="167"/>
    </row>
    <row r="67" spans="1:11" x14ac:dyDescent="0.25">
      <c r="A67" s="233"/>
      <c r="B67" s="175"/>
      <c r="C67" s="175"/>
      <c r="D67" s="233"/>
      <c r="E67" s="168"/>
      <c r="F67" s="236"/>
      <c r="G67" s="170" t="s">
        <v>127</v>
      </c>
      <c r="H67" s="170">
        <v>40</v>
      </c>
      <c r="I67" s="236"/>
      <c r="J67" s="167"/>
      <c r="K67" s="167"/>
    </row>
    <row r="68" spans="1:11" x14ac:dyDescent="0.25">
      <c r="A68" s="233"/>
      <c r="B68" s="176"/>
      <c r="C68" s="175"/>
      <c r="D68" s="233"/>
      <c r="E68" s="168"/>
      <c r="F68" s="168"/>
      <c r="G68" s="167"/>
      <c r="H68" s="167">
        <f>SUM(H31:H67)</f>
        <v>1725</v>
      </c>
      <c r="I68" s="167">
        <f>SUM(I31:I67)</f>
        <v>2770</v>
      </c>
      <c r="J68" s="167"/>
      <c r="K68" s="167"/>
    </row>
    <row r="69" spans="1:11" x14ac:dyDescent="0.25">
      <c r="A69" s="233"/>
      <c r="B69" s="175"/>
      <c r="C69" s="175"/>
      <c r="D69" s="233"/>
      <c r="E69" s="168"/>
      <c r="F69" s="168"/>
      <c r="G69" s="167"/>
      <c r="H69" s="167"/>
      <c r="I69" s="167"/>
      <c r="J69" s="167"/>
      <c r="K69" s="167"/>
    </row>
    <row r="70" spans="1:11" x14ac:dyDescent="0.25">
      <c r="A70" s="233"/>
      <c r="B70" s="175"/>
      <c r="C70" s="175"/>
      <c r="D70" s="233"/>
      <c r="E70" s="168"/>
      <c r="F70" s="168"/>
      <c r="G70" s="167"/>
      <c r="H70" s="167"/>
      <c r="I70" s="167"/>
      <c r="J70" s="167"/>
      <c r="K70" s="167"/>
    </row>
    <row r="71" spans="1:11" x14ac:dyDescent="0.25">
      <c r="A71" s="233"/>
      <c r="B71" s="175"/>
      <c r="C71" s="175"/>
      <c r="D71" s="233"/>
      <c r="E71" s="168"/>
      <c r="F71" s="168"/>
      <c r="G71" s="167"/>
      <c r="H71" s="167"/>
      <c r="I71" s="167"/>
      <c r="J71" s="167"/>
      <c r="K71" s="167"/>
    </row>
    <row r="72" spans="1:11" x14ac:dyDescent="0.25">
      <c r="A72" s="233"/>
      <c r="B72" s="175"/>
      <c r="C72" s="175"/>
      <c r="D72" s="233"/>
      <c r="E72" s="168"/>
      <c r="F72" s="168" t="s">
        <v>145</v>
      </c>
      <c r="G72" s="167">
        <f>SUM(G21+H68)+397.5</f>
        <v>3327.5</v>
      </c>
      <c r="H72" s="167"/>
      <c r="I72" s="167"/>
      <c r="J72" s="167"/>
      <c r="K72" s="167"/>
    </row>
    <row r="73" spans="1:11" x14ac:dyDescent="0.25">
      <c r="A73" s="233"/>
      <c r="B73" s="175"/>
      <c r="C73" s="175"/>
      <c r="D73" s="233"/>
      <c r="E73" s="168"/>
      <c r="F73" s="168" t="s">
        <v>143</v>
      </c>
      <c r="G73" s="167">
        <f>SUM(G23+I68)+240</f>
        <v>4110</v>
      </c>
      <c r="H73" s="167"/>
      <c r="I73" s="167"/>
      <c r="J73" s="167"/>
      <c r="K73" s="167"/>
    </row>
    <row r="74" spans="1:11" x14ac:dyDescent="0.25">
      <c r="A74" s="233"/>
      <c r="B74" s="175"/>
      <c r="C74" s="175"/>
      <c r="D74" s="233"/>
      <c r="E74" s="168"/>
      <c r="F74" s="168" t="s">
        <v>140</v>
      </c>
      <c r="G74" s="167">
        <f>G72+G73</f>
        <v>7437.5</v>
      </c>
      <c r="H74" s="167"/>
      <c r="I74" s="167"/>
      <c r="J74" s="167"/>
      <c r="K74" s="167"/>
    </row>
    <row r="75" spans="1:11" x14ac:dyDescent="0.25">
      <c r="A75" s="233"/>
      <c r="B75" s="175"/>
      <c r="C75" s="175"/>
      <c r="D75" s="233"/>
      <c r="E75" s="168"/>
      <c r="F75" s="168"/>
      <c r="G75" s="167"/>
      <c r="H75" s="167"/>
      <c r="I75" s="167"/>
      <c r="J75" s="167"/>
      <c r="K75" s="167"/>
    </row>
    <row r="76" spans="1:11" x14ac:dyDescent="0.25">
      <c r="A76" s="233"/>
      <c r="B76" s="175"/>
      <c r="C76" s="175"/>
      <c r="D76" s="233"/>
      <c r="E76" s="168"/>
      <c r="F76" s="168"/>
      <c r="G76" s="167"/>
      <c r="H76" s="167"/>
      <c r="I76" s="167"/>
      <c r="J76" s="167"/>
      <c r="K76" s="167"/>
    </row>
    <row r="77" spans="1:11" x14ac:dyDescent="0.25">
      <c r="A77" s="233"/>
      <c r="B77" s="175"/>
      <c r="C77" s="175"/>
      <c r="D77" s="233"/>
      <c r="E77" s="168"/>
      <c r="F77" s="168"/>
      <c r="G77" s="167"/>
      <c r="H77" s="167"/>
      <c r="I77" s="167"/>
      <c r="J77" s="167"/>
      <c r="K77" s="167"/>
    </row>
    <row r="78" spans="1:11" x14ac:dyDescent="0.25">
      <c r="A78" s="175"/>
      <c r="B78" s="175"/>
      <c r="C78" s="175"/>
      <c r="D78" s="175"/>
      <c r="E78" s="168"/>
      <c r="F78" s="168"/>
      <c r="G78" s="167"/>
      <c r="H78" s="167"/>
      <c r="I78" s="167"/>
      <c r="J78" s="167"/>
      <c r="K78" s="167"/>
    </row>
    <row r="79" spans="1:11" x14ac:dyDescent="0.25">
      <c r="A79" s="168"/>
      <c r="B79" s="168"/>
      <c r="C79" s="168"/>
      <c r="D79" s="168"/>
      <c r="E79" s="168"/>
      <c r="F79" s="168"/>
      <c r="G79" s="167"/>
      <c r="H79" s="167"/>
      <c r="I79" s="167"/>
      <c r="J79" s="167"/>
      <c r="K79" s="167"/>
    </row>
    <row r="80" spans="1:11" x14ac:dyDescent="0.25">
      <c r="A80" s="237" t="s">
        <v>139</v>
      </c>
      <c r="B80" s="237"/>
      <c r="C80" s="237"/>
      <c r="D80" s="237"/>
      <c r="E80" s="168"/>
      <c r="F80" s="168"/>
      <c r="G80" s="167"/>
      <c r="H80" s="167"/>
      <c r="I80" s="167"/>
      <c r="J80" s="167"/>
      <c r="K80" s="167"/>
    </row>
    <row r="81" spans="1:11" ht="30" x14ac:dyDescent="0.25">
      <c r="A81" s="170" t="s">
        <v>138</v>
      </c>
      <c r="B81" s="170" t="s">
        <v>137</v>
      </c>
      <c r="C81" s="170" t="s">
        <v>136</v>
      </c>
      <c r="D81" s="170" t="s">
        <v>135</v>
      </c>
      <c r="E81" s="168"/>
      <c r="F81" s="168"/>
      <c r="G81" s="167"/>
      <c r="H81" s="167"/>
      <c r="I81" s="167"/>
      <c r="J81" s="167"/>
      <c r="K81" s="167"/>
    </row>
    <row r="82" spans="1:11" x14ac:dyDescent="0.25">
      <c r="A82" s="238" t="s">
        <v>134</v>
      </c>
      <c r="B82" s="170" t="s">
        <v>133</v>
      </c>
      <c r="C82" s="170">
        <v>300</v>
      </c>
      <c r="D82" s="234">
        <v>350</v>
      </c>
      <c r="E82" s="168"/>
      <c r="F82" s="168"/>
      <c r="G82" s="167"/>
      <c r="H82" s="167"/>
      <c r="I82" s="167"/>
      <c r="J82" s="167"/>
      <c r="K82" s="167"/>
    </row>
    <row r="83" spans="1:11" x14ac:dyDescent="0.25">
      <c r="A83" s="239"/>
      <c r="B83" s="170" t="s">
        <v>130</v>
      </c>
      <c r="C83" s="170">
        <v>50</v>
      </c>
      <c r="D83" s="235"/>
      <c r="E83" s="168"/>
      <c r="F83" s="168"/>
      <c r="G83" s="167"/>
      <c r="H83" s="167"/>
      <c r="I83" s="167"/>
      <c r="J83" s="167"/>
      <c r="K83" s="167"/>
    </row>
    <row r="84" spans="1:11" x14ac:dyDescent="0.25">
      <c r="A84" s="239"/>
      <c r="B84" s="167" t="s">
        <v>129</v>
      </c>
      <c r="C84" s="170">
        <v>15</v>
      </c>
      <c r="D84" s="235"/>
      <c r="E84" s="168"/>
      <c r="F84" s="168"/>
      <c r="G84" s="167"/>
      <c r="H84" s="167"/>
      <c r="I84" s="167"/>
      <c r="J84" s="167"/>
      <c r="K84" s="167"/>
    </row>
    <row r="85" spans="1:11" x14ac:dyDescent="0.25">
      <c r="A85" s="239"/>
      <c r="B85" s="170" t="s">
        <v>128</v>
      </c>
      <c r="C85" s="170">
        <v>30</v>
      </c>
      <c r="D85" s="235"/>
      <c r="E85" s="168"/>
      <c r="F85" s="168"/>
      <c r="G85" s="167"/>
      <c r="H85" s="167"/>
      <c r="I85" s="167"/>
      <c r="J85" s="167"/>
      <c r="K85" s="167"/>
    </row>
    <row r="86" spans="1:11" x14ac:dyDescent="0.25">
      <c r="A86" s="239"/>
      <c r="B86" s="170" t="s">
        <v>127</v>
      </c>
      <c r="C86" s="170">
        <v>30</v>
      </c>
      <c r="D86" s="235"/>
      <c r="E86" s="168"/>
      <c r="F86" s="168"/>
      <c r="G86" s="167"/>
      <c r="H86" s="167"/>
      <c r="I86" s="167"/>
      <c r="J86" s="167"/>
      <c r="K86" s="167"/>
    </row>
    <row r="87" spans="1:11" x14ac:dyDescent="0.25">
      <c r="A87" s="240"/>
      <c r="B87" s="170" t="s">
        <v>126</v>
      </c>
      <c r="C87" s="170">
        <v>25</v>
      </c>
      <c r="D87" s="236"/>
      <c r="E87" s="168"/>
      <c r="F87" s="168"/>
      <c r="G87" s="167"/>
      <c r="H87" s="167"/>
      <c r="I87" s="167"/>
      <c r="J87" s="167"/>
      <c r="K87" s="167"/>
    </row>
    <row r="88" spans="1:11" ht="28.9" customHeight="1" x14ac:dyDescent="0.25">
      <c r="A88" s="237" t="s">
        <v>132</v>
      </c>
      <c r="B88" s="170" t="s">
        <v>131</v>
      </c>
      <c r="C88" s="170">
        <v>150</v>
      </c>
      <c r="D88" s="237">
        <v>130</v>
      </c>
      <c r="E88" s="168"/>
      <c r="F88" s="168"/>
      <c r="G88" s="167"/>
      <c r="H88" s="167"/>
      <c r="I88" s="167"/>
      <c r="J88" s="167"/>
      <c r="K88" s="167"/>
    </row>
    <row r="89" spans="1:11" x14ac:dyDescent="0.25">
      <c r="A89" s="237"/>
      <c r="B89" s="170" t="s">
        <v>130</v>
      </c>
      <c r="C89" s="170">
        <v>15</v>
      </c>
      <c r="D89" s="237"/>
      <c r="E89" s="168"/>
      <c r="F89" s="168"/>
      <c r="G89" s="167"/>
      <c r="H89" s="167"/>
      <c r="I89" s="167"/>
      <c r="J89" s="167"/>
      <c r="K89" s="167"/>
    </row>
    <row r="90" spans="1:11" x14ac:dyDescent="0.25">
      <c r="A90" s="237"/>
      <c r="B90" s="167" t="s">
        <v>129</v>
      </c>
      <c r="C90" s="170">
        <v>10</v>
      </c>
      <c r="D90" s="237"/>
      <c r="E90" s="168"/>
      <c r="F90" s="168"/>
      <c r="G90" s="167"/>
      <c r="H90" s="167"/>
      <c r="I90" s="167"/>
      <c r="J90" s="167"/>
      <c r="K90" s="167"/>
    </row>
    <row r="91" spans="1:11" x14ac:dyDescent="0.25">
      <c r="A91" s="237"/>
      <c r="B91" s="170" t="s">
        <v>128</v>
      </c>
      <c r="C91" s="170">
        <v>10</v>
      </c>
      <c r="D91" s="237"/>
      <c r="E91" s="168"/>
      <c r="F91" s="168"/>
      <c r="G91" s="167"/>
      <c r="H91" s="167"/>
      <c r="I91" s="167"/>
      <c r="J91" s="167"/>
      <c r="K91" s="167"/>
    </row>
    <row r="92" spans="1:11" x14ac:dyDescent="0.25">
      <c r="A92" s="237"/>
      <c r="B92" s="170" t="s">
        <v>127</v>
      </c>
      <c r="C92" s="170">
        <v>15</v>
      </c>
      <c r="D92" s="237"/>
      <c r="E92" s="168"/>
      <c r="F92" s="168"/>
      <c r="G92" s="167"/>
      <c r="H92" s="167"/>
      <c r="I92" s="167"/>
      <c r="J92" s="167"/>
      <c r="K92" s="167"/>
    </row>
    <row r="93" spans="1:11" x14ac:dyDescent="0.25">
      <c r="A93" s="237"/>
      <c r="B93" s="170" t="s">
        <v>126</v>
      </c>
      <c r="C93" s="169">
        <v>10</v>
      </c>
      <c r="D93" s="237"/>
      <c r="E93" s="167"/>
      <c r="F93" s="167"/>
      <c r="G93" s="167"/>
      <c r="H93" s="167"/>
      <c r="I93" s="167"/>
      <c r="J93" s="167"/>
      <c r="K93" s="167"/>
    </row>
    <row r="94" spans="1:11" x14ac:dyDescent="0.25">
      <c r="A94" s="237" t="s">
        <v>125</v>
      </c>
      <c r="B94" s="170" t="s">
        <v>124</v>
      </c>
      <c r="C94" s="170">
        <v>40</v>
      </c>
      <c r="D94" s="234"/>
      <c r="E94" s="167"/>
      <c r="F94" s="167"/>
      <c r="G94" s="167"/>
      <c r="H94" s="167"/>
      <c r="I94" s="167"/>
      <c r="J94" s="167"/>
      <c r="K94" s="167"/>
    </row>
    <row r="95" spans="1:11" x14ac:dyDescent="0.25">
      <c r="A95" s="237"/>
      <c r="B95" s="170" t="s">
        <v>123</v>
      </c>
      <c r="C95" s="170">
        <v>50</v>
      </c>
      <c r="D95" s="235"/>
      <c r="E95" s="167"/>
      <c r="F95" s="167"/>
      <c r="G95" s="167"/>
      <c r="H95" s="167"/>
      <c r="I95" s="167"/>
      <c r="J95" s="167"/>
      <c r="K95" s="167"/>
    </row>
    <row r="96" spans="1:11" x14ac:dyDescent="0.25">
      <c r="A96" s="237"/>
      <c r="B96" s="170" t="s">
        <v>122</v>
      </c>
      <c r="C96" s="170">
        <v>45</v>
      </c>
      <c r="D96" s="235"/>
      <c r="E96" s="167"/>
      <c r="F96" s="167"/>
      <c r="G96" s="167"/>
      <c r="H96" s="167"/>
      <c r="I96" s="167"/>
      <c r="J96" s="167"/>
      <c r="K96" s="167"/>
    </row>
    <row r="97" spans="1:11" x14ac:dyDescent="0.25">
      <c r="A97" s="169"/>
      <c r="B97" s="170" t="s">
        <v>121</v>
      </c>
      <c r="C97" s="169"/>
      <c r="D97" s="236"/>
      <c r="E97" s="167"/>
      <c r="F97" s="167"/>
      <c r="G97" s="167"/>
      <c r="H97" s="167"/>
      <c r="I97" s="167"/>
      <c r="J97" s="167"/>
      <c r="K97" s="167"/>
    </row>
    <row r="98" spans="1:11" x14ac:dyDescent="0.25">
      <c r="A98" s="168"/>
      <c r="B98" s="167"/>
      <c r="C98" s="167">
        <f>SUM(C82:C97)</f>
        <v>795</v>
      </c>
      <c r="D98" s="167">
        <f>SUM(D82:D93)</f>
        <v>480</v>
      </c>
      <c r="E98" s="167"/>
      <c r="F98" s="167"/>
      <c r="G98" s="167"/>
      <c r="H98" s="167"/>
      <c r="I98" s="167"/>
      <c r="J98" s="167"/>
      <c r="K98" s="167"/>
    </row>
    <row r="99" spans="1:11" x14ac:dyDescent="0.25">
      <c r="A99" s="168"/>
      <c r="B99" s="167"/>
      <c r="C99" s="167"/>
      <c r="D99" s="167"/>
      <c r="E99" s="167"/>
      <c r="F99" s="167"/>
      <c r="G99" s="167"/>
      <c r="H99" s="167"/>
      <c r="I99" s="167"/>
      <c r="J99" s="167"/>
      <c r="K99" s="167"/>
    </row>
    <row r="100" spans="1:11" x14ac:dyDescent="0.25">
      <c r="A100" s="168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</row>
    <row r="101" spans="1:11" x14ac:dyDescent="0.25">
      <c r="A101" s="168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</row>
    <row r="102" spans="1:11" x14ac:dyDescent="0.25">
      <c r="A102" s="168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</row>
    <row r="103" spans="1:11" x14ac:dyDescent="0.25">
      <c r="A103" s="167"/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</row>
    <row r="104" spans="1:11" x14ac:dyDescent="0.25">
      <c r="A104" s="167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</row>
    <row r="105" spans="1:11" x14ac:dyDescent="0.25">
      <c r="A105" s="167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</row>
    <row r="106" spans="1:11" x14ac:dyDescent="0.25">
      <c r="A106" s="167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</row>
    <row r="107" spans="1:11" x14ac:dyDescent="0.25">
      <c r="A107" s="167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</row>
    <row r="108" spans="1:11" x14ac:dyDescent="0.25">
      <c r="A108" s="167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</row>
    <row r="109" spans="1:11" x14ac:dyDescent="0.25">
      <c r="A109" s="167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</row>
    <row r="110" spans="1:11" x14ac:dyDescent="0.25">
      <c r="A110" s="167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</row>
    <row r="111" spans="1:11" x14ac:dyDescent="0.25">
      <c r="A111" s="167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</row>
    <row r="112" spans="1:11" x14ac:dyDescent="0.25">
      <c r="A112" s="167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</row>
    <row r="113" spans="1:11" x14ac:dyDescent="0.25">
      <c r="A113" s="167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</row>
    <row r="114" spans="1:11" x14ac:dyDescent="0.25">
      <c r="A114" s="167"/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</row>
    <row r="115" spans="1:11" x14ac:dyDescent="0.25">
      <c r="A115" s="167"/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</row>
    <row r="116" spans="1:11" x14ac:dyDescent="0.25">
      <c r="A116" s="167"/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</row>
    <row r="117" spans="1:11" x14ac:dyDescent="0.25">
      <c r="A117" s="167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</row>
    <row r="118" spans="1:11" x14ac:dyDescent="0.25">
      <c r="A118" s="167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</row>
    <row r="119" spans="1:11" x14ac:dyDescent="0.25">
      <c r="A119" s="167"/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</row>
    <row r="120" spans="1:11" x14ac:dyDescent="0.25">
      <c r="A120" s="167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</row>
    <row r="121" spans="1:11" x14ac:dyDescent="0.25">
      <c r="A121" s="167"/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</row>
    <row r="122" spans="1:11" x14ac:dyDescent="0.25">
      <c r="A122" s="167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</row>
    <row r="123" spans="1:11" x14ac:dyDescent="0.25">
      <c r="A123" s="167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</row>
    <row r="124" spans="1:11" x14ac:dyDescent="0.25">
      <c r="A124" s="167"/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</row>
    <row r="125" spans="1:11" x14ac:dyDescent="0.25">
      <c r="A125" s="167"/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</row>
    <row r="126" spans="1:11" x14ac:dyDescent="0.25">
      <c r="A126" s="167"/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</row>
    <row r="127" spans="1:11" x14ac:dyDescent="0.25">
      <c r="A127" s="167"/>
      <c r="B127" s="167"/>
      <c r="C127" s="167"/>
      <c r="D127" s="167"/>
      <c r="E127" s="167"/>
      <c r="F127" s="167"/>
      <c r="G127" s="167"/>
      <c r="H127" s="167"/>
      <c r="I127" s="167"/>
      <c r="J127" s="167"/>
      <c r="K127" s="167"/>
    </row>
    <row r="128" spans="1:11" x14ac:dyDescent="0.25">
      <c r="A128" s="167"/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</row>
    <row r="129" spans="1:11" x14ac:dyDescent="0.25">
      <c r="A129" s="167"/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</row>
    <row r="130" spans="1:11" x14ac:dyDescent="0.25">
      <c r="A130" s="167"/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</row>
    <row r="131" spans="1:11" x14ac:dyDescent="0.25">
      <c r="A131" s="167"/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</row>
    <row r="132" spans="1:11" x14ac:dyDescent="0.25">
      <c r="A132" s="167"/>
      <c r="B132" s="167"/>
      <c r="C132" s="167"/>
      <c r="D132" s="167"/>
      <c r="E132" s="167"/>
      <c r="F132" s="167"/>
      <c r="G132" s="167"/>
      <c r="H132" s="167"/>
      <c r="I132" s="167"/>
      <c r="J132" s="167"/>
      <c r="K132" s="167"/>
    </row>
    <row r="133" spans="1:11" x14ac:dyDescent="0.25">
      <c r="A133" s="167"/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</row>
    <row r="134" spans="1:11" x14ac:dyDescent="0.25">
      <c r="A134" s="167"/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</row>
    <row r="135" spans="1:11" x14ac:dyDescent="0.25">
      <c r="A135" s="167"/>
      <c r="B135" s="167"/>
      <c r="C135" s="167"/>
      <c r="D135" s="167"/>
      <c r="E135" s="167"/>
      <c r="F135" s="167"/>
      <c r="G135" s="167"/>
      <c r="H135" s="167"/>
      <c r="I135" s="167"/>
      <c r="J135" s="167"/>
      <c r="K135" s="167"/>
    </row>
    <row r="136" spans="1:11" x14ac:dyDescent="0.25">
      <c r="A136" s="167"/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</row>
    <row r="137" spans="1:11" x14ac:dyDescent="0.25">
      <c r="A137" s="167"/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</row>
    <row r="138" spans="1:11" x14ac:dyDescent="0.25">
      <c r="A138" s="167"/>
      <c r="B138" s="167"/>
      <c r="C138" s="167"/>
      <c r="D138" s="167"/>
      <c r="E138" s="167"/>
      <c r="F138" s="167"/>
      <c r="G138" s="167"/>
      <c r="H138" s="167"/>
      <c r="I138" s="167"/>
      <c r="J138" s="167"/>
      <c r="K138" s="167"/>
    </row>
    <row r="139" spans="1:11" x14ac:dyDescent="0.25">
      <c r="A139" s="167"/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</row>
    <row r="140" spans="1:11" x14ac:dyDescent="0.25">
      <c r="A140" s="167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</row>
    <row r="141" spans="1:11" x14ac:dyDescent="0.25">
      <c r="A141" s="167"/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</row>
    <row r="142" spans="1:11" x14ac:dyDescent="0.25">
      <c r="A142" s="167"/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</row>
    <row r="143" spans="1:11" x14ac:dyDescent="0.25">
      <c r="A143" s="167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</row>
    <row r="144" spans="1:11" x14ac:dyDescent="0.25">
      <c r="A144" s="167"/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</row>
    <row r="145" spans="1:11" x14ac:dyDescent="0.25">
      <c r="A145" s="167"/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</row>
    <row r="146" spans="1:11" x14ac:dyDescent="0.25">
      <c r="A146" s="167"/>
      <c r="B146" s="167"/>
      <c r="C146" s="167"/>
      <c r="D146" s="167"/>
      <c r="E146" s="167"/>
      <c r="F146" s="167"/>
      <c r="G146" s="167"/>
      <c r="H146" s="167"/>
      <c r="I146" s="167"/>
      <c r="J146" s="167"/>
      <c r="K146" s="167"/>
    </row>
    <row r="147" spans="1:11" x14ac:dyDescent="0.25">
      <c r="A147" s="167"/>
      <c r="B147" s="167"/>
      <c r="C147" s="167"/>
      <c r="D147" s="167"/>
      <c r="E147" s="167"/>
      <c r="F147" s="167"/>
      <c r="G147" s="167"/>
      <c r="H147" s="167"/>
      <c r="I147" s="167"/>
      <c r="J147" s="167"/>
      <c r="K147" s="167"/>
    </row>
    <row r="148" spans="1:11" x14ac:dyDescent="0.25">
      <c r="A148" s="167"/>
      <c r="B148" s="167"/>
      <c r="C148" s="167"/>
      <c r="D148" s="167"/>
      <c r="E148" s="167"/>
      <c r="F148" s="167"/>
      <c r="G148" s="167"/>
      <c r="H148" s="167"/>
      <c r="I148" s="167"/>
      <c r="J148" s="167"/>
      <c r="K148" s="167"/>
    </row>
    <row r="149" spans="1:11" x14ac:dyDescent="0.25">
      <c r="A149" s="167"/>
      <c r="B149" s="167"/>
      <c r="C149" s="167"/>
      <c r="D149" s="167"/>
      <c r="E149" s="167"/>
      <c r="F149" s="167"/>
      <c r="G149" s="167"/>
      <c r="H149" s="167"/>
      <c r="I149" s="167"/>
      <c r="J149" s="167"/>
      <c r="K149" s="167"/>
    </row>
    <row r="150" spans="1:11" x14ac:dyDescent="0.25">
      <c r="A150" s="167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</row>
    <row r="151" spans="1:11" x14ac:dyDescent="0.25">
      <c r="A151" s="167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</row>
    <row r="152" spans="1:11" x14ac:dyDescent="0.25">
      <c r="A152" s="167"/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</row>
    <row r="153" spans="1:11" x14ac:dyDescent="0.25">
      <c r="A153" s="167"/>
      <c r="B153" s="167"/>
      <c r="C153" s="167"/>
      <c r="D153" s="167"/>
      <c r="E153" s="167"/>
      <c r="F153" s="167"/>
      <c r="G153" s="167"/>
      <c r="H153" s="167"/>
      <c r="I153" s="167"/>
      <c r="J153" s="167"/>
      <c r="K153" s="167"/>
    </row>
    <row r="154" spans="1:11" x14ac:dyDescent="0.25">
      <c r="A154" s="167"/>
      <c r="B154" s="167"/>
      <c r="C154" s="167"/>
      <c r="D154" s="167"/>
      <c r="E154" s="167"/>
      <c r="F154" s="167"/>
      <c r="G154" s="167"/>
      <c r="H154" s="167"/>
      <c r="I154" s="167"/>
      <c r="J154" s="167"/>
      <c r="K154" s="167"/>
    </row>
    <row r="155" spans="1:11" x14ac:dyDescent="0.25">
      <c r="A155" s="167"/>
      <c r="B155" s="167"/>
      <c r="C155" s="167"/>
      <c r="D155" s="167"/>
      <c r="E155" s="167"/>
      <c r="F155" s="167"/>
      <c r="G155" s="167"/>
      <c r="H155" s="167"/>
      <c r="I155" s="167"/>
      <c r="J155" s="167"/>
      <c r="K155" s="167"/>
    </row>
    <row r="156" spans="1:11" x14ac:dyDescent="0.25">
      <c r="A156" s="167"/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</row>
    <row r="157" spans="1:11" x14ac:dyDescent="0.25">
      <c r="A157" s="167"/>
      <c r="B157" s="167"/>
      <c r="C157" s="167"/>
      <c r="D157" s="167"/>
      <c r="E157" s="167"/>
      <c r="F157" s="167"/>
      <c r="G157" s="167"/>
      <c r="H157" s="167"/>
      <c r="I157" s="167"/>
      <c r="J157" s="167"/>
      <c r="K157" s="167"/>
    </row>
    <row r="158" spans="1:11" x14ac:dyDescent="0.25">
      <c r="A158" s="167"/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</row>
    <row r="159" spans="1:11" x14ac:dyDescent="0.25">
      <c r="A159" s="167"/>
      <c r="B159" s="167"/>
      <c r="C159" s="167"/>
      <c r="D159" s="167"/>
      <c r="E159" s="167"/>
      <c r="F159" s="167"/>
      <c r="G159" s="167"/>
      <c r="H159" s="167"/>
      <c r="I159" s="167"/>
      <c r="J159" s="167"/>
      <c r="K159" s="167"/>
    </row>
    <row r="160" spans="1:11" x14ac:dyDescent="0.25">
      <c r="A160" s="167"/>
      <c r="B160" s="167"/>
      <c r="C160" s="167"/>
      <c r="D160" s="167"/>
      <c r="E160" s="167"/>
      <c r="F160" s="167"/>
      <c r="G160" s="167"/>
      <c r="H160" s="167"/>
      <c r="I160" s="167"/>
      <c r="J160" s="167"/>
      <c r="K160" s="167"/>
    </row>
    <row r="161" spans="1:11" x14ac:dyDescent="0.25">
      <c r="A161" s="167"/>
      <c r="B161" s="167"/>
      <c r="C161" s="167"/>
      <c r="D161" s="167"/>
      <c r="E161" s="167"/>
      <c r="F161" s="167"/>
      <c r="G161" s="167"/>
      <c r="H161" s="167"/>
      <c r="I161" s="167"/>
      <c r="J161" s="167"/>
      <c r="K161" s="167"/>
    </row>
    <row r="162" spans="1:11" x14ac:dyDescent="0.25">
      <c r="A162" s="167"/>
      <c r="B162" s="167"/>
      <c r="C162" s="167"/>
      <c r="D162" s="167"/>
      <c r="E162" s="167"/>
      <c r="F162" s="167"/>
      <c r="G162" s="167"/>
      <c r="H162" s="167"/>
      <c r="I162" s="167"/>
      <c r="J162" s="167"/>
      <c r="K162" s="167"/>
    </row>
    <row r="163" spans="1:11" x14ac:dyDescent="0.25">
      <c r="A163" s="167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</row>
    <row r="164" spans="1:11" x14ac:dyDescent="0.25">
      <c r="A164" s="167"/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</row>
    <row r="165" spans="1:11" x14ac:dyDescent="0.25">
      <c r="A165" s="167"/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</row>
    <row r="166" spans="1:11" x14ac:dyDescent="0.25">
      <c r="A166" s="167"/>
      <c r="B166" s="167"/>
      <c r="C166" s="167"/>
      <c r="D166" s="167"/>
      <c r="E166" s="167"/>
      <c r="F166" s="167"/>
      <c r="G166" s="167"/>
      <c r="H166" s="167"/>
      <c r="I166" s="167"/>
      <c r="J166" s="167"/>
      <c r="K166" s="167"/>
    </row>
    <row r="167" spans="1:11" x14ac:dyDescent="0.25">
      <c r="A167" s="167"/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</row>
    <row r="168" spans="1:11" x14ac:dyDescent="0.25">
      <c r="A168" s="167"/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</row>
    <row r="169" spans="1:11" x14ac:dyDescent="0.25">
      <c r="A169" s="167"/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</row>
    <row r="170" spans="1:11" x14ac:dyDescent="0.25">
      <c r="A170" s="167"/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</row>
    <row r="171" spans="1:11" x14ac:dyDescent="0.25">
      <c r="A171" s="167"/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</row>
    <row r="172" spans="1:11" x14ac:dyDescent="0.25">
      <c r="A172" s="167"/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</row>
    <row r="173" spans="1:11" x14ac:dyDescent="0.25">
      <c r="A173" s="167"/>
      <c r="B173" s="167"/>
      <c r="C173" s="167"/>
      <c r="D173" s="167"/>
      <c r="E173" s="167"/>
      <c r="F173" s="167"/>
      <c r="G173" s="167"/>
      <c r="H173" s="167"/>
      <c r="I173" s="167"/>
      <c r="J173" s="167"/>
      <c r="K173" s="167"/>
    </row>
    <row r="174" spans="1:11" x14ac:dyDescent="0.25">
      <c r="A174" s="167"/>
      <c r="B174" s="167"/>
      <c r="C174" s="167"/>
      <c r="D174" s="167"/>
      <c r="E174" s="167"/>
      <c r="F174" s="167"/>
      <c r="G174" s="167"/>
      <c r="H174" s="167"/>
      <c r="I174" s="167"/>
      <c r="J174" s="167"/>
      <c r="K174" s="167"/>
    </row>
    <row r="175" spans="1:11" x14ac:dyDescent="0.25">
      <c r="A175" s="167"/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</row>
    <row r="176" spans="1:11" x14ac:dyDescent="0.25">
      <c r="A176" s="167"/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</row>
    <row r="177" spans="1:11" x14ac:dyDescent="0.25">
      <c r="A177" s="167"/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</row>
    <row r="178" spans="1:11" x14ac:dyDescent="0.25">
      <c r="A178" s="167"/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</row>
    <row r="179" spans="1:11" x14ac:dyDescent="0.25">
      <c r="A179" s="167"/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</row>
    <row r="180" spans="1:11" x14ac:dyDescent="0.25">
      <c r="A180" s="167"/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</row>
    <row r="181" spans="1:11" x14ac:dyDescent="0.25">
      <c r="A181" s="167"/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</row>
    <row r="182" spans="1:11" x14ac:dyDescent="0.25">
      <c r="A182" s="167"/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</row>
    <row r="183" spans="1:11" x14ac:dyDescent="0.25">
      <c r="A183" s="167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</row>
    <row r="184" spans="1:11" x14ac:dyDescent="0.25">
      <c r="A184" s="167"/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</row>
    <row r="185" spans="1:11" x14ac:dyDescent="0.25">
      <c r="A185" s="167"/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</row>
    <row r="186" spans="1:11" x14ac:dyDescent="0.25">
      <c r="A186" s="167"/>
      <c r="B186" s="167"/>
      <c r="C186" s="167"/>
      <c r="D186" s="167"/>
      <c r="E186" s="167"/>
      <c r="F186" s="167"/>
      <c r="G186" s="167"/>
      <c r="H186" s="167"/>
      <c r="I186" s="167"/>
      <c r="J186" s="167"/>
      <c r="K186" s="167"/>
    </row>
    <row r="187" spans="1:11" x14ac:dyDescent="0.25">
      <c r="A187" s="167"/>
      <c r="B187" s="167"/>
      <c r="C187" s="167"/>
      <c r="D187" s="167"/>
      <c r="E187" s="167"/>
      <c r="F187" s="167"/>
      <c r="G187" s="167"/>
      <c r="H187" s="167"/>
      <c r="I187" s="167"/>
      <c r="J187" s="167"/>
      <c r="K187" s="167"/>
    </row>
    <row r="188" spans="1:11" x14ac:dyDescent="0.25">
      <c r="A188" s="167"/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</row>
    <row r="189" spans="1:11" x14ac:dyDescent="0.25">
      <c r="A189" s="167"/>
      <c r="B189" s="167"/>
      <c r="C189" s="167"/>
      <c r="D189" s="167"/>
      <c r="E189" s="167"/>
      <c r="F189" s="167"/>
      <c r="G189" s="167"/>
      <c r="H189" s="167"/>
      <c r="I189" s="167"/>
      <c r="J189" s="167"/>
      <c r="K189" s="167"/>
    </row>
    <row r="190" spans="1:11" x14ac:dyDescent="0.25">
      <c r="A190" s="167"/>
      <c r="B190" s="167"/>
      <c r="C190" s="167"/>
      <c r="D190" s="167"/>
      <c r="E190" s="167"/>
      <c r="F190" s="167"/>
      <c r="G190" s="167"/>
      <c r="H190" s="167"/>
      <c r="I190" s="167"/>
      <c r="J190" s="167"/>
      <c r="K190" s="167"/>
    </row>
    <row r="191" spans="1:11" x14ac:dyDescent="0.25">
      <c r="A191" s="167"/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</row>
    <row r="192" spans="1:11" x14ac:dyDescent="0.25">
      <c r="A192" s="167"/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</row>
    <row r="193" spans="1:11" x14ac:dyDescent="0.25">
      <c r="A193" s="167"/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</row>
    <row r="194" spans="1:11" x14ac:dyDescent="0.25">
      <c r="A194" s="167"/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</row>
    <row r="195" spans="1:11" x14ac:dyDescent="0.25">
      <c r="A195" s="167"/>
      <c r="B195" s="167"/>
      <c r="C195" s="167"/>
      <c r="D195" s="167"/>
      <c r="E195" s="167"/>
      <c r="F195" s="167"/>
      <c r="G195" s="167"/>
      <c r="H195" s="167"/>
      <c r="I195" s="167"/>
      <c r="J195" s="167"/>
      <c r="K195" s="167"/>
    </row>
    <row r="196" spans="1:11" x14ac:dyDescent="0.25">
      <c r="A196" s="167"/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</row>
    <row r="197" spans="1:11" x14ac:dyDescent="0.25">
      <c r="A197" s="167"/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</row>
    <row r="198" spans="1:11" x14ac:dyDescent="0.25">
      <c r="A198" s="167"/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</row>
    <row r="199" spans="1:11" x14ac:dyDescent="0.25">
      <c r="A199" s="167"/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</row>
    <row r="200" spans="1:11" x14ac:dyDescent="0.25">
      <c r="A200" s="167"/>
      <c r="B200" s="167"/>
      <c r="C200" s="167"/>
      <c r="D200" s="167"/>
      <c r="E200" s="167"/>
      <c r="F200" s="167"/>
      <c r="G200" s="167"/>
      <c r="H200" s="167"/>
      <c r="I200" s="167"/>
      <c r="J200" s="167"/>
      <c r="K200" s="167"/>
    </row>
    <row r="201" spans="1:11" x14ac:dyDescent="0.25">
      <c r="A201" s="167"/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</row>
    <row r="202" spans="1:11" x14ac:dyDescent="0.25">
      <c r="A202" s="167"/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</row>
    <row r="203" spans="1:11" x14ac:dyDescent="0.25">
      <c r="A203" s="167"/>
      <c r="B203" s="167"/>
      <c r="C203" s="167"/>
      <c r="D203" s="167"/>
      <c r="E203" s="167"/>
      <c r="F203" s="167"/>
      <c r="G203" s="167"/>
      <c r="H203" s="167"/>
      <c r="I203" s="167"/>
      <c r="J203" s="167"/>
      <c r="K203" s="167"/>
    </row>
    <row r="204" spans="1:11" x14ac:dyDescent="0.25">
      <c r="A204" s="167"/>
      <c r="B204" s="167"/>
      <c r="C204" s="167"/>
      <c r="D204" s="167"/>
      <c r="E204" s="167"/>
      <c r="F204" s="167"/>
      <c r="G204" s="167"/>
      <c r="H204" s="167"/>
      <c r="I204" s="167"/>
      <c r="J204" s="167"/>
      <c r="K204" s="167"/>
    </row>
    <row r="205" spans="1:11" x14ac:dyDescent="0.25">
      <c r="A205" s="167"/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</row>
    <row r="206" spans="1:11" x14ac:dyDescent="0.25">
      <c r="A206" s="167"/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</row>
    <row r="207" spans="1:11" x14ac:dyDescent="0.25">
      <c r="A207" s="167"/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</row>
    <row r="208" spans="1:11" x14ac:dyDescent="0.25">
      <c r="A208" s="167"/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</row>
    <row r="209" spans="1:11" x14ac:dyDescent="0.25">
      <c r="A209" s="167"/>
      <c r="B209" s="167"/>
      <c r="C209" s="167"/>
      <c r="D209" s="167"/>
      <c r="E209" s="167"/>
      <c r="F209" s="167"/>
      <c r="G209" s="167"/>
      <c r="H209" s="167"/>
      <c r="I209" s="167"/>
      <c r="J209" s="167"/>
      <c r="K209" s="167"/>
    </row>
    <row r="210" spans="1:11" x14ac:dyDescent="0.25">
      <c r="A210" s="167"/>
      <c r="B210" s="167"/>
      <c r="C210" s="167"/>
      <c r="D210" s="167"/>
      <c r="E210" s="167"/>
      <c r="F210" s="167"/>
      <c r="G210" s="167"/>
      <c r="H210" s="167"/>
      <c r="I210" s="167"/>
      <c r="J210" s="167"/>
      <c r="K210" s="167"/>
    </row>
    <row r="211" spans="1:11" x14ac:dyDescent="0.25">
      <c r="A211" s="167"/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</row>
    <row r="212" spans="1:11" x14ac:dyDescent="0.25">
      <c r="A212" s="167"/>
      <c r="B212" s="167"/>
      <c r="C212" s="167"/>
      <c r="D212" s="167"/>
      <c r="E212" s="167"/>
      <c r="F212" s="167"/>
      <c r="G212" s="167"/>
      <c r="H212" s="167"/>
      <c r="I212" s="167"/>
      <c r="J212" s="167"/>
      <c r="K212" s="167"/>
    </row>
    <row r="213" spans="1:11" x14ac:dyDescent="0.25">
      <c r="A213" s="167"/>
      <c r="B213" s="167"/>
      <c r="C213" s="167"/>
      <c r="D213" s="167"/>
      <c r="E213" s="167"/>
      <c r="F213" s="167"/>
      <c r="G213" s="167"/>
      <c r="H213" s="167"/>
      <c r="I213" s="167"/>
      <c r="J213" s="167"/>
      <c r="K213" s="167"/>
    </row>
    <row r="214" spans="1:11" x14ac:dyDescent="0.25">
      <c r="A214" s="167"/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</row>
    <row r="215" spans="1:11" x14ac:dyDescent="0.25">
      <c r="A215" s="167"/>
      <c r="B215" s="167"/>
      <c r="C215" s="167"/>
      <c r="D215" s="167"/>
      <c r="E215" s="167"/>
      <c r="F215" s="167"/>
      <c r="G215" s="167"/>
      <c r="H215" s="167"/>
      <c r="I215" s="167"/>
      <c r="J215" s="167"/>
      <c r="K215" s="167"/>
    </row>
    <row r="216" spans="1:11" x14ac:dyDescent="0.25">
      <c r="A216" s="167"/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</row>
    <row r="217" spans="1:11" x14ac:dyDescent="0.25">
      <c r="A217" s="167"/>
      <c r="B217" s="167"/>
      <c r="C217" s="167"/>
      <c r="D217" s="167"/>
      <c r="E217" s="167"/>
      <c r="F217" s="167"/>
      <c r="G217" s="167"/>
      <c r="H217" s="167"/>
      <c r="I217" s="167"/>
      <c r="J217" s="167"/>
      <c r="K217" s="167"/>
    </row>
    <row r="218" spans="1:11" x14ac:dyDescent="0.25">
      <c r="A218" s="167"/>
      <c r="B218" s="167"/>
      <c r="C218" s="167"/>
      <c r="D218" s="167"/>
      <c r="E218" s="167"/>
      <c r="F218" s="167"/>
      <c r="G218" s="167"/>
      <c r="H218" s="167"/>
      <c r="I218" s="167"/>
      <c r="J218" s="167"/>
      <c r="K218" s="167"/>
    </row>
    <row r="219" spans="1:11" x14ac:dyDescent="0.25">
      <c r="A219" s="167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</row>
    <row r="220" spans="1:11" x14ac:dyDescent="0.25">
      <c r="A220" s="167"/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</row>
    <row r="221" spans="1:11" x14ac:dyDescent="0.25">
      <c r="A221" s="167"/>
      <c r="B221" s="167"/>
      <c r="C221" s="167"/>
      <c r="D221" s="167"/>
      <c r="E221" s="167"/>
      <c r="F221" s="167"/>
      <c r="G221" s="167"/>
      <c r="H221" s="167"/>
      <c r="I221" s="167"/>
      <c r="J221" s="167"/>
      <c r="K221" s="167"/>
    </row>
    <row r="1048499" spans="3:3" x14ac:dyDescent="0.25">
      <c r="C1048499" t="e">
        <f>SUM(#REF!)</f>
        <v>#REF!</v>
      </c>
    </row>
  </sheetData>
  <mergeCells count="53">
    <mergeCell ref="F43:F48"/>
    <mergeCell ref="I43:I48"/>
    <mergeCell ref="F29:I29"/>
    <mergeCell ref="F31:F36"/>
    <mergeCell ref="I31:I36"/>
    <mergeCell ref="F37:F42"/>
    <mergeCell ref="I37:I42"/>
    <mergeCell ref="F49:F54"/>
    <mergeCell ref="I49:I54"/>
    <mergeCell ref="F55:F60"/>
    <mergeCell ref="I55:I60"/>
    <mergeCell ref="F61:F63"/>
    <mergeCell ref="I61:I63"/>
    <mergeCell ref="F64:F67"/>
    <mergeCell ref="I64:I67"/>
    <mergeCell ref="A94:A96"/>
    <mergeCell ref="D94:D97"/>
    <mergeCell ref="A88:A93"/>
    <mergeCell ref="D88:D93"/>
    <mergeCell ref="A82:A87"/>
    <mergeCell ref="D82:D87"/>
    <mergeCell ref="D74:D77"/>
    <mergeCell ref="A74:A77"/>
    <mergeCell ref="A80:D80"/>
    <mergeCell ref="D67:D70"/>
    <mergeCell ref="A67:A70"/>
    <mergeCell ref="A29:D29"/>
    <mergeCell ref="A71:A73"/>
    <mergeCell ref="D71:D73"/>
    <mergeCell ref="A49:A54"/>
    <mergeCell ref="D49:D54"/>
    <mergeCell ref="A55:A60"/>
    <mergeCell ref="D55:D60"/>
    <mergeCell ref="A61:A66"/>
    <mergeCell ref="D61:D66"/>
    <mergeCell ref="D31:D36"/>
    <mergeCell ref="A31:A36"/>
    <mergeCell ref="A37:A42"/>
    <mergeCell ref="D37:D42"/>
    <mergeCell ref="D43:D48"/>
    <mergeCell ref="A43:A48"/>
    <mergeCell ref="A2:A6"/>
    <mergeCell ref="A7:A11"/>
    <mergeCell ref="A12:A16"/>
    <mergeCell ref="A17:A21"/>
    <mergeCell ref="A22:A26"/>
    <mergeCell ref="E11:E13"/>
    <mergeCell ref="E14:E16"/>
    <mergeCell ref="E17:E19"/>
    <mergeCell ref="E2:E3"/>
    <mergeCell ref="E4:E5"/>
    <mergeCell ref="E6:E7"/>
    <mergeCell ref="E8:E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96F85-A866-42E5-9DF3-A8CBA65DBB9E}">
  <sheetPr>
    <tabColor rgb="FFFFC000"/>
    <pageSetUpPr fitToPage="1"/>
  </sheetPr>
  <dimension ref="A1:AI61"/>
  <sheetViews>
    <sheetView showGridLines="0" view="pageBreakPreview" zoomScale="60" zoomScaleNormal="70" workbookViewId="0">
      <selection activeCell="K21" sqref="K21"/>
    </sheetView>
  </sheetViews>
  <sheetFormatPr defaultColWidth="10.140625" defaultRowHeight="18.75" outlineLevelRow="1" x14ac:dyDescent="0.25"/>
  <cols>
    <col min="1" max="1" width="8" style="2" customWidth="1"/>
    <col min="2" max="2" width="84.7109375" style="2" customWidth="1"/>
    <col min="3" max="7" width="16.7109375" style="3" customWidth="1"/>
    <col min="8" max="8" width="61" style="2" customWidth="1"/>
    <col min="9" max="9" width="45.7109375" style="2" bestFit="1" customWidth="1"/>
    <col min="10" max="10" width="11.7109375" style="2" bestFit="1" customWidth="1"/>
    <col min="11" max="12" width="29.85546875" style="2" bestFit="1" customWidth="1"/>
    <col min="13" max="13" width="10.42578125" style="2" customWidth="1"/>
    <col min="14" max="18" width="10.140625" style="2"/>
    <col min="19" max="19" width="10.140625" style="2" customWidth="1"/>
    <col min="20" max="24" width="10.140625" style="2"/>
    <col min="25" max="25" width="10.140625" style="2" customWidth="1"/>
    <col min="26" max="16384" width="10.140625" style="2"/>
  </cols>
  <sheetData>
    <row r="1" spans="1:26" x14ac:dyDescent="0.25">
      <c r="A1" s="200"/>
      <c r="B1" s="200"/>
      <c r="C1" s="200"/>
      <c r="D1" s="97"/>
      <c r="E1" s="97"/>
      <c r="F1" s="97"/>
      <c r="G1" s="97"/>
      <c r="I1" s="102" t="s">
        <v>63</v>
      </c>
      <c r="J1" s="101">
        <v>7287</v>
      </c>
    </row>
    <row r="2" spans="1:26" x14ac:dyDescent="0.25">
      <c r="A2" s="200"/>
      <c r="B2" s="200"/>
      <c r="C2" s="200"/>
      <c r="D2" s="200"/>
      <c r="E2" s="200"/>
      <c r="F2" s="200"/>
      <c r="G2" s="200"/>
      <c r="I2" s="102"/>
      <c r="J2" s="101"/>
      <c r="K2" s="97"/>
    </row>
    <row r="3" spans="1:26" ht="19.5" thickBot="1" x14ac:dyDescent="0.3">
      <c r="A3" s="201"/>
      <c r="B3" s="201"/>
      <c r="C3" s="201"/>
      <c r="D3" s="201"/>
      <c r="E3" s="201"/>
      <c r="F3" s="201"/>
      <c r="G3" s="201"/>
      <c r="I3" s="7"/>
      <c r="J3" s="6"/>
      <c r="K3" s="98"/>
    </row>
    <row r="4" spans="1:26" x14ac:dyDescent="0.25">
      <c r="A4" s="207" t="s">
        <v>0</v>
      </c>
      <c r="B4" s="209" t="s">
        <v>1</v>
      </c>
      <c r="C4" s="96"/>
      <c r="D4" s="96"/>
      <c r="E4" s="96"/>
      <c r="F4" s="96"/>
      <c r="G4" s="14"/>
      <c r="I4" s="4" t="s">
        <v>64</v>
      </c>
      <c r="J4" s="4">
        <v>60</v>
      </c>
    </row>
    <row r="5" spans="1:26" ht="18" customHeight="1" x14ac:dyDescent="0.25">
      <c r="A5" s="208"/>
      <c r="B5" s="210"/>
      <c r="C5" s="203" t="s">
        <v>19</v>
      </c>
      <c r="D5" s="203" t="s">
        <v>20</v>
      </c>
      <c r="E5" s="203" t="s">
        <v>21</v>
      </c>
      <c r="F5" s="203" t="s">
        <v>22</v>
      </c>
      <c r="G5" s="202" t="s">
        <v>23</v>
      </c>
      <c r="I5" s="4" t="s">
        <v>65</v>
      </c>
      <c r="J5" s="4">
        <v>109</v>
      </c>
    </row>
    <row r="6" spans="1:26" x14ac:dyDescent="0.25">
      <c r="A6" s="208"/>
      <c r="B6" s="210"/>
      <c r="C6" s="203"/>
      <c r="D6" s="203"/>
      <c r="E6" s="203"/>
      <c r="F6" s="203"/>
      <c r="G6" s="202"/>
      <c r="I6" s="4"/>
      <c r="J6" s="4"/>
    </row>
    <row r="7" spans="1:26" ht="19.5" thickBot="1" x14ac:dyDescent="0.3">
      <c r="A7" s="100">
        <v>1</v>
      </c>
      <c r="B7" s="16">
        <v>2</v>
      </c>
      <c r="C7" s="17">
        <v>3</v>
      </c>
      <c r="D7" s="17">
        <v>4</v>
      </c>
      <c r="E7" s="17">
        <v>5</v>
      </c>
      <c r="F7" s="17">
        <v>5</v>
      </c>
      <c r="G7" s="18">
        <v>7</v>
      </c>
      <c r="I7" s="2" t="s">
        <v>87</v>
      </c>
    </row>
    <row r="8" spans="1:26" ht="26.1" customHeight="1" thickBot="1" x14ac:dyDescent="0.3">
      <c r="A8" s="206" t="s">
        <v>2</v>
      </c>
      <c r="B8" s="206"/>
      <c r="C8" s="19" t="s">
        <v>8</v>
      </c>
      <c r="D8" s="19" t="s">
        <v>8</v>
      </c>
      <c r="E8" s="19" t="s">
        <v>8</v>
      </c>
      <c r="F8" s="19" t="s">
        <v>8</v>
      </c>
      <c r="G8" s="19" t="s">
        <v>8</v>
      </c>
      <c r="I8" s="225" t="s">
        <v>88</v>
      </c>
      <c r="J8" s="225"/>
      <c r="K8" s="225"/>
      <c r="L8" s="225"/>
      <c r="M8" s="225"/>
      <c r="O8" s="225" t="s">
        <v>89</v>
      </c>
      <c r="P8" s="225"/>
      <c r="Q8" s="225"/>
      <c r="R8" s="225"/>
      <c r="S8" s="225"/>
      <c r="U8" s="225" t="s">
        <v>90</v>
      </c>
      <c r="V8" s="225"/>
      <c r="W8" s="225"/>
      <c r="X8" s="225"/>
      <c r="Y8" s="225"/>
    </row>
    <row r="9" spans="1:26" ht="20.100000000000001" customHeight="1" x14ac:dyDescent="0.25">
      <c r="A9" s="94">
        <v>1</v>
      </c>
      <c r="B9" s="21" t="s">
        <v>15</v>
      </c>
      <c r="C9" s="22">
        <f>SUM(C10:C15)</f>
        <v>4806.1931880000002</v>
      </c>
      <c r="D9" s="22">
        <f>SUM(D10:D15)</f>
        <v>4642.4177479999998</v>
      </c>
      <c r="E9" s="22">
        <f>SUM(E10:E15)</f>
        <v>4787.1318179999998</v>
      </c>
      <c r="F9" s="22">
        <f>SUM(F10:F15)</f>
        <v>5731.6617179999994</v>
      </c>
      <c r="G9" s="8">
        <f>SUM(G10:G15)</f>
        <v>19967.404471999998</v>
      </c>
      <c r="I9" s="123" t="s">
        <v>91</v>
      </c>
      <c r="J9" s="123" t="s">
        <v>92</v>
      </c>
      <c r="K9" s="140" t="s">
        <v>93</v>
      </c>
      <c r="L9" s="140" t="s">
        <v>94</v>
      </c>
      <c r="M9" s="140" t="s">
        <v>62</v>
      </c>
      <c r="N9" s="123"/>
      <c r="O9" s="123" t="s">
        <v>67</v>
      </c>
      <c r="P9" s="123" t="s">
        <v>92</v>
      </c>
      <c r="Q9" s="123" t="s">
        <v>61</v>
      </c>
      <c r="R9" s="123" t="s">
        <v>94</v>
      </c>
      <c r="S9" s="140" t="s">
        <v>62</v>
      </c>
      <c r="T9" s="123"/>
      <c r="U9" s="123" t="s">
        <v>67</v>
      </c>
      <c r="V9" s="123" t="s">
        <v>92</v>
      </c>
      <c r="W9" s="123" t="s">
        <v>61</v>
      </c>
      <c r="X9" s="123" t="s">
        <v>94</v>
      </c>
      <c r="Y9" s="140" t="s">
        <v>62</v>
      </c>
    </row>
    <row r="10" spans="1:26" ht="20.100000000000001" customHeight="1" x14ac:dyDescent="0.3">
      <c r="A10" s="95"/>
      <c r="B10" s="10" t="s">
        <v>3</v>
      </c>
      <c r="C10" s="12">
        <f>SUM(I10*3)</f>
        <v>2890.0242000000003</v>
      </c>
      <c r="D10" s="12">
        <f>SUM(I10*2+O10*1)</f>
        <v>2828.8134</v>
      </c>
      <c r="E10" s="12">
        <f>SUM(O10*2)+U10*1</f>
        <v>2706.3917999999999</v>
      </c>
      <c r="F10" s="12">
        <f>SUM(U10*3)</f>
        <v>2706.3917999999999</v>
      </c>
      <c r="G10" s="77">
        <f>SUM(C10:F10)</f>
        <v>11131.6212</v>
      </c>
      <c r="H10" s="141" t="s">
        <v>95</v>
      </c>
      <c r="I10" s="142">
        <f>SUM(M10*K10)</f>
        <v>963.34140000000014</v>
      </c>
      <c r="J10" s="142"/>
      <c r="K10" s="142">
        <v>0.13220000000000001</v>
      </c>
      <c r="L10" s="142"/>
      <c r="M10" s="143">
        <f>SUM(J1)</f>
        <v>7287</v>
      </c>
      <c r="N10" s="144"/>
      <c r="O10" s="142">
        <f>SUM(S10*Q10)</f>
        <v>902.13059999999996</v>
      </c>
      <c r="P10" s="142" t="s">
        <v>96</v>
      </c>
      <c r="Q10" s="142">
        <v>0.12379999999999999</v>
      </c>
      <c r="R10" s="142"/>
      <c r="S10" s="143">
        <f>SUM(J1)</f>
        <v>7287</v>
      </c>
      <c r="T10" s="144"/>
      <c r="U10" s="142">
        <f>SUM(Y10*W10)</f>
        <v>902.13059999999996</v>
      </c>
      <c r="V10" s="142" t="s">
        <v>96</v>
      </c>
      <c r="W10" s="142">
        <v>0.12379999999999999</v>
      </c>
      <c r="X10" s="142"/>
      <c r="Y10" s="143">
        <f>SUM(J1)</f>
        <v>7287</v>
      </c>
      <c r="Z10" s="226"/>
    </row>
    <row r="11" spans="1:26" ht="28.5" customHeight="1" x14ac:dyDescent="0.3">
      <c r="A11" s="95"/>
      <c r="B11" s="10" t="s">
        <v>3</v>
      </c>
      <c r="C11" s="12"/>
      <c r="D11" s="12"/>
      <c r="E11" s="12"/>
      <c r="F11" s="12"/>
      <c r="G11" s="77">
        <f t="shared" ref="G11:G14" si="0">SUM(C11:F11)</f>
        <v>0</v>
      </c>
      <c r="H11" s="141" t="s">
        <v>97</v>
      </c>
      <c r="I11" s="142"/>
      <c r="J11" s="142"/>
      <c r="K11" s="142"/>
      <c r="L11" s="142">
        <v>0.1419</v>
      </c>
      <c r="M11" s="142"/>
      <c r="N11" s="144"/>
      <c r="O11" s="142"/>
      <c r="P11" s="142"/>
      <c r="Q11" s="142"/>
      <c r="R11" s="142">
        <v>0.13350000000000001</v>
      </c>
      <c r="S11" s="142"/>
      <c r="T11" s="144"/>
      <c r="U11" s="142"/>
      <c r="V11" s="142"/>
      <c r="W11" s="142"/>
      <c r="X11" s="142">
        <v>0.13350000000000001</v>
      </c>
      <c r="Y11" s="142"/>
      <c r="Z11" s="226"/>
    </row>
    <row r="12" spans="1:26" ht="48" customHeight="1" x14ac:dyDescent="0.3">
      <c r="A12" s="95"/>
      <c r="B12" s="10" t="s">
        <v>60</v>
      </c>
      <c r="C12" s="12"/>
      <c r="D12" s="12"/>
      <c r="E12" s="12"/>
      <c r="F12" s="12"/>
      <c r="G12" s="77">
        <f t="shared" si="0"/>
        <v>0</v>
      </c>
      <c r="H12" s="141"/>
      <c r="I12" s="142"/>
      <c r="J12" s="142"/>
      <c r="K12" s="142"/>
      <c r="L12" s="142"/>
      <c r="M12" s="142"/>
      <c r="N12" s="144"/>
      <c r="O12" s="142"/>
      <c r="P12" s="142"/>
      <c r="Q12" s="142"/>
      <c r="R12" s="142"/>
      <c r="S12" s="142"/>
      <c r="T12" s="144"/>
      <c r="U12" s="142"/>
      <c r="V12" s="142"/>
      <c r="W12" s="142"/>
      <c r="X12" s="142"/>
      <c r="Y12" s="142"/>
      <c r="Z12" s="226"/>
    </row>
    <row r="13" spans="1:26" ht="47.25" customHeight="1" x14ac:dyDescent="0.3">
      <c r="A13" s="95"/>
      <c r="B13" s="10" t="s">
        <v>10</v>
      </c>
      <c r="C13" s="12">
        <f>SUM(I13*3)</f>
        <v>362.96999999999997</v>
      </c>
      <c r="D13" s="12">
        <f>SUM(I13*2+O13)</f>
        <v>358.065</v>
      </c>
      <c r="E13" s="12">
        <f>SUM(O13*2+U13)</f>
        <v>528.7509</v>
      </c>
      <c r="F13" s="12">
        <f>SUM(U13*3)</f>
        <v>889.74270000000001</v>
      </c>
      <c r="G13" s="77">
        <f>SUM(C13:F13)</f>
        <v>2139.5285999999996</v>
      </c>
      <c r="H13" s="141" t="s">
        <v>98</v>
      </c>
      <c r="I13" s="142">
        <f>SUM(J5*1.5*K13)</f>
        <v>120.99</v>
      </c>
      <c r="J13" s="142" t="s">
        <v>96</v>
      </c>
      <c r="K13" s="142">
        <v>0.74</v>
      </c>
      <c r="L13" s="142"/>
      <c r="M13" s="142"/>
      <c r="N13" s="145"/>
      <c r="O13" s="142">
        <f>SUM(J5*1.5*Q13)</f>
        <v>116.08499999999999</v>
      </c>
      <c r="P13" s="142" t="s">
        <v>96</v>
      </c>
      <c r="Q13" s="142">
        <v>0.71</v>
      </c>
      <c r="R13" s="142"/>
      <c r="S13" s="142"/>
      <c r="T13" s="145"/>
      <c r="U13" s="142">
        <f>SUM(W13*Y13)</f>
        <v>296.58089999999999</v>
      </c>
      <c r="V13" s="142" t="s">
        <v>96</v>
      </c>
      <c r="W13" s="142">
        <v>4.07E-2</v>
      </c>
      <c r="X13" s="142"/>
      <c r="Y13" s="143">
        <f>SUM(J1)</f>
        <v>7287</v>
      </c>
      <c r="Z13" s="3"/>
    </row>
    <row r="14" spans="1:26" ht="20.100000000000001" customHeight="1" outlineLevel="1" x14ac:dyDescent="0.3">
      <c r="A14" s="24"/>
      <c r="B14" s="10" t="s">
        <v>11</v>
      </c>
      <c r="C14" s="12">
        <f>SUM(I14*3)</f>
        <v>773.35500000000002</v>
      </c>
      <c r="D14" s="12">
        <f>SUM(I14*2+O14)</f>
        <v>683.97500000000002</v>
      </c>
      <c r="E14" s="12">
        <f>SUM(O14*2+U14)</f>
        <v>796.98405000000002</v>
      </c>
      <c r="F14" s="12">
        <f>SUM(U14*3)</f>
        <v>1380.5221499999998</v>
      </c>
      <c r="G14" s="77">
        <f t="shared" si="0"/>
        <v>3634.8361999999997</v>
      </c>
      <c r="H14" s="141" t="s">
        <v>11</v>
      </c>
      <c r="I14" s="142">
        <f>SUM((K14+L14/2))*J5</f>
        <v>257.78500000000003</v>
      </c>
      <c r="J14" s="142" t="s">
        <v>96</v>
      </c>
      <c r="K14" s="142">
        <v>1.5</v>
      </c>
      <c r="L14" s="142">
        <v>1.73</v>
      </c>
      <c r="M14" s="142"/>
      <c r="N14" s="145"/>
      <c r="O14" s="142">
        <f>SUM((Q14+R14))/2*J5</f>
        <v>168.405</v>
      </c>
      <c r="P14" s="142" t="s">
        <v>96</v>
      </c>
      <c r="Q14" s="142">
        <v>1.43</v>
      </c>
      <c r="R14" s="142">
        <v>1.66</v>
      </c>
      <c r="S14" s="142"/>
      <c r="T14" s="145"/>
      <c r="U14" s="142">
        <f>SUM((W14+X14))/2*Y14</f>
        <v>460.17404999999997</v>
      </c>
      <c r="V14" s="142" t="s">
        <v>96</v>
      </c>
      <c r="W14" s="142">
        <v>5.8400000000000001E-2</v>
      </c>
      <c r="X14" s="142">
        <v>6.7900000000000002E-2</v>
      </c>
      <c r="Y14" s="142">
        <f>SUM(J1)</f>
        <v>7287</v>
      </c>
      <c r="Z14" s="3"/>
    </row>
    <row r="15" spans="1:26" ht="20.100000000000001" customHeight="1" outlineLevel="1" thickBot="1" x14ac:dyDescent="0.35">
      <c r="A15" s="24"/>
      <c r="B15" s="10" t="s">
        <v>12</v>
      </c>
      <c r="C15" s="9">
        <f>SUM(I15*3)</f>
        <v>779.84398799999997</v>
      </c>
      <c r="D15" s="9">
        <f>SUM(I15*2+O15)</f>
        <v>771.564348</v>
      </c>
      <c r="E15" s="9">
        <f>SUM(O15*2+U15)</f>
        <v>755.00506799999994</v>
      </c>
      <c r="F15" s="9">
        <f>SUM(U15*3)</f>
        <v>755.00506799999994</v>
      </c>
      <c r="G15" s="77">
        <f t="shared" ref="G15" si="1">SUM(C15:F15)</f>
        <v>3061.4184719999998</v>
      </c>
      <c r="H15" s="141" t="s">
        <v>99</v>
      </c>
      <c r="I15" s="142">
        <f>SUM(J15*((K15+L15))/2)*M15</f>
        <v>259.94799599999999</v>
      </c>
      <c r="J15" s="142">
        <v>0.24</v>
      </c>
      <c r="K15" s="142">
        <v>9.2583000000000002</v>
      </c>
      <c r="L15" s="142">
        <v>10.615399999999999</v>
      </c>
      <c r="M15" s="142">
        <f>SUM(J5)</f>
        <v>109</v>
      </c>
      <c r="N15" s="145"/>
      <c r="O15" s="142">
        <f>SUM(P15*((Q15+R15)/2)*S15)</f>
        <v>251.66835599999999</v>
      </c>
      <c r="P15" s="142">
        <v>0.24</v>
      </c>
      <c r="Q15" s="142">
        <v>8.9418000000000006</v>
      </c>
      <c r="R15" s="142">
        <v>10.2989</v>
      </c>
      <c r="S15" s="142">
        <f>SUM(J5)</f>
        <v>109</v>
      </c>
      <c r="T15" s="145"/>
      <c r="U15" s="142">
        <f>SUM(V15*((W15+X15)/2)*Y15)</f>
        <v>251.66835599999999</v>
      </c>
      <c r="V15" s="142">
        <v>0.24</v>
      </c>
      <c r="W15" s="142">
        <v>8.9418000000000006</v>
      </c>
      <c r="X15" s="142">
        <v>10.2989</v>
      </c>
      <c r="Y15" s="142">
        <f>SUM(J5)</f>
        <v>109</v>
      </c>
    </row>
    <row r="16" spans="1:26" ht="20.100000000000001" customHeight="1" x14ac:dyDescent="0.3">
      <c r="A16" s="94">
        <v>2</v>
      </c>
      <c r="B16" s="28" t="s">
        <v>16</v>
      </c>
      <c r="C16" s="35">
        <f>SUM(C17:C19)</f>
        <v>735.75</v>
      </c>
      <c r="D16" s="35">
        <f t="shared" ref="D16:F16" si="2">SUM(D17:D19)</f>
        <v>735.75</v>
      </c>
      <c r="E16" s="35">
        <f t="shared" si="2"/>
        <v>763.94759999999997</v>
      </c>
      <c r="F16" s="35">
        <f t="shared" si="2"/>
        <v>820.34280000000001</v>
      </c>
      <c r="G16" s="35">
        <f>SUM(G17:G19)</f>
        <v>3055.7903999999999</v>
      </c>
      <c r="H16" s="141"/>
      <c r="I16" s="142"/>
      <c r="J16" s="142"/>
      <c r="K16" s="142"/>
      <c r="L16" s="142"/>
      <c r="M16" s="142"/>
      <c r="O16" s="142"/>
      <c r="P16" s="142"/>
      <c r="Q16" s="142"/>
      <c r="R16" s="142"/>
      <c r="S16" s="142"/>
      <c r="U16" s="142"/>
      <c r="V16" s="142"/>
      <c r="W16" s="142"/>
      <c r="X16" s="142"/>
      <c r="Y16" s="142"/>
    </row>
    <row r="17" spans="1:35" ht="39" customHeight="1" outlineLevel="1" x14ac:dyDescent="0.3">
      <c r="A17" s="29"/>
      <c r="B17" s="10" t="s">
        <v>25</v>
      </c>
      <c r="C17" s="12">
        <f>SUM(I17*3)</f>
        <v>348.255</v>
      </c>
      <c r="D17" s="12">
        <f>SUM(I17*2+O17)</f>
        <v>348.255</v>
      </c>
      <c r="E17" s="12">
        <f>SUM(O17*2+U17)</f>
        <v>376.45260000000002</v>
      </c>
      <c r="F17" s="12">
        <f>SUM(U17*3)</f>
        <v>432.84780000000001</v>
      </c>
      <c r="G17" s="77">
        <f t="shared" ref="G17:G18" si="3">SUM(C17:F17)</f>
        <v>1505.8104000000001</v>
      </c>
      <c r="H17" s="146" t="s">
        <v>100</v>
      </c>
      <c r="I17" s="142">
        <f>SUM(K17*M17)*1.5</f>
        <v>116.08500000000001</v>
      </c>
      <c r="J17" s="142" t="s">
        <v>101</v>
      </c>
      <c r="K17" s="142">
        <v>0.71</v>
      </c>
      <c r="L17" s="142"/>
      <c r="M17" s="142">
        <f>SUM(J5)</f>
        <v>109</v>
      </c>
      <c r="N17" s="145"/>
      <c r="O17" s="142">
        <f>SUM(Q17*S17*1.5)</f>
        <v>116.08500000000001</v>
      </c>
      <c r="P17" s="142" t="s">
        <v>101</v>
      </c>
      <c r="Q17" s="142">
        <v>0.71</v>
      </c>
      <c r="R17" s="142"/>
      <c r="S17" s="142">
        <f>SUM(J5)</f>
        <v>109</v>
      </c>
      <c r="T17" s="145"/>
      <c r="U17" s="142">
        <f>SUM(W17*Y17)</f>
        <v>144.2826</v>
      </c>
      <c r="V17" s="142" t="s">
        <v>101</v>
      </c>
      <c r="W17" s="142">
        <v>1.9800000000000002E-2</v>
      </c>
      <c r="X17" s="142"/>
      <c r="Y17" s="142">
        <f>SUM(J1)</f>
        <v>7287</v>
      </c>
    </row>
    <row r="18" spans="1:35" ht="40.5" customHeight="1" outlineLevel="1" x14ac:dyDescent="0.3">
      <c r="A18" s="29"/>
      <c r="B18" s="10" t="s">
        <v>14</v>
      </c>
      <c r="C18" s="12">
        <f>SUM(I18*3)</f>
        <v>387.495</v>
      </c>
      <c r="D18" s="12">
        <f>SUM(I18*2+O18)</f>
        <v>387.495</v>
      </c>
      <c r="E18" s="12">
        <f>SUM(O18*2+U18)</f>
        <v>387.495</v>
      </c>
      <c r="F18" s="12">
        <f>SUM(U18*3)</f>
        <v>387.495</v>
      </c>
      <c r="G18" s="77">
        <f t="shared" si="3"/>
        <v>1549.98</v>
      </c>
      <c r="H18" s="146" t="s">
        <v>102</v>
      </c>
      <c r="I18" s="142">
        <f>SUM(K18*M18)*1.5</f>
        <v>129.16499999999999</v>
      </c>
      <c r="J18" s="142" t="s">
        <v>101</v>
      </c>
      <c r="K18" s="142">
        <v>0.79</v>
      </c>
      <c r="L18" s="142"/>
      <c r="M18" s="142">
        <f>SUM(J5)</f>
        <v>109</v>
      </c>
      <c r="N18" s="145"/>
      <c r="O18" s="142">
        <f>SUM(Q18*S18)*1.5</f>
        <v>129.16499999999999</v>
      </c>
      <c r="P18" s="142" t="s">
        <v>101</v>
      </c>
      <c r="Q18" s="142">
        <v>0.79</v>
      </c>
      <c r="R18" s="142"/>
      <c r="S18" s="142">
        <f>SUM(J5)</f>
        <v>109</v>
      </c>
      <c r="T18" s="145"/>
      <c r="U18" s="142">
        <f>SUM(W18*Y18)*1.5</f>
        <v>129.16499999999999</v>
      </c>
      <c r="V18" s="142" t="s">
        <v>101</v>
      </c>
      <c r="W18" s="142">
        <v>0.79</v>
      </c>
      <c r="X18" s="142"/>
      <c r="Y18" s="142">
        <f>SUM(J5)</f>
        <v>109</v>
      </c>
    </row>
    <row r="19" spans="1:35" ht="40.5" customHeight="1" outlineLevel="1" thickBot="1" x14ac:dyDescent="0.3">
      <c r="A19" s="124"/>
      <c r="B19" s="125" t="s">
        <v>75</v>
      </c>
      <c r="C19" s="126"/>
      <c r="D19" s="126"/>
      <c r="E19" s="126"/>
      <c r="F19" s="126"/>
      <c r="G19" s="127"/>
      <c r="H19" s="141"/>
      <c r="I19" s="144"/>
      <c r="J19" s="144"/>
      <c r="K19" s="144"/>
      <c r="L19" s="144"/>
      <c r="M19" s="145"/>
      <c r="N19" s="145"/>
      <c r="O19" s="144"/>
      <c r="P19" s="144"/>
      <c r="Q19" s="144"/>
      <c r="R19" s="144"/>
      <c r="S19" s="145"/>
      <c r="T19" s="145"/>
      <c r="U19" s="144"/>
      <c r="V19" s="144"/>
      <c r="W19" s="144"/>
      <c r="X19" s="144"/>
      <c r="Y19" s="145"/>
    </row>
    <row r="20" spans="1:35" ht="20.100000000000001" customHeight="1" outlineLevel="1" thickBot="1" x14ac:dyDescent="0.3">
      <c r="A20" s="94">
        <v>3</v>
      </c>
      <c r="B20" s="28" t="s">
        <v>17</v>
      </c>
      <c r="C20" s="22">
        <f>SUM(C21:C22)</f>
        <v>958.11</v>
      </c>
      <c r="D20" s="22">
        <f t="shared" ref="D20:F20" si="4">SUM(D21:D22)</f>
        <v>958.11</v>
      </c>
      <c r="E20" s="22">
        <f t="shared" si="4"/>
        <v>958.11</v>
      </c>
      <c r="F20" s="22">
        <f t="shared" si="4"/>
        <v>958.11</v>
      </c>
      <c r="G20" s="8">
        <f>SUM(G21:G22)</f>
        <v>3832.44</v>
      </c>
      <c r="H20" s="141"/>
      <c r="I20" s="123" t="s">
        <v>66</v>
      </c>
      <c r="J20" s="123"/>
      <c r="K20" s="123" t="s">
        <v>61</v>
      </c>
      <c r="L20" s="123"/>
      <c r="M20" s="123" t="s">
        <v>67</v>
      </c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</row>
    <row r="21" spans="1:35" ht="20.100000000000001" customHeight="1" outlineLevel="1" x14ac:dyDescent="0.3">
      <c r="A21" s="29"/>
      <c r="B21" s="10" t="s">
        <v>45</v>
      </c>
      <c r="C21" s="11">
        <f>SUM(M21)*3</f>
        <v>304.11</v>
      </c>
      <c r="D21" s="11">
        <f>SUM(M21*3)</f>
        <v>304.11</v>
      </c>
      <c r="E21" s="11">
        <f>SUM(M21*3)</f>
        <v>304.11</v>
      </c>
      <c r="F21" s="11">
        <f>SUM(M21*3)</f>
        <v>304.11</v>
      </c>
      <c r="G21" s="78">
        <f>SUM(C21:F21)</f>
        <v>1216.44</v>
      </c>
      <c r="H21" s="141" t="s">
        <v>103</v>
      </c>
      <c r="I21" s="109">
        <f>SUM(J5)</f>
        <v>109</v>
      </c>
      <c r="J21" s="110"/>
      <c r="K21" s="110">
        <v>0.93</v>
      </c>
      <c r="L21" s="110"/>
      <c r="M21" s="111">
        <f>I21*K21</f>
        <v>101.37</v>
      </c>
      <c r="N21" s="123"/>
      <c r="O21" s="109"/>
      <c r="P21" s="110"/>
      <c r="Q21" s="110"/>
      <c r="R21" s="110"/>
      <c r="S21" s="111"/>
      <c r="T21" s="123"/>
      <c r="U21" s="109"/>
      <c r="V21" s="110"/>
      <c r="W21" s="110"/>
      <c r="X21" s="110"/>
      <c r="Y21" s="111"/>
    </row>
    <row r="22" spans="1:35" ht="20.100000000000001" customHeight="1" outlineLevel="1" thickBot="1" x14ac:dyDescent="0.3">
      <c r="A22" s="27"/>
      <c r="B22" s="25" t="s">
        <v>18</v>
      </c>
      <c r="C22" s="26">
        <f>SUM(M22)*3</f>
        <v>654</v>
      </c>
      <c r="D22" s="26">
        <f>SUM(M22*3)</f>
        <v>654</v>
      </c>
      <c r="E22" s="26">
        <f>SUM(M22*3)</f>
        <v>654</v>
      </c>
      <c r="F22" s="26">
        <f>SUM(M22*3)</f>
        <v>654</v>
      </c>
      <c r="G22" s="79">
        <f>SUM(C22:F22)</f>
        <v>2616</v>
      </c>
      <c r="H22" s="146" t="s">
        <v>104</v>
      </c>
      <c r="I22" s="112">
        <f>SUM(J5)</f>
        <v>109</v>
      </c>
      <c r="J22" s="113"/>
      <c r="K22" s="113">
        <v>2</v>
      </c>
      <c r="L22" s="113"/>
      <c r="M22" s="114">
        <f>I22*K22</f>
        <v>218</v>
      </c>
      <c r="N22" s="123"/>
      <c r="O22" s="112"/>
      <c r="P22" s="113"/>
      <c r="Q22" s="113"/>
      <c r="R22" s="113"/>
      <c r="S22" s="114"/>
      <c r="T22" s="123"/>
      <c r="U22" s="112"/>
      <c r="V22" s="113"/>
      <c r="W22" s="113"/>
      <c r="X22" s="113"/>
      <c r="Y22" s="114"/>
    </row>
    <row r="23" spans="1:35" ht="20.100000000000001" customHeight="1" thickBot="1" x14ac:dyDescent="0.3">
      <c r="A23" s="31" t="s">
        <v>9</v>
      </c>
      <c r="B23" s="28" t="s">
        <v>27</v>
      </c>
      <c r="C23" s="22">
        <f>SUM(C24:C25)</f>
        <v>15958.529999999999</v>
      </c>
      <c r="D23" s="22">
        <f t="shared" ref="D23:F23" si="5">SUM(D24:D25)</f>
        <v>15958.529999999999</v>
      </c>
      <c r="E23" s="22">
        <f t="shared" si="5"/>
        <v>15958.529999999999</v>
      </c>
      <c r="F23" s="22">
        <f t="shared" si="5"/>
        <v>15958.529999999999</v>
      </c>
      <c r="G23" s="8">
        <f>SUM(G24:G25)</f>
        <v>63834.119999999995</v>
      </c>
      <c r="H23" s="147"/>
      <c r="I23" s="123" t="s">
        <v>68</v>
      </c>
      <c r="J23" s="123"/>
      <c r="K23" s="123" t="s">
        <v>61</v>
      </c>
      <c r="L23" s="123"/>
      <c r="M23" s="123" t="s">
        <v>67</v>
      </c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</row>
    <row r="24" spans="1:35" ht="20.100000000000001" customHeight="1" outlineLevel="1" thickBot="1" x14ac:dyDescent="0.3">
      <c r="A24" s="32"/>
      <c r="B24" s="10" t="s">
        <v>26</v>
      </c>
      <c r="C24" s="9">
        <f>SUM(M24)*3</f>
        <v>13553.82</v>
      </c>
      <c r="D24" s="9">
        <f>SUM(M24*3)</f>
        <v>13553.82</v>
      </c>
      <c r="E24" s="9">
        <f>SUM(M24*3)</f>
        <v>13553.82</v>
      </c>
      <c r="F24" s="9">
        <f>SUM(M24*3)</f>
        <v>13553.82</v>
      </c>
      <c r="G24" s="78">
        <f t="shared" ref="G24:G29" si="6">SUM(C24:F24)</f>
        <v>54215.28</v>
      </c>
      <c r="H24" s="148" t="s">
        <v>105</v>
      </c>
      <c r="I24" s="103">
        <f>SUM(J1)</f>
        <v>7287</v>
      </c>
      <c r="J24" s="104"/>
      <c r="K24" s="110">
        <v>0.62</v>
      </c>
      <c r="L24" s="110"/>
      <c r="M24" s="105">
        <f>SUM(I24*K24)</f>
        <v>4517.9399999999996</v>
      </c>
      <c r="N24" s="144"/>
      <c r="O24" s="103"/>
      <c r="P24" s="104"/>
      <c r="Q24" s="110"/>
      <c r="R24" s="110"/>
      <c r="S24" s="105"/>
      <c r="T24" s="144"/>
      <c r="U24" s="103"/>
      <c r="V24" s="104"/>
      <c r="W24" s="110"/>
      <c r="X24" s="110"/>
      <c r="Y24" s="105"/>
    </row>
    <row r="25" spans="1:35" ht="20.100000000000001" customHeight="1" outlineLevel="1" thickBot="1" x14ac:dyDescent="0.3">
      <c r="A25" s="33"/>
      <c r="B25" s="25" t="s">
        <v>57</v>
      </c>
      <c r="C25" s="26">
        <f>SUM(M25)*3</f>
        <v>2404.71</v>
      </c>
      <c r="D25" s="26">
        <f>SUM(M25*3)</f>
        <v>2404.71</v>
      </c>
      <c r="E25" s="26">
        <f>SUM(M25*3)</f>
        <v>2404.71</v>
      </c>
      <c r="F25" s="26">
        <f>SUM(M25*3)</f>
        <v>2404.71</v>
      </c>
      <c r="G25" s="79">
        <f t="shared" si="6"/>
        <v>9618.84</v>
      </c>
      <c r="H25" s="148" t="s">
        <v>106</v>
      </c>
      <c r="I25" s="106">
        <f>SUM(J1)</f>
        <v>7287</v>
      </c>
      <c r="J25" s="108"/>
      <c r="K25" s="113">
        <v>0.11</v>
      </c>
      <c r="L25" s="113"/>
      <c r="M25" s="105">
        <f>SUM(I25*K25)</f>
        <v>801.57</v>
      </c>
      <c r="N25" s="144"/>
      <c r="O25" s="106"/>
      <c r="P25" s="108"/>
      <c r="Q25" s="113"/>
      <c r="R25" s="113"/>
      <c r="S25" s="107"/>
      <c r="T25" s="144"/>
      <c r="U25" s="106"/>
      <c r="V25" s="108"/>
      <c r="W25" s="113"/>
      <c r="X25" s="113"/>
      <c r="Y25" s="107"/>
    </row>
    <row r="26" spans="1:35" ht="20.100000000000001" customHeight="1" outlineLevel="1" x14ac:dyDescent="0.25">
      <c r="A26" s="34" t="s">
        <v>7</v>
      </c>
      <c r="B26" s="36" t="s">
        <v>4</v>
      </c>
      <c r="C26" s="30">
        <f>SUM(C27:C28)</f>
        <v>0</v>
      </c>
      <c r="D26" s="30">
        <f t="shared" ref="D26:F26" si="7">SUM(D27:D28)</f>
        <v>0</v>
      </c>
      <c r="E26" s="30">
        <f t="shared" si="7"/>
        <v>0</v>
      </c>
      <c r="F26" s="30">
        <f t="shared" si="7"/>
        <v>0</v>
      </c>
      <c r="G26" s="37">
        <f t="shared" si="6"/>
        <v>0</v>
      </c>
    </row>
    <row r="27" spans="1:35" s="1" customFormat="1" ht="20.100000000000001" customHeight="1" outlineLevel="1" x14ac:dyDescent="0.25">
      <c r="A27" s="32"/>
      <c r="B27" s="10" t="s">
        <v>5</v>
      </c>
      <c r="C27" s="9"/>
      <c r="D27" s="9"/>
      <c r="E27" s="9"/>
      <c r="F27" s="9"/>
      <c r="G27" s="78">
        <f t="shared" si="6"/>
        <v>0</v>
      </c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</row>
    <row r="28" spans="1:35" s="1" customFormat="1" ht="20.100000000000001" customHeight="1" outlineLevel="1" thickBot="1" x14ac:dyDescent="0.3">
      <c r="A28" s="33"/>
      <c r="B28" s="25" t="s">
        <v>24</v>
      </c>
      <c r="C28" s="26"/>
      <c r="D28" s="26"/>
      <c r="E28" s="26"/>
      <c r="F28" s="26"/>
      <c r="G28" s="79">
        <f t="shared" si="6"/>
        <v>0</v>
      </c>
      <c r="H28" s="227"/>
      <c r="I28" s="228"/>
      <c r="J28" s="228"/>
      <c r="K28" s="228"/>
      <c r="L28" s="228"/>
      <c r="M28" s="228"/>
      <c r="N28" s="228"/>
      <c r="O28" s="228"/>
      <c r="P28" s="228"/>
      <c r="Q28" s="228"/>
      <c r="R28" s="228"/>
      <c r="S28" s="228"/>
      <c r="T28" s="228"/>
      <c r="U28" s="228"/>
      <c r="V28" s="228"/>
      <c r="W28" s="228"/>
      <c r="X28" s="228"/>
      <c r="Y28" s="228"/>
      <c r="Z28" s="228"/>
      <c r="AA28" s="228"/>
      <c r="AB28" s="149"/>
      <c r="AC28" s="149"/>
      <c r="AD28" s="149"/>
      <c r="AE28" s="149"/>
      <c r="AF28" s="149"/>
      <c r="AG28" s="149"/>
      <c r="AH28" s="149"/>
      <c r="AI28" s="149"/>
    </row>
    <row r="29" spans="1:35" ht="26.1" customHeight="1" outlineLevel="1" thickBot="1" x14ac:dyDescent="0.3">
      <c r="A29" s="213" t="s">
        <v>6</v>
      </c>
      <c r="B29" s="214"/>
      <c r="C29" s="52">
        <f>C9+C16+C20+C23+C26</f>
        <v>22458.583187999997</v>
      </c>
      <c r="D29" s="52">
        <f>D9+D16+D20+D23+D26</f>
        <v>22294.807747999999</v>
      </c>
      <c r="E29" s="52">
        <f>E9+E16+E20+E23+E26</f>
        <v>22467.719417999997</v>
      </c>
      <c r="F29" s="52">
        <f>F9+F16+F20+F23+F26</f>
        <v>23468.644517999997</v>
      </c>
      <c r="G29" s="53">
        <f t="shared" si="6"/>
        <v>90689.75487199999</v>
      </c>
    </row>
    <row r="30" spans="1:35" ht="26.1" customHeight="1" thickBot="1" x14ac:dyDescent="0.3">
      <c r="A30" s="211" t="s">
        <v>39</v>
      </c>
      <c r="B30" s="212"/>
      <c r="C30" s="54" t="s">
        <v>8</v>
      </c>
      <c r="D30" s="54" t="s">
        <v>8</v>
      </c>
      <c r="E30" s="54" t="s">
        <v>8</v>
      </c>
      <c r="F30" s="54" t="s">
        <v>8</v>
      </c>
      <c r="G30" s="55" t="s">
        <v>8</v>
      </c>
    </row>
    <row r="31" spans="1:35" ht="20.100000000000001" customHeight="1" x14ac:dyDescent="0.25">
      <c r="A31" s="94">
        <v>1</v>
      </c>
      <c r="B31" s="21" t="s">
        <v>15</v>
      </c>
      <c r="C31" s="64">
        <f>SUM(C32:C35)</f>
        <v>3635.3307373700413</v>
      </c>
      <c r="D31" s="64">
        <f>SUM(D32:D35)</f>
        <v>3569.2149373700413</v>
      </c>
      <c r="E31" s="64">
        <f>SUM(E32:E35)</f>
        <v>3617.4792373700411</v>
      </c>
      <c r="F31" s="64">
        <f>SUM(F32:F35)</f>
        <v>3978.4710373700414</v>
      </c>
      <c r="G31" s="64">
        <f>SUM(G32:G35)</f>
        <v>14800.495949480164</v>
      </c>
    </row>
    <row r="32" spans="1:35" ht="20.100000000000001" customHeight="1" x14ac:dyDescent="0.25">
      <c r="A32" s="46"/>
      <c r="B32" s="10" t="s">
        <v>3</v>
      </c>
      <c r="C32" s="42">
        <f>C10</f>
        <v>2890.0242000000003</v>
      </c>
      <c r="D32" s="42">
        <f>D10</f>
        <v>2828.8134</v>
      </c>
      <c r="E32" s="42">
        <f>E10</f>
        <v>2706.3917999999999</v>
      </c>
      <c r="F32" s="42">
        <f>F10</f>
        <v>2706.3917999999999</v>
      </c>
      <c r="G32" s="74">
        <f>SUM(C32:F32)</f>
        <v>11131.6212</v>
      </c>
    </row>
    <row r="33" spans="1:7" ht="20.100000000000001" customHeight="1" x14ac:dyDescent="0.25">
      <c r="A33" s="46"/>
      <c r="B33" s="10" t="s">
        <v>10</v>
      </c>
      <c r="C33" s="42">
        <f t="shared" ref="C33:F33" si="8">C13</f>
        <v>362.96999999999997</v>
      </c>
      <c r="D33" s="42">
        <f t="shared" si="8"/>
        <v>358.065</v>
      </c>
      <c r="E33" s="42">
        <f t="shared" si="8"/>
        <v>528.7509</v>
      </c>
      <c r="F33" s="42">
        <f t="shared" si="8"/>
        <v>889.74270000000001</v>
      </c>
      <c r="G33" s="74">
        <f>SUM(C33:F33)</f>
        <v>2139.5285999999996</v>
      </c>
    </row>
    <row r="34" spans="1:7" ht="57.75" customHeight="1" x14ac:dyDescent="0.25">
      <c r="A34" s="46"/>
      <c r="B34" s="10" t="s">
        <v>46</v>
      </c>
      <c r="C34" s="42">
        <f>[1]Лист15!D6</f>
        <v>382.33653737004119</v>
      </c>
      <c r="D34" s="42">
        <f>C34</f>
        <v>382.33653737004119</v>
      </c>
      <c r="E34" s="42">
        <f>C34</f>
        <v>382.33653737004119</v>
      </c>
      <c r="F34" s="42">
        <f>C34</f>
        <v>382.33653737004119</v>
      </c>
      <c r="G34" s="74">
        <f>SUM(C34:F34)</f>
        <v>1529.3461494801647</v>
      </c>
    </row>
    <row r="35" spans="1:7" ht="20.100000000000001" customHeight="1" thickBot="1" x14ac:dyDescent="0.3">
      <c r="A35" s="46"/>
      <c r="B35" s="10" t="s">
        <v>12</v>
      </c>
      <c r="C35" s="42"/>
      <c r="D35" s="42"/>
      <c r="E35" s="42"/>
      <c r="F35" s="42"/>
      <c r="G35" s="74">
        <f>SUM(C35:F35)</f>
        <v>0</v>
      </c>
    </row>
    <row r="36" spans="1:7" ht="20.100000000000001" customHeight="1" x14ac:dyDescent="0.25">
      <c r="A36" s="94">
        <v>2</v>
      </c>
      <c r="B36" s="28" t="s">
        <v>16</v>
      </c>
      <c r="C36" s="64">
        <f>SUM(C37:C38)</f>
        <v>0</v>
      </c>
      <c r="D36" s="64">
        <f t="shared" ref="D36:G36" si="9">SUM(D37:D38)</f>
        <v>0</v>
      </c>
      <c r="E36" s="64">
        <f t="shared" si="9"/>
        <v>0</v>
      </c>
      <c r="F36" s="64">
        <f t="shared" si="9"/>
        <v>0</v>
      </c>
      <c r="G36" s="64">
        <f t="shared" si="9"/>
        <v>0</v>
      </c>
    </row>
    <row r="37" spans="1:7" ht="39.950000000000003" customHeight="1" x14ac:dyDescent="0.25">
      <c r="A37" s="29"/>
      <c r="B37" s="10" t="s">
        <v>25</v>
      </c>
      <c r="C37" s="42"/>
      <c r="D37" s="42"/>
      <c r="E37" s="42"/>
      <c r="F37" s="42"/>
      <c r="G37" s="74">
        <f>SUM(C37:F37)</f>
        <v>0</v>
      </c>
    </row>
    <row r="38" spans="1:7" ht="39.950000000000003" customHeight="1" thickBot="1" x14ac:dyDescent="0.3">
      <c r="A38" s="27"/>
      <c r="B38" s="25" t="s">
        <v>14</v>
      </c>
      <c r="C38" s="42"/>
      <c r="D38" s="42"/>
      <c r="E38" s="42"/>
      <c r="F38" s="42"/>
      <c r="G38" s="74">
        <f>SUM(C38:F38)</f>
        <v>0</v>
      </c>
    </row>
    <row r="39" spans="1:7" ht="20.100000000000001" customHeight="1" x14ac:dyDescent="0.25">
      <c r="A39" s="94" t="s">
        <v>33</v>
      </c>
      <c r="B39" s="28" t="s">
        <v>17</v>
      </c>
      <c r="C39" s="64">
        <f>SUM(C40:C41)</f>
        <v>958.11</v>
      </c>
      <c r="D39" s="64">
        <f t="shared" ref="D39:G39" si="10">SUM(D40:D41)</f>
        <v>958.11</v>
      </c>
      <c r="E39" s="64">
        <f t="shared" si="10"/>
        <v>958.11</v>
      </c>
      <c r="F39" s="64">
        <f t="shared" si="10"/>
        <v>958.11</v>
      </c>
      <c r="G39" s="64">
        <f t="shared" si="10"/>
        <v>3832.44</v>
      </c>
    </row>
    <row r="40" spans="1:7" ht="20.100000000000001" customHeight="1" x14ac:dyDescent="0.25">
      <c r="A40" s="46"/>
      <c r="B40" s="10" t="s">
        <v>45</v>
      </c>
      <c r="C40" s="42">
        <f t="shared" ref="C40:F41" si="11">C21</f>
        <v>304.11</v>
      </c>
      <c r="D40" s="42">
        <f t="shared" si="11"/>
        <v>304.11</v>
      </c>
      <c r="E40" s="42">
        <f t="shared" si="11"/>
        <v>304.11</v>
      </c>
      <c r="F40" s="42">
        <f t="shared" si="11"/>
        <v>304.11</v>
      </c>
      <c r="G40" s="74">
        <f>SUM(C40:F40)</f>
        <v>1216.44</v>
      </c>
    </row>
    <row r="41" spans="1:7" s="4" customFormat="1" ht="20.100000000000001" customHeight="1" thickBot="1" x14ac:dyDescent="0.3">
      <c r="A41" s="56"/>
      <c r="B41" s="25" t="s">
        <v>18</v>
      </c>
      <c r="C41" s="57">
        <f t="shared" si="11"/>
        <v>654</v>
      </c>
      <c r="D41" s="57">
        <f t="shared" si="11"/>
        <v>654</v>
      </c>
      <c r="E41" s="57">
        <f t="shared" si="11"/>
        <v>654</v>
      </c>
      <c r="F41" s="57">
        <f t="shared" si="11"/>
        <v>654</v>
      </c>
      <c r="G41" s="74">
        <f>SUM(C41:F41)</f>
        <v>2616</v>
      </c>
    </row>
    <row r="42" spans="1:7" ht="20.100000000000001" customHeight="1" x14ac:dyDescent="0.25">
      <c r="A42" s="94" t="s">
        <v>9</v>
      </c>
      <c r="B42" s="28" t="s">
        <v>38</v>
      </c>
      <c r="C42" s="64">
        <f>SUM(C43:C58)</f>
        <v>13553.82</v>
      </c>
      <c r="D42" s="64">
        <f>SUM(D43:D58)</f>
        <v>13553.82</v>
      </c>
      <c r="E42" s="64">
        <f>SUM(E43:E58)</f>
        <v>13553.82</v>
      </c>
      <c r="F42" s="64">
        <f>SUM(F43:F58)</f>
        <v>13553.82</v>
      </c>
      <c r="G42" s="66">
        <f t="shared" ref="G42:G51" si="12">SUM(C42:F42)</f>
        <v>54215.28</v>
      </c>
    </row>
    <row r="43" spans="1:7" ht="20.100000000000001" customHeight="1" x14ac:dyDescent="0.25">
      <c r="A43" s="58"/>
      <c r="B43" s="49" t="s">
        <v>43</v>
      </c>
      <c r="C43" s="42">
        <f>C24</f>
        <v>13553.82</v>
      </c>
      <c r="D43" s="42">
        <f>D24</f>
        <v>13553.82</v>
      </c>
      <c r="E43" s="42">
        <f>E24</f>
        <v>13553.82</v>
      </c>
      <c r="F43" s="42">
        <f>F24</f>
        <v>13553.82</v>
      </c>
      <c r="G43" s="74">
        <f t="shared" si="12"/>
        <v>54215.28</v>
      </c>
    </row>
    <row r="44" spans="1:7" ht="20.100000000000001" customHeight="1" x14ac:dyDescent="0.25">
      <c r="A44" s="47"/>
      <c r="B44" s="49" t="s">
        <v>28</v>
      </c>
      <c r="C44" s="42"/>
      <c r="D44" s="42"/>
      <c r="E44" s="42"/>
      <c r="F44" s="42"/>
      <c r="G44" s="74">
        <f>SUM(C44:F44)</f>
        <v>0</v>
      </c>
    </row>
    <row r="45" spans="1:7" ht="20.100000000000001" customHeight="1" x14ac:dyDescent="0.25">
      <c r="A45" s="47"/>
      <c r="B45" s="49" t="s">
        <v>36</v>
      </c>
      <c r="C45" s="42"/>
      <c r="D45" s="42"/>
      <c r="E45" s="42"/>
      <c r="F45" s="42"/>
      <c r="G45" s="74">
        <f t="shared" si="12"/>
        <v>0</v>
      </c>
    </row>
    <row r="46" spans="1:7" ht="20.100000000000001" customHeight="1" x14ac:dyDescent="0.25">
      <c r="A46" s="47"/>
      <c r="B46" s="49" t="s">
        <v>34</v>
      </c>
      <c r="C46" s="42"/>
      <c r="D46" s="42"/>
      <c r="E46" s="42"/>
      <c r="F46" s="42"/>
      <c r="G46" s="74">
        <f t="shared" si="12"/>
        <v>0</v>
      </c>
    </row>
    <row r="47" spans="1:7" ht="20.100000000000001" customHeight="1" x14ac:dyDescent="0.25">
      <c r="A47" s="46"/>
      <c r="B47" s="49" t="s">
        <v>35</v>
      </c>
      <c r="C47" s="42"/>
      <c r="D47" s="42"/>
      <c r="E47" s="42"/>
      <c r="F47" s="42"/>
      <c r="G47" s="74">
        <f t="shared" si="12"/>
        <v>0</v>
      </c>
    </row>
    <row r="48" spans="1:7" ht="20.100000000000001" customHeight="1" x14ac:dyDescent="0.25">
      <c r="A48" s="58"/>
      <c r="B48" s="10" t="s">
        <v>59</v>
      </c>
      <c r="C48" s="42"/>
      <c r="D48" s="42"/>
      <c r="E48" s="42"/>
      <c r="F48" s="42"/>
      <c r="G48" s="74">
        <f t="shared" si="12"/>
        <v>0</v>
      </c>
    </row>
    <row r="49" spans="1:14" ht="39" customHeight="1" x14ac:dyDescent="0.25">
      <c r="A49" s="58"/>
      <c r="B49" s="49" t="s">
        <v>37</v>
      </c>
      <c r="C49" s="42"/>
      <c r="D49" s="42"/>
      <c r="E49" s="42"/>
      <c r="F49" s="42"/>
      <c r="G49" s="74">
        <f t="shared" si="12"/>
        <v>0</v>
      </c>
      <c r="H49" s="65"/>
    </row>
    <row r="50" spans="1:14" ht="20.100000000000001" customHeight="1" x14ac:dyDescent="0.25">
      <c r="A50" s="46"/>
      <c r="B50" s="49" t="s">
        <v>29</v>
      </c>
      <c r="C50" s="42"/>
      <c r="D50" s="42"/>
      <c r="E50" s="42"/>
      <c r="F50" s="42"/>
      <c r="G50" s="74">
        <f t="shared" si="12"/>
        <v>0</v>
      </c>
    </row>
    <row r="51" spans="1:14" s="4" customFormat="1" ht="20.100000000000001" customHeight="1" x14ac:dyDescent="0.25">
      <c r="A51" s="48"/>
      <c r="B51" s="49" t="s">
        <v>40</v>
      </c>
      <c r="C51" s="42"/>
      <c r="D51" s="42"/>
      <c r="E51" s="42"/>
      <c r="F51" s="42"/>
      <c r="G51" s="74">
        <f t="shared" si="12"/>
        <v>0</v>
      </c>
    </row>
    <row r="52" spans="1:14" ht="20.100000000000001" customHeight="1" x14ac:dyDescent="0.25">
      <c r="A52" s="59"/>
      <c r="B52" s="49" t="s">
        <v>41</v>
      </c>
      <c r="C52" s="68"/>
      <c r="D52" s="68"/>
      <c r="E52" s="68"/>
      <c r="F52" s="68"/>
      <c r="G52" s="75">
        <f t="shared" ref="G52:G57" si="13">SUM(C52:F52)</f>
        <v>0</v>
      </c>
      <c r="H52" s="4"/>
      <c r="I52" s="4"/>
      <c r="J52" s="4"/>
      <c r="K52" s="4"/>
      <c r="L52" s="4"/>
      <c r="M52" s="4"/>
      <c r="N52" s="4"/>
    </row>
    <row r="53" spans="1:14" ht="20.100000000000001" customHeight="1" x14ac:dyDescent="0.25">
      <c r="A53" s="61"/>
      <c r="B53" s="51" t="s">
        <v>44</v>
      </c>
      <c r="C53" s="42"/>
      <c r="D53" s="42"/>
      <c r="E53" s="42"/>
      <c r="F53" s="42"/>
      <c r="G53" s="74">
        <f t="shared" si="13"/>
        <v>0</v>
      </c>
    </row>
    <row r="54" spans="1:14" ht="20.100000000000001" customHeight="1" x14ac:dyDescent="0.25">
      <c r="A54" s="61"/>
      <c r="B54" s="49" t="s">
        <v>30</v>
      </c>
      <c r="C54" s="42"/>
      <c r="D54" s="42"/>
      <c r="E54" s="42"/>
      <c r="F54" s="42"/>
      <c r="G54" s="74">
        <f t="shared" si="13"/>
        <v>0</v>
      </c>
    </row>
    <row r="55" spans="1:14" ht="41.25" customHeight="1" x14ac:dyDescent="0.25">
      <c r="A55" s="61"/>
      <c r="B55" s="49" t="s">
        <v>31</v>
      </c>
      <c r="C55" s="42"/>
      <c r="D55" s="42"/>
      <c r="E55" s="42"/>
      <c r="F55" s="42"/>
      <c r="G55" s="74">
        <f t="shared" si="13"/>
        <v>0</v>
      </c>
    </row>
    <row r="56" spans="1:14" ht="39" customHeight="1" x14ac:dyDescent="0.25">
      <c r="A56" s="62"/>
      <c r="B56" s="81" t="s">
        <v>50</v>
      </c>
      <c r="C56" s="68"/>
      <c r="D56" s="68"/>
      <c r="E56" s="68"/>
      <c r="F56" s="68"/>
      <c r="G56" s="82">
        <f t="shared" si="13"/>
        <v>0</v>
      </c>
    </row>
    <row r="57" spans="1:14" ht="60" customHeight="1" x14ac:dyDescent="0.25">
      <c r="A57" s="60"/>
      <c r="B57" s="51" t="s">
        <v>53</v>
      </c>
      <c r="C57" s="68"/>
      <c r="D57" s="68"/>
      <c r="E57" s="68"/>
      <c r="F57" s="68"/>
      <c r="G57" s="82">
        <f t="shared" si="13"/>
        <v>0</v>
      </c>
    </row>
    <row r="58" spans="1:14" ht="20.100000000000001" customHeight="1" thickBot="1" x14ac:dyDescent="0.3">
      <c r="A58" s="63"/>
      <c r="B58" s="50" t="s">
        <v>32</v>
      </c>
      <c r="C58" s="57"/>
      <c r="D58" s="57"/>
      <c r="E58" s="57"/>
      <c r="F58" s="57"/>
      <c r="G58" s="76">
        <f>SUM(C58:F58)</f>
        <v>0</v>
      </c>
    </row>
    <row r="59" spans="1:14" ht="24.6" customHeight="1" outlineLevel="1" thickBot="1" x14ac:dyDescent="0.3">
      <c r="A59" s="229" t="s">
        <v>42</v>
      </c>
      <c r="B59" s="230"/>
      <c r="C59" s="38">
        <f>C31+C36+C39+C42</f>
        <v>18147.260737370041</v>
      </c>
      <c r="D59" s="38">
        <f>D31+D36+D39+D42</f>
        <v>18081.144937370042</v>
      </c>
      <c r="E59" s="38">
        <f>E31+E36+E39+E42</f>
        <v>18129.409237370041</v>
      </c>
      <c r="F59" s="38">
        <f>F31+F36+F39+F42</f>
        <v>18490.40103737004</v>
      </c>
      <c r="G59" s="39">
        <f>G31+G36+G39+G42</f>
        <v>72848.21594948016</v>
      </c>
    </row>
    <row r="60" spans="1:14" ht="24.6" customHeight="1" outlineLevel="1" x14ac:dyDescent="0.25">
      <c r="A60" s="92"/>
      <c r="B60" s="72"/>
      <c r="C60" s="73">
        <f>C29-C59</f>
        <v>4311.3224506299557</v>
      </c>
      <c r="D60" s="73">
        <f>D29-D59</f>
        <v>4213.6628106299577</v>
      </c>
      <c r="E60" s="73">
        <f>E29-E59</f>
        <v>4338.3101806299564</v>
      </c>
      <c r="F60" s="73">
        <f>F29-F59</f>
        <v>4978.243480629957</v>
      </c>
      <c r="G60" s="73">
        <f>G29-G59</f>
        <v>17841.538922519831</v>
      </c>
    </row>
    <row r="61" spans="1:14" x14ac:dyDescent="0.25">
      <c r="A61" s="69"/>
      <c r="B61" s="83"/>
      <c r="C61" s="93"/>
      <c r="D61" s="93"/>
      <c r="E61" s="93"/>
      <c r="F61" s="93"/>
      <c r="G61" s="93"/>
      <c r="H61" s="93"/>
      <c r="I61" s="93"/>
      <c r="J61" s="93"/>
      <c r="K61" s="93"/>
      <c r="L61" s="93"/>
    </row>
  </sheetData>
  <dataConsolidate/>
  <mergeCells count="19">
    <mergeCell ref="A30:B30"/>
    <mergeCell ref="A59:B59"/>
    <mergeCell ref="A8:B8"/>
    <mergeCell ref="A29:B29"/>
    <mergeCell ref="I8:M8"/>
    <mergeCell ref="O8:S8"/>
    <mergeCell ref="U8:Y8"/>
    <mergeCell ref="Z10:Z12"/>
    <mergeCell ref="H28:AA28"/>
    <mergeCell ref="A1:C1"/>
    <mergeCell ref="A2:G2"/>
    <mergeCell ref="A3:G3"/>
    <mergeCell ref="A4:A6"/>
    <mergeCell ref="B4:B6"/>
    <mergeCell ref="C5:C6"/>
    <mergeCell ref="D5:D6"/>
    <mergeCell ref="E5:E6"/>
    <mergeCell ref="F5:F6"/>
    <mergeCell ref="G5:G6"/>
  </mergeCells>
  <pageMargins left="0.70866141732283472" right="0.70866141732283472" top="0.74803149606299213" bottom="0.74803149606299213" header="0.31496062992125984" footer="0.31496062992125984"/>
  <pageSetup paperSize="9" scale="4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C89E8-EF9E-4440-B355-AEF0A5289F0B}">
  <sheetPr>
    <tabColor rgb="FFFFC000"/>
    <pageSetUpPr fitToPage="1"/>
  </sheetPr>
  <dimension ref="A1:AI60"/>
  <sheetViews>
    <sheetView showGridLines="0" view="pageBreakPreview" topLeftCell="B4" zoomScale="60" zoomScaleNormal="70" workbookViewId="0">
      <selection activeCell="K21" sqref="K21"/>
    </sheetView>
  </sheetViews>
  <sheetFormatPr defaultColWidth="10.140625" defaultRowHeight="18.75" outlineLevelRow="1" x14ac:dyDescent="0.25"/>
  <cols>
    <col min="1" max="1" width="8" style="2" customWidth="1"/>
    <col min="2" max="2" width="84.7109375" style="2" customWidth="1"/>
    <col min="3" max="7" width="16.7109375" style="3" customWidth="1"/>
    <col min="8" max="8" width="10.28515625" style="2" bestFit="1" customWidth="1"/>
    <col min="9" max="9" width="45.7109375" style="2" bestFit="1" customWidth="1"/>
    <col min="10" max="10" width="11.7109375" style="2" bestFit="1" customWidth="1"/>
    <col min="11" max="12" width="29.85546875" style="2" bestFit="1" customWidth="1"/>
    <col min="13" max="13" width="10.42578125" style="2" bestFit="1" customWidth="1"/>
    <col min="14" max="16384" width="10.140625" style="2"/>
  </cols>
  <sheetData>
    <row r="1" spans="1:26" x14ac:dyDescent="0.25">
      <c r="A1" s="200"/>
      <c r="B1" s="200"/>
      <c r="C1" s="200"/>
      <c r="D1" s="120"/>
      <c r="E1" s="120"/>
      <c r="F1" s="120"/>
      <c r="G1" s="120"/>
      <c r="I1" s="102" t="s">
        <v>63</v>
      </c>
      <c r="J1" s="101">
        <v>3195.4</v>
      </c>
    </row>
    <row r="2" spans="1:26" x14ac:dyDescent="0.25">
      <c r="A2" s="200"/>
      <c r="B2" s="200"/>
      <c r="C2" s="200"/>
      <c r="D2" s="200"/>
      <c r="E2" s="200"/>
      <c r="F2" s="200"/>
      <c r="G2" s="200"/>
      <c r="I2" s="102"/>
      <c r="J2" s="101"/>
      <c r="K2" s="120"/>
    </row>
    <row r="3" spans="1:26" ht="19.5" thickBot="1" x14ac:dyDescent="0.3">
      <c r="A3" s="201"/>
      <c r="B3" s="201"/>
      <c r="C3" s="201"/>
      <c r="D3" s="201"/>
      <c r="E3" s="201"/>
      <c r="F3" s="201"/>
      <c r="G3" s="201"/>
      <c r="I3" s="7"/>
      <c r="J3" s="6"/>
      <c r="K3" s="121"/>
    </row>
    <row r="4" spans="1:26" x14ac:dyDescent="0.25">
      <c r="A4" s="207" t="s">
        <v>0</v>
      </c>
      <c r="B4" s="209" t="s">
        <v>1</v>
      </c>
      <c r="C4" s="119"/>
      <c r="D4" s="119"/>
      <c r="E4" s="119"/>
      <c r="F4" s="119"/>
      <c r="G4" s="14"/>
      <c r="I4" s="4" t="s">
        <v>64</v>
      </c>
      <c r="J4" s="4">
        <v>46</v>
      </c>
    </row>
    <row r="5" spans="1:26" ht="18" customHeight="1" x14ac:dyDescent="0.25">
      <c r="A5" s="208"/>
      <c r="B5" s="210"/>
      <c r="C5" s="203" t="s">
        <v>19</v>
      </c>
      <c r="D5" s="203" t="s">
        <v>20</v>
      </c>
      <c r="E5" s="203" t="s">
        <v>21</v>
      </c>
      <c r="F5" s="203" t="s">
        <v>22</v>
      </c>
      <c r="G5" s="202" t="s">
        <v>23</v>
      </c>
      <c r="I5" s="4" t="s">
        <v>65</v>
      </c>
      <c r="J5" s="4">
        <v>46</v>
      </c>
    </row>
    <row r="6" spans="1:26" x14ac:dyDescent="0.25">
      <c r="A6" s="208"/>
      <c r="B6" s="210"/>
      <c r="C6" s="203"/>
      <c r="D6" s="203"/>
      <c r="E6" s="203"/>
      <c r="F6" s="203"/>
      <c r="G6" s="202"/>
      <c r="I6" s="4"/>
      <c r="J6" s="4"/>
    </row>
    <row r="7" spans="1:26" ht="19.5" thickBot="1" x14ac:dyDescent="0.3">
      <c r="A7" s="122">
        <v>1</v>
      </c>
      <c r="B7" s="16">
        <v>2</v>
      </c>
      <c r="C7" s="17">
        <v>3</v>
      </c>
      <c r="D7" s="17">
        <v>4</v>
      </c>
      <c r="E7" s="17">
        <v>5</v>
      </c>
      <c r="F7" s="17">
        <v>5</v>
      </c>
      <c r="G7" s="18">
        <v>7</v>
      </c>
      <c r="I7" s="2" t="s">
        <v>87</v>
      </c>
    </row>
    <row r="8" spans="1:26" ht="26.1" customHeight="1" thickBot="1" x14ac:dyDescent="0.3">
      <c r="A8" s="206" t="s">
        <v>2</v>
      </c>
      <c r="B8" s="206"/>
      <c r="C8" s="19" t="s">
        <v>8</v>
      </c>
      <c r="D8" s="19" t="s">
        <v>8</v>
      </c>
      <c r="E8" s="19" t="s">
        <v>8</v>
      </c>
      <c r="F8" s="19" t="s">
        <v>8</v>
      </c>
      <c r="G8" s="19" t="s">
        <v>8</v>
      </c>
      <c r="I8" s="225" t="s">
        <v>88</v>
      </c>
      <c r="J8" s="225"/>
      <c r="K8" s="225"/>
      <c r="L8" s="225"/>
      <c r="M8" s="225"/>
      <c r="O8" s="225" t="s">
        <v>89</v>
      </c>
      <c r="P8" s="225"/>
      <c r="Q8" s="225"/>
      <c r="R8" s="225"/>
      <c r="S8" s="225"/>
      <c r="U8" s="225" t="s">
        <v>90</v>
      </c>
      <c r="V8" s="225"/>
      <c r="W8" s="225"/>
      <c r="X8" s="225"/>
      <c r="Y8" s="225"/>
    </row>
    <row r="9" spans="1:26" ht="20.100000000000001" customHeight="1" x14ac:dyDescent="0.25">
      <c r="A9" s="117">
        <v>1</v>
      </c>
      <c r="B9" s="21" t="s">
        <v>15</v>
      </c>
      <c r="C9" s="22">
        <f>SUM(C10:C15)</f>
        <v>2075.9541119999999</v>
      </c>
      <c r="D9" s="22">
        <f>SUM(D10:D15)</f>
        <v>2005.8285920000001</v>
      </c>
      <c r="E9" s="22">
        <f>SUM(E10:E15)</f>
        <v>2077.3598419999998</v>
      </c>
      <c r="F9" s="22">
        <f>SUM(F10:F15)</f>
        <v>2500.924422</v>
      </c>
      <c r="G9" s="8">
        <f>SUM(G10:G15)</f>
        <v>8660.066968000001</v>
      </c>
      <c r="I9" s="123" t="s">
        <v>91</v>
      </c>
      <c r="J9" s="123" t="s">
        <v>92</v>
      </c>
      <c r="K9" s="140" t="s">
        <v>93</v>
      </c>
      <c r="L9" s="140" t="s">
        <v>94</v>
      </c>
      <c r="M9" s="140" t="s">
        <v>62</v>
      </c>
      <c r="N9" s="123"/>
      <c r="O9" s="123" t="s">
        <v>67</v>
      </c>
      <c r="P9" s="123" t="s">
        <v>92</v>
      </c>
      <c r="Q9" s="123" t="s">
        <v>61</v>
      </c>
      <c r="R9" s="123" t="s">
        <v>94</v>
      </c>
      <c r="S9" s="140" t="s">
        <v>62</v>
      </c>
      <c r="T9" s="123"/>
      <c r="U9" s="123" t="s">
        <v>67</v>
      </c>
      <c r="V9" s="123" t="s">
        <v>92</v>
      </c>
      <c r="W9" s="123" t="s">
        <v>61</v>
      </c>
      <c r="X9" s="123" t="s">
        <v>94</v>
      </c>
      <c r="Y9" s="140" t="s">
        <v>62</v>
      </c>
    </row>
    <row r="10" spans="1:26" ht="20.100000000000001" customHeight="1" x14ac:dyDescent="0.3">
      <c r="A10" s="118"/>
      <c r="B10" s="10" t="s">
        <v>3</v>
      </c>
      <c r="C10" s="12">
        <f>SUM(I10*3)</f>
        <v>1267.29564</v>
      </c>
      <c r="D10" s="12">
        <f>SUM(I10*2+O10*1)</f>
        <v>1240.4542799999999</v>
      </c>
      <c r="E10" s="12">
        <f>SUM(O10*2)+U10*1</f>
        <v>1186.7715599999999</v>
      </c>
      <c r="F10" s="12">
        <f>SUM(U10*3)</f>
        <v>1186.7715599999999</v>
      </c>
      <c r="G10" s="77">
        <f>SUM(C10:F10)</f>
        <v>4881.2930400000005</v>
      </c>
      <c r="H10" s="141" t="s">
        <v>95</v>
      </c>
      <c r="I10" s="142">
        <f>SUM(M10*K10)</f>
        <v>422.43188000000004</v>
      </c>
      <c r="J10" s="142"/>
      <c r="K10" s="142">
        <v>0.13220000000000001</v>
      </c>
      <c r="L10" s="142"/>
      <c r="M10" s="143">
        <f>SUM(J1)</f>
        <v>3195.4</v>
      </c>
      <c r="N10" s="144"/>
      <c r="O10" s="142">
        <f>SUM(S10*Q10)</f>
        <v>395.59051999999997</v>
      </c>
      <c r="P10" s="142" t="s">
        <v>96</v>
      </c>
      <c r="Q10" s="142">
        <v>0.12379999999999999</v>
      </c>
      <c r="R10" s="142"/>
      <c r="S10" s="143">
        <f>SUM(J1)</f>
        <v>3195.4</v>
      </c>
      <c r="T10" s="144"/>
      <c r="U10" s="142">
        <f>SUM(Y10*W10)</f>
        <v>395.59051999999997</v>
      </c>
      <c r="V10" s="142" t="s">
        <v>96</v>
      </c>
      <c r="W10" s="142">
        <v>0.12379999999999999</v>
      </c>
      <c r="X10" s="142"/>
      <c r="Y10" s="143">
        <f>SUM(J1)</f>
        <v>3195.4</v>
      </c>
      <c r="Z10" s="226"/>
    </row>
    <row r="11" spans="1:26" ht="20.100000000000001" customHeight="1" x14ac:dyDescent="0.3">
      <c r="A11" s="118"/>
      <c r="B11" s="10" t="s">
        <v>3</v>
      </c>
      <c r="C11" s="12"/>
      <c r="D11" s="12"/>
      <c r="E11" s="12"/>
      <c r="F11" s="12"/>
      <c r="G11" s="77">
        <f t="shared" ref="G11:G14" si="0">SUM(C11:F11)</f>
        <v>0</v>
      </c>
      <c r="H11" s="141" t="s">
        <v>97</v>
      </c>
      <c r="I11" s="142"/>
      <c r="J11" s="142"/>
      <c r="K11" s="142"/>
      <c r="L11" s="142">
        <v>0.1419</v>
      </c>
      <c r="M11" s="142"/>
      <c r="N11" s="144"/>
      <c r="O11" s="142"/>
      <c r="P11" s="142"/>
      <c r="Q11" s="142"/>
      <c r="R11" s="142">
        <v>0.13350000000000001</v>
      </c>
      <c r="S11" s="142"/>
      <c r="T11" s="144"/>
      <c r="U11" s="142"/>
      <c r="V11" s="142"/>
      <c r="W11" s="142"/>
      <c r="X11" s="142">
        <v>0.13350000000000001</v>
      </c>
      <c r="Y11" s="142"/>
      <c r="Z11" s="226"/>
    </row>
    <row r="12" spans="1:26" ht="20.100000000000001" customHeight="1" x14ac:dyDescent="0.3">
      <c r="A12" s="118"/>
      <c r="B12" s="10" t="s">
        <v>60</v>
      </c>
      <c r="C12" s="12"/>
      <c r="D12" s="12"/>
      <c r="E12" s="12"/>
      <c r="F12" s="12"/>
      <c r="G12" s="77">
        <f t="shared" si="0"/>
        <v>0</v>
      </c>
      <c r="H12" s="141"/>
      <c r="I12" s="142"/>
      <c r="J12" s="142"/>
      <c r="K12" s="142"/>
      <c r="L12" s="142"/>
      <c r="M12" s="142"/>
      <c r="N12" s="144"/>
      <c r="O12" s="142"/>
      <c r="P12" s="142"/>
      <c r="Q12" s="142"/>
      <c r="R12" s="142"/>
      <c r="S12" s="142"/>
      <c r="T12" s="144"/>
      <c r="U12" s="142"/>
      <c r="V12" s="142"/>
      <c r="W12" s="142"/>
      <c r="X12" s="142"/>
      <c r="Y12" s="142"/>
      <c r="Z12" s="226"/>
    </row>
    <row r="13" spans="1:26" ht="20.100000000000001" customHeight="1" x14ac:dyDescent="0.3">
      <c r="A13" s="118"/>
      <c r="B13" s="10" t="s">
        <v>10</v>
      </c>
      <c r="C13" s="12">
        <f>SUM(I13*3)</f>
        <v>153.18</v>
      </c>
      <c r="D13" s="12">
        <f>SUM(I13*2+O13)</f>
        <v>151.11000000000001</v>
      </c>
      <c r="E13" s="12">
        <f>SUM(O13*2+U13)</f>
        <v>228.03278</v>
      </c>
      <c r="F13" s="12">
        <f>SUM(U13*3)</f>
        <v>390.15834000000007</v>
      </c>
      <c r="G13" s="77">
        <f>SUM(C13:F13)</f>
        <v>922.48112000000003</v>
      </c>
      <c r="H13" s="141" t="s">
        <v>98</v>
      </c>
      <c r="I13" s="142">
        <f>SUM(J5*1.5*K13)</f>
        <v>51.06</v>
      </c>
      <c r="J13" s="142" t="s">
        <v>96</v>
      </c>
      <c r="K13" s="142">
        <v>0.74</v>
      </c>
      <c r="L13" s="142"/>
      <c r="M13" s="142"/>
      <c r="N13" s="145"/>
      <c r="O13" s="142">
        <f>SUM(J5*1.5*Q13)</f>
        <v>48.989999999999995</v>
      </c>
      <c r="P13" s="142" t="s">
        <v>96</v>
      </c>
      <c r="Q13" s="142">
        <v>0.71</v>
      </c>
      <c r="R13" s="142"/>
      <c r="S13" s="142"/>
      <c r="T13" s="145"/>
      <c r="U13" s="142">
        <f>SUM(W13*Y13)</f>
        <v>130.05278000000001</v>
      </c>
      <c r="V13" s="142" t="s">
        <v>96</v>
      </c>
      <c r="W13" s="142">
        <v>4.07E-2</v>
      </c>
      <c r="X13" s="142"/>
      <c r="Y13" s="143">
        <f>SUM(J1)</f>
        <v>3195.4</v>
      </c>
      <c r="Z13" s="3"/>
    </row>
    <row r="14" spans="1:26" ht="20.100000000000001" customHeight="1" outlineLevel="1" x14ac:dyDescent="0.3">
      <c r="A14" s="24"/>
      <c r="B14" s="10" t="s">
        <v>11</v>
      </c>
      <c r="C14" s="12">
        <f>SUM(I14*3)</f>
        <v>326.37</v>
      </c>
      <c r="D14" s="12">
        <f>SUM(I14*2+O14)</f>
        <v>288.64999999999998</v>
      </c>
      <c r="E14" s="12">
        <f>SUM(O14*2+U14)</f>
        <v>343.92950999999999</v>
      </c>
      <c r="F14" s="12">
        <f>SUM(U14*3)</f>
        <v>605.36852999999996</v>
      </c>
      <c r="G14" s="77">
        <f t="shared" si="0"/>
        <v>1564.3180399999999</v>
      </c>
      <c r="H14" s="141" t="s">
        <v>11</v>
      </c>
      <c r="I14" s="142">
        <f>SUM((K14+L14/2))*J5</f>
        <v>108.79</v>
      </c>
      <c r="J14" s="142" t="s">
        <v>96</v>
      </c>
      <c r="K14" s="142">
        <v>1.5</v>
      </c>
      <c r="L14" s="142">
        <v>1.73</v>
      </c>
      <c r="M14" s="142"/>
      <c r="N14" s="145"/>
      <c r="O14" s="142">
        <f>SUM((Q14+R14))/2*J5</f>
        <v>71.069999999999993</v>
      </c>
      <c r="P14" s="142" t="s">
        <v>96</v>
      </c>
      <c r="Q14" s="142">
        <v>1.43</v>
      </c>
      <c r="R14" s="142">
        <v>1.66</v>
      </c>
      <c r="S14" s="142"/>
      <c r="T14" s="145"/>
      <c r="U14" s="142">
        <f>SUM((W14+X14))/2*Y14</f>
        <v>201.78951000000001</v>
      </c>
      <c r="V14" s="142" t="s">
        <v>96</v>
      </c>
      <c r="W14" s="142">
        <v>5.8400000000000001E-2</v>
      </c>
      <c r="X14" s="142">
        <v>6.7900000000000002E-2</v>
      </c>
      <c r="Y14" s="142">
        <f>SUM(J1)</f>
        <v>3195.4</v>
      </c>
      <c r="Z14" s="3"/>
    </row>
    <row r="15" spans="1:26" ht="20.100000000000001" customHeight="1" outlineLevel="1" thickBot="1" x14ac:dyDescent="0.35">
      <c r="A15" s="24"/>
      <c r="B15" s="10" t="s">
        <v>12</v>
      </c>
      <c r="C15" s="9">
        <f>SUM(I15*3)</f>
        <v>329.10847200000001</v>
      </c>
      <c r="D15" s="9">
        <f>SUM(I15*2+O15)</f>
        <v>325.61431199999998</v>
      </c>
      <c r="E15" s="9">
        <f>SUM(O15*2+U15)</f>
        <v>318.625992</v>
      </c>
      <c r="F15" s="9">
        <f>SUM(U15*3)</f>
        <v>318.625992</v>
      </c>
      <c r="G15" s="77">
        <f t="shared" ref="G15" si="1">SUM(C15:F15)</f>
        <v>1291.974768</v>
      </c>
      <c r="H15" s="141" t="s">
        <v>99</v>
      </c>
      <c r="I15" s="142">
        <f>SUM(J15*((K15+L15))/2)*M15</f>
        <v>109.70282399999999</v>
      </c>
      <c r="J15" s="142">
        <v>0.24</v>
      </c>
      <c r="K15" s="142">
        <v>9.2583000000000002</v>
      </c>
      <c r="L15" s="142">
        <v>10.615399999999999</v>
      </c>
      <c r="M15" s="142">
        <f>SUM(J5)</f>
        <v>46</v>
      </c>
      <c r="N15" s="145"/>
      <c r="O15" s="142">
        <f>SUM(P15*((Q15+R15)/2)*S15)</f>
        <v>106.208664</v>
      </c>
      <c r="P15" s="142">
        <v>0.24</v>
      </c>
      <c r="Q15" s="142">
        <v>8.9418000000000006</v>
      </c>
      <c r="R15" s="142">
        <v>10.2989</v>
      </c>
      <c r="S15" s="142">
        <f>SUM(J5)</f>
        <v>46</v>
      </c>
      <c r="T15" s="145"/>
      <c r="U15" s="142">
        <f>SUM(V15*((W15+X15)/2)*Y15)</f>
        <v>106.208664</v>
      </c>
      <c r="V15" s="142">
        <v>0.24</v>
      </c>
      <c r="W15" s="142">
        <v>8.9418000000000006</v>
      </c>
      <c r="X15" s="142">
        <v>10.2989</v>
      </c>
      <c r="Y15" s="142">
        <f>SUM(J5)</f>
        <v>46</v>
      </c>
    </row>
    <row r="16" spans="1:26" ht="20.100000000000001" customHeight="1" x14ac:dyDescent="0.3">
      <c r="A16" s="117">
        <v>2</v>
      </c>
      <c r="B16" s="28" t="s">
        <v>16</v>
      </c>
      <c r="C16" s="35">
        <f>SUM(C17:C19)</f>
        <v>310.5</v>
      </c>
      <c r="D16" s="35">
        <f t="shared" ref="D16:F16" si="2">SUM(D17:D19)</f>
        <v>310.5</v>
      </c>
      <c r="E16" s="35">
        <f t="shared" si="2"/>
        <v>324.77892000000003</v>
      </c>
      <c r="F16" s="35">
        <f t="shared" si="2"/>
        <v>353.33676000000003</v>
      </c>
      <c r="G16" s="35">
        <f>SUM(G17:G19)</f>
        <v>1299.1156800000001</v>
      </c>
      <c r="H16" s="141"/>
      <c r="I16" s="142"/>
      <c r="J16" s="142"/>
      <c r="K16" s="142"/>
      <c r="L16" s="142"/>
      <c r="M16" s="142"/>
      <c r="O16" s="142"/>
      <c r="P16" s="142"/>
      <c r="Q16" s="142"/>
      <c r="R16" s="142"/>
      <c r="S16" s="142"/>
      <c r="U16" s="142"/>
      <c r="V16" s="142"/>
      <c r="W16" s="142"/>
      <c r="X16" s="142"/>
      <c r="Y16" s="142"/>
    </row>
    <row r="17" spans="1:35" ht="39" customHeight="1" outlineLevel="1" x14ac:dyDescent="0.3">
      <c r="A17" s="29"/>
      <c r="B17" s="10" t="s">
        <v>25</v>
      </c>
      <c r="C17" s="12">
        <f>SUM(I17*3)</f>
        <v>146.96999999999997</v>
      </c>
      <c r="D17" s="12">
        <f>SUM(I17*2+O17)</f>
        <v>146.96999999999997</v>
      </c>
      <c r="E17" s="12">
        <f>SUM(O17*2+U17)</f>
        <v>161.24892</v>
      </c>
      <c r="F17" s="12">
        <f>SUM(U17*3)</f>
        <v>189.80676000000003</v>
      </c>
      <c r="G17" s="77">
        <f t="shared" ref="G17:G18" si="3">SUM(C17:F17)</f>
        <v>644.99567999999999</v>
      </c>
      <c r="H17" s="146" t="s">
        <v>100</v>
      </c>
      <c r="I17" s="142">
        <f>SUM(K17*M17)*1.5</f>
        <v>48.989999999999995</v>
      </c>
      <c r="J17" s="142" t="s">
        <v>101</v>
      </c>
      <c r="K17" s="142">
        <v>0.71</v>
      </c>
      <c r="L17" s="142"/>
      <c r="M17" s="142">
        <f>SUM(J5)</f>
        <v>46</v>
      </c>
      <c r="N17" s="145"/>
      <c r="O17" s="142">
        <f>SUM(Q17*S17*1.5)</f>
        <v>48.989999999999995</v>
      </c>
      <c r="P17" s="142" t="s">
        <v>101</v>
      </c>
      <c r="Q17" s="142">
        <v>0.71</v>
      </c>
      <c r="R17" s="142"/>
      <c r="S17" s="142">
        <f>SUM(J5)</f>
        <v>46</v>
      </c>
      <c r="T17" s="145"/>
      <c r="U17" s="142">
        <f>SUM(W17*Y17)</f>
        <v>63.268920000000008</v>
      </c>
      <c r="V17" s="142" t="s">
        <v>101</v>
      </c>
      <c r="W17" s="142">
        <v>1.9800000000000002E-2</v>
      </c>
      <c r="X17" s="142"/>
      <c r="Y17" s="142">
        <f>SUM(J1)</f>
        <v>3195.4</v>
      </c>
    </row>
    <row r="18" spans="1:35" ht="40.5" customHeight="1" outlineLevel="1" x14ac:dyDescent="0.3">
      <c r="A18" s="29"/>
      <c r="B18" s="10" t="s">
        <v>14</v>
      </c>
      <c r="C18" s="12">
        <f>SUM(I18*3)</f>
        <v>163.53000000000003</v>
      </c>
      <c r="D18" s="12">
        <f>SUM(I18*2+O18)</f>
        <v>163.53000000000003</v>
      </c>
      <c r="E18" s="12">
        <f>SUM(O18*2+U18)</f>
        <v>163.53000000000003</v>
      </c>
      <c r="F18" s="12">
        <f>SUM(U18*3)</f>
        <v>163.53000000000003</v>
      </c>
      <c r="G18" s="77">
        <f t="shared" si="3"/>
        <v>654.12000000000012</v>
      </c>
      <c r="H18" s="146" t="s">
        <v>102</v>
      </c>
      <c r="I18" s="142">
        <f>SUM(K18*M18)*1.5</f>
        <v>54.510000000000005</v>
      </c>
      <c r="J18" s="142" t="s">
        <v>101</v>
      </c>
      <c r="K18" s="142">
        <v>0.79</v>
      </c>
      <c r="L18" s="142"/>
      <c r="M18" s="142">
        <f>SUM(J5)</f>
        <v>46</v>
      </c>
      <c r="N18" s="145"/>
      <c r="O18" s="142">
        <f>SUM(Q18*S18)*1.5</f>
        <v>54.510000000000005</v>
      </c>
      <c r="P18" s="142" t="s">
        <v>101</v>
      </c>
      <c r="Q18" s="142">
        <v>0.79</v>
      </c>
      <c r="R18" s="142"/>
      <c r="S18" s="142">
        <f>SUM(J5)</f>
        <v>46</v>
      </c>
      <c r="T18" s="145"/>
      <c r="U18" s="142">
        <f>SUM(W18*Y18)*1.5</f>
        <v>54.510000000000005</v>
      </c>
      <c r="V18" s="142" t="s">
        <v>101</v>
      </c>
      <c r="W18" s="142">
        <v>0.79</v>
      </c>
      <c r="X18" s="142"/>
      <c r="Y18" s="142">
        <f>SUM(J5)</f>
        <v>46</v>
      </c>
    </row>
    <row r="19" spans="1:35" ht="40.5" customHeight="1" outlineLevel="1" thickBot="1" x14ac:dyDescent="0.3">
      <c r="A19" s="124"/>
      <c r="B19" s="125" t="s">
        <v>75</v>
      </c>
      <c r="C19" s="126"/>
      <c r="D19" s="126"/>
      <c r="E19" s="126"/>
      <c r="F19" s="126"/>
      <c r="G19" s="127"/>
      <c r="H19" s="141"/>
      <c r="I19" s="144"/>
      <c r="J19" s="144"/>
      <c r="K19" s="144"/>
      <c r="L19" s="144"/>
      <c r="M19" s="145"/>
      <c r="N19" s="145"/>
      <c r="O19" s="144"/>
      <c r="P19" s="144"/>
      <c r="Q19" s="144"/>
      <c r="R19" s="144"/>
      <c r="S19" s="145"/>
      <c r="T19" s="145"/>
      <c r="U19" s="144"/>
      <c r="V19" s="144"/>
      <c r="W19" s="144"/>
      <c r="X19" s="144"/>
      <c r="Y19" s="145"/>
    </row>
    <row r="20" spans="1:35" ht="20.100000000000001" customHeight="1" outlineLevel="1" thickBot="1" x14ac:dyDescent="0.3">
      <c r="A20" s="117">
        <v>3</v>
      </c>
      <c r="B20" s="28" t="s">
        <v>17</v>
      </c>
      <c r="C20" s="22">
        <f>SUM(C21:C22)</f>
        <v>404.34000000000003</v>
      </c>
      <c r="D20" s="22">
        <f t="shared" ref="D20:F20" si="4">SUM(D21:D22)</f>
        <v>404.34000000000003</v>
      </c>
      <c r="E20" s="22">
        <f t="shared" si="4"/>
        <v>404.34000000000003</v>
      </c>
      <c r="F20" s="22">
        <f t="shared" si="4"/>
        <v>404.34000000000003</v>
      </c>
      <c r="G20" s="8">
        <f>SUM(G21:G22)</f>
        <v>1617.3600000000001</v>
      </c>
      <c r="H20" s="141"/>
      <c r="I20" s="123" t="s">
        <v>66</v>
      </c>
      <c r="J20" s="123"/>
      <c r="K20" s="123" t="s">
        <v>61</v>
      </c>
      <c r="L20" s="123"/>
      <c r="M20" s="123" t="s">
        <v>67</v>
      </c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</row>
    <row r="21" spans="1:35" ht="20.100000000000001" customHeight="1" outlineLevel="1" x14ac:dyDescent="0.3">
      <c r="A21" s="29"/>
      <c r="B21" s="10" t="s">
        <v>45</v>
      </c>
      <c r="C21" s="11">
        <f>SUM(M21)*3</f>
        <v>128.34</v>
      </c>
      <c r="D21" s="11">
        <f>SUM(M21*3)</f>
        <v>128.34</v>
      </c>
      <c r="E21" s="11">
        <f>SUM(M21*3)</f>
        <v>128.34</v>
      </c>
      <c r="F21" s="11">
        <f>SUM(M21*3)</f>
        <v>128.34</v>
      </c>
      <c r="G21" s="78">
        <f>SUM(C21:F21)</f>
        <v>513.36</v>
      </c>
      <c r="H21" s="141" t="s">
        <v>103</v>
      </c>
      <c r="I21" s="109">
        <f>SUM(J5)</f>
        <v>46</v>
      </c>
      <c r="J21" s="110"/>
      <c r="K21" s="110">
        <v>0.93</v>
      </c>
      <c r="L21" s="110"/>
      <c r="M21" s="111">
        <f>I21*K21</f>
        <v>42.78</v>
      </c>
      <c r="N21" s="123"/>
      <c r="O21" s="109"/>
      <c r="P21" s="110"/>
      <c r="Q21" s="110"/>
      <c r="R21" s="110"/>
      <c r="S21" s="111"/>
      <c r="T21" s="123"/>
      <c r="U21" s="109"/>
      <c r="V21" s="110"/>
      <c r="W21" s="110"/>
      <c r="X21" s="110"/>
      <c r="Y21" s="111"/>
    </row>
    <row r="22" spans="1:35" ht="20.100000000000001" customHeight="1" outlineLevel="1" thickBot="1" x14ac:dyDescent="0.3">
      <c r="A22" s="27"/>
      <c r="B22" s="25" t="s">
        <v>18</v>
      </c>
      <c r="C22" s="26">
        <f>SUM(M22)*3</f>
        <v>276</v>
      </c>
      <c r="D22" s="26">
        <f>SUM(M22*3)</f>
        <v>276</v>
      </c>
      <c r="E22" s="26">
        <f>SUM(M22*3)</f>
        <v>276</v>
      </c>
      <c r="F22" s="26">
        <f>SUM(M22*3)</f>
        <v>276</v>
      </c>
      <c r="G22" s="79">
        <f>SUM(C22:F22)</f>
        <v>1104</v>
      </c>
      <c r="H22" s="146" t="s">
        <v>104</v>
      </c>
      <c r="I22" s="112">
        <f>SUM(J5)</f>
        <v>46</v>
      </c>
      <c r="J22" s="113"/>
      <c r="K22" s="113">
        <v>2</v>
      </c>
      <c r="L22" s="113"/>
      <c r="M22" s="114">
        <f>I22*K22</f>
        <v>92</v>
      </c>
      <c r="N22" s="123"/>
      <c r="O22" s="112"/>
      <c r="P22" s="113"/>
      <c r="Q22" s="113"/>
      <c r="R22" s="113"/>
      <c r="S22" s="114"/>
      <c r="T22" s="123"/>
      <c r="U22" s="112"/>
      <c r="V22" s="113"/>
      <c r="W22" s="113"/>
      <c r="X22" s="113"/>
      <c r="Y22" s="114"/>
    </row>
    <row r="23" spans="1:35" ht="20.100000000000001" customHeight="1" thickBot="1" x14ac:dyDescent="0.3">
      <c r="A23" s="31" t="s">
        <v>9</v>
      </c>
      <c r="B23" s="28" t="s">
        <v>27</v>
      </c>
      <c r="C23" s="22">
        <f>SUM(C24:C25)</f>
        <v>6997.9260000000004</v>
      </c>
      <c r="D23" s="22">
        <f t="shared" ref="D23:F23" si="5">SUM(D24:D25)</f>
        <v>6997.9260000000004</v>
      </c>
      <c r="E23" s="22">
        <f t="shared" si="5"/>
        <v>6997.9260000000004</v>
      </c>
      <c r="F23" s="22">
        <f t="shared" si="5"/>
        <v>6997.9260000000004</v>
      </c>
      <c r="G23" s="8">
        <f>SUM(G24:G25)</f>
        <v>27991.704000000002</v>
      </c>
      <c r="H23" s="147"/>
      <c r="I23" s="123" t="s">
        <v>68</v>
      </c>
      <c r="J23" s="123"/>
      <c r="K23" s="123" t="s">
        <v>61</v>
      </c>
      <c r="L23" s="123"/>
      <c r="M23" s="123" t="s">
        <v>67</v>
      </c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</row>
    <row r="24" spans="1:35" ht="20.100000000000001" customHeight="1" outlineLevel="1" thickBot="1" x14ac:dyDescent="0.3">
      <c r="A24" s="32"/>
      <c r="B24" s="10" t="s">
        <v>26</v>
      </c>
      <c r="C24" s="9">
        <f>SUM(M24)*3</f>
        <v>5943.4440000000004</v>
      </c>
      <c r="D24" s="9">
        <f>SUM(M24*3)</f>
        <v>5943.4440000000004</v>
      </c>
      <c r="E24" s="9">
        <f>SUM(M24*3)</f>
        <v>5943.4440000000004</v>
      </c>
      <c r="F24" s="9">
        <f>SUM(M24*3)</f>
        <v>5943.4440000000004</v>
      </c>
      <c r="G24" s="78">
        <f t="shared" ref="G24:G29" si="6">SUM(C24:F24)</f>
        <v>23773.776000000002</v>
      </c>
      <c r="H24" s="148" t="s">
        <v>105</v>
      </c>
      <c r="I24" s="103">
        <f>SUM(J1)</f>
        <v>3195.4</v>
      </c>
      <c r="J24" s="104"/>
      <c r="K24" s="110">
        <v>0.62</v>
      </c>
      <c r="L24" s="110"/>
      <c r="M24" s="105">
        <f>SUM(I24*K24)</f>
        <v>1981.1480000000001</v>
      </c>
      <c r="N24" s="144"/>
      <c r="O24" s="103"/>
      <c r="P24" s="104"/>
      <c r="Q24" s="110"/>
      <c r="R24" s="110"/>
      <c r="S24" s="105"/>
      <c r="T24" s="144"/>
      <c r="U24" s="103"/>
      <c r="V24" s="104"/>
      <c r="W24" s="110"/>
      <c r="X24" s="110"/>
      <c r="Y24" s="105"/>
    </row>
    <row r="25" spans="1:35" ht="20.100000000000001" customHeight="1" outlineLevel="1" thickBot="1" x14ac:dyDescent="0.3">
      <c r="A25" s="33"/>
      <c r="B25" s="25" t="s">
        <v>57</v>
      </c>
      <c r="C25" s="26">
        <f>SUM(M25)*3</f>
        <v>1054.482</v>
      </c>
      <c r="D25" s="26">
        <f>SUM(M25*3)</f>
        <v>1054.482</v>
      </c>
      <c r="E25" s="26">
        <f>SUM(M25*3)</f>
        <v>1054.482</v>
      </c>
      <c r="F25" s="26">
        <f>SUM(M25*3)</f>
        <v>1054.482</v>
      </c>
      <c r="G25" s="79">
        <f t="shared" si="6"/>
        <v>4217.9279999999999</v>
      </c>
      <c r="H25" s="148" t="s">
        <v>106</v>
      </c>
      <c r="I25" s="106">
        <f>SUM(J1)</f>
        <v>3195.4</v>
      </c>
      <c r="J25" s="108"/>
      <c r="K25" s="113">
        <v>0.11</v>
      </c>
      <c r="L25" s="113"/>
      <c r="M25" s="105">
        <f>SUM(I25*K25)</f>
        <v>351.49400000000003</v>
      </c>
      <c r="N25" s="144"/>
      <c r="O25" s="106"/>
      <c r="P25" s="108"/>
      <c r="Q25" s="113"/>
      <c r="R25" s="113"/>
      <c r="S25" s="107"/>
      <c r="T25" s="144"/>
      <c r="U25" s="106"/>
      <c r="V25" s="108"/>
      <c r="W25" s="113"/>
      <c r="X25" s="113"/>
      <c r="Y25" s="107"/>
    </row>
    <row r="26" spans="1:35" ht="20.100000000000001" customHeight="1" outlineLevel="1" x14ac:dyDescent="0.25">
      <c r="A26" s="34" t="s">
        <v>7</v>
      </c>
      <c r="B26" s="36" t="s">
        <v>4</v>
      </c>
      <c r="C26" s="30">
        <f>SUM(C27:C28)</f>
        <v>0</v>
      </c>
      <c r="D26" s="30">
        <f t="shared" ref="D26:F26" si="7">SUM(D27:D28)</f>
        <v>0</v>
      </c>
      <c r="E26" s="30">
        <f t="shared" si="7"/>
        <v>0</v>
      </c>
      <c r="F26" s="30">
        <f t="shared" si="7"/>
        <v>0</v>
      </c>
      <c r="G26" s="37">
        <f t="shared" si="6"/>
        <v>0</v>
      </c>
    </row>
    <row r="27" spans="1:35" s="1" customFormat="1" ht="20.100000000000001" customHeight="1" outlineLevel="1" x14ac:dyDescent="0.25">
      <c r="A27" s="32"/>
      <c r="B27" s="10" t="s">
        <v>5</v>
      </c>
      <c r="C27" s="9"/>
      <c r="D27" s="9"/>
      <c r="E27" s="9"/>
      <c r="F27" s="9"/>
      <c r="G27" s="78">
        <f t="shared" si="6"/>
        <v>0</v>
      </c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</row>
    <row r="28" spans="1:35" s="1" customFormat="1" ht="20.100000000000001" customHeight="1" outlineLevel="1" thickBot="1" x14ac:dyDescent="0.3">
      <c r="A28" s="33"/>
      <c r="B28" s="25" t="s">
        <v>24</v>
      </c>
      <c r="C28" s="26"/>
      <c r="D28" s="26"/>
      <c r="E28" s="26"/>
      <c r="F28" s="26"/>
      <c r="G28" s="79">
        <f t="shared" si="6"/>
        <v>0</v>
      </c>
      <c r="H28" s="227"/>
      <c r="I28" s="228"/>
      <c r="J28" s="228"/>
      <c r="K28" s="228"/>
      <c r="L28" s="228"/>
      <c r="M28" s="228"/>
      <c r="N28" s="228"/>
      <c r="O28" s="228"/>
      <c r="P28" s="228"/>
      <c r="Q28" s="228"/>
      <c r="R28" s="228"/>
      <c r="S28" s="228"/>
      <c r="T28" s="228"/>
      <c r="U28" s="228"/>
      <c r="V28" s="228"/>
      <c r="W28" s="228"/>
      <c r="X28" s="228"/>
      <c r="Y28" s="228"/>
      <c r="Z28" s="228"/>
      <c r="AA28" s="228"/>
      <c r="AB28" s="149"/>
      <c r="AC28" s="149"/>
      <c r="AD28" s="149"/>
      <c r="AE28" s="149"/>
      <c r="AF28" s="149"/>
      <c r="AG28" s="149"/>
      <c r="AH28" s="149"/>
      <c r="AI28" s="149"/>
    </row>
    <row r="29" spans="1:35" ht="26.1" customHeight="1" outlineLevel="1" thickBot="1" x14ac:dyDescent="0.3">
      <c r="A29" s="213" t="s">
        <v>6</v>
      </c>
      <c r="B29" s="214"/>
      <c r="C29" s="52">
        <f>C9+C16+C20+C23+C26</f>
        <v>9788.7201120000009</v>
      </c>
      <c r="D29" s="52">
        <f>D9+D16+D20+D23+D26</f>
        <v>9718.5945920000013</v>
      </c>
      <c r="E29" s="52">
        <f>E9+E16+E20+E23+E26</f>
        <v>9804.4047620000001</v>
      </c>
      <c r="F29" s="52">
        <f>F9+F16+F20+F23+F26</f>
        <v>10256.527182000002</v>
      </c>
      <c r="G29" s="53">
        <f t="shared" si="6"/>
        <v>39568.246648</v>
      </c>
    </row>
    <row r="30" spans="1:35" ht="26.1" customHeight="1" thickBot="1" x14ac:dyDescent="0.3">
      <c r="A30" s="211" t="s">
        <v>39</v>
      </c>
      <c r="B30" s="212"/>
      <c r="C30" s="54" t="s">
        <v>8</v>
      </c>
      <c r="D30" s="54" t="s">
        <v>8</v>
      </c>
      <c r="E30" s="54" t="s">
        <v>8</v>
      </c>
      <c r="F30" s="54" t="s">
        <v>8</v>
      </c>
      <c r="G30" s="55" t="s">
        <v>8</v>
      </c>
    </row>
    <row r="31" spans="1:35" ht="20.100000000000001" customHeight="1" x14ac:dyDescent="0.25">
      <c r="A31" s="117">
        <v>1</v>
      </c>
      <c r="B31" s="21" t="s">
        <v>15</v>
      </c>
      <c r="C31" s="64">
        <f>SUM(C32:C35)</f>
        <v>1802.8121773700414</v>
      </c>
      <c r="D31" s="64">
        <f>SUM(D32:D35)</f>
        <v>1773.9008173700413</v>
      </c>
      <c r="E31" s="64">
        <f>SUM(E32:E35)</f>
        <v>1797.1408773700412</v>
      </c>
      <c r="F31" s="64">
        <f>SUM(F32:F35)</f>
        <v>1959.2664373700413</v>
      </c>
      <c r="G31" s="64">
        <f>SUM(G32:G35)</f>
        <v>7333.1203094801658</v>
      </c>
    </row>
    <row r="32" spans="1:35" ht="20.100000000000001" customHeight="1" x14ac:dyDescent="0.25">
      <c r="A32" s="46"/>
      <c r="B32" s="10" t="s">
        <v>3</v>
      </c>
      <c r="C32" s="42">
        <f>C10</f>
        <v>1267.29564</v>
      </c>
      <c r="D32" s="42">
        <f>D10</f>
        <v>1240.4542799999999</v>
      </c>
      <c r="E32" s="42">
        <f>E10</f>
        <v>1186.7715599999999</v>
      </c>
      <c r="F32" s="42">
        <f>F10</f>
        <v>1186.7715599999999</v>
      </c>
      <c r="G32" s="74">
        <f>SUM(C32:F32)</f>
        <v>4881.2930400000005</v>
      </c>
    </row>
    <row r="33" spans="1:7" ht="20.100000000000001" customHeight="1" x14ac:dyDescent="0.25">
      <c r="A33" s="46"/>
      <c r="B33" s="10" t="s">
        <v>10</v>
      </c>
      <c r="C33" s="42">
        <f t="shared" ref="C33:F33" si="8">C13</f>
        <v>153.18</v>
      </c>
      <c r="D33" s="42">
        <f t="shared" si="8"/>
        <v>151.11000000000001</v>
      </c>
      <c r="E33" s="42">
        <f t="shared" si="8"/>
        <v>228.03278</v>
      </c>
      <c r="F33" s="42">
        <f t="shared" si="8"/>
        <v>390.15834000000007</v>
      </c>
      <c r="G33" s="74">
        <f>SUM(C33:F33)</f>
        <v>922.48112000000003</v>
      </c>
    </row>
    <row r="34" spans="1:7" ht="57.75" customHeight="1" x14ac:dyDescent="0.25">
      <c r="A34" s="46"/>
      <c r="B34" s="10" t="s">
        <v>46</v>
      </c>
      <c r="C34" s="42">
        <f>[1]Лист15!D6</f>
        <v>382.33653737004119</v>
      </c>
      <c r="D34" s="42">
        <f>C34</f>
        <v>382.33653737004119</v>
      </c>
      <c r="E34" s="42">
        <f>C34</f>
        <v>382.33653737004119</v>
      </c>
      <c r="F34" s="42">
        <f>C34</f>
        <v>382.33653737004119</v>
      </c>
      <c r="G34" s="74">
        <f>SUM(C34:F34)</f>
        <v>1529.3461494801647</v>
      </c>
    </row>
    <row r="35" spans="1:7" ht="20.100000000000001" customHeight="1" thickBot="1" x14ac:dyDescent="0.3">
      <c r="A35" s="46"/>
      <c r="B35" s="10" t="s">
        <v>12</v>
      </c>
      <c r="C35" s="42"/>
      <c r="D35" s="42"/>
      <c r="E35" s="42"/>
      <c r="F35" s="42"/>
      <c r="G35" s="74">
        <f>SUM(C35:F35)</f>
        <v>0</v>
      </c>
    </row>
    <row r="36" spans="1:7" ht="20.100000000000001" customHeight="1" x14ac:dyDescent="0.25">
      <c r="A36" s="117">
        <v>2</v>
      </c>
      <c r="B36" s="28" t="s">
        <v>16</v>
      </c>
      <c r="C36" s="64">
        <f>SUM(C37:C38)</f>
        <v>0</v>
      </c>
      <c r="D36" s="64">
        <f t="shared" ref="D36:F36" si="9">SUM(D37:D38)</f>
        <v>0</v>
      </c>
      <c r="E36" s="64">
        <f t="shared" si="9"/>
        <v>0</v>
      </c>
      <c r="F36" s="64">
        <f t="shared" si="9"/>
        <v>0</v>
      </c>
      <c r="G36" s="64">
        <f t="shared" ref="G36" si="10">SUM(G37:G38)</f>
        <v>0</v>
      </c>
    </row>
    <row r="37" spans="1:7" ht="39.950000000000003" customHeight="1" x14ac:dyDescent="0.25">
      <c r="A37" s="29"/>
      <c r="B37" s="10" t="s">
        <v>25</v>
      </c>
      <c r="C37" s="42"/>
      <c r="D37" s="42"/>
      <c r="E37" s="42"/>
      <c r="F37" s="42"/>
      <c r="G37" s="74">
        <f>SUM(C37:F37)</f>
        <v>0</v>
      </c>
    </row>
    <row r="38" spans="1:7" ht="39.950000000000003" customHeight="1" thickBot="1" x14ac:dyDescent="0.3">
      <c r="A38" s="27"/>
      <c r="B38" s="25" t="s">
        <v>14</v>
      </c>
      <c r="C38" s="42"/>
      <c r="D38" s="42"/>
      <c r="E38" s="42"/>
      <c r="F38" s="42"/>
      <c r="G38" s="74">
        <f>SUM(C38:F38)</f>
        <v>0</v>
      </c>
    </row>
    <row r="39" spans="1:7" ht="20.100000000000001" customHeight="1" x14ac:dyDescent="0.25">
      <c r="A39" s="117" t="s">
        <v>33</v>
      </c>
      <c r="B39" s="28" t="s">
        <v>17</v>
      </c>
      <c r="C39" s="64">
        <f>SUM(C40:C41)</f>
        <v>404.34000000000003</v>
      </c>
      <c r="D39" s="64">
        <f t="shared" ref="D39:F39" si="11">SUM(D40:D41)</f>
        <v>404.34000000000003</v>
      </c>
      <c r="E39" s="64">
        <f t="shared" si="11"/>
        <v>404.34000000000003</v>
      </c>
      <c r="F39" s="64">
        <f t="shared" si="11"/>
        <v>404.34000000000003</v>
      </c>
      <c r="G39" s="64">
        <f t="shared" ref="G39" si="12">SUM(G40:G41)</f>
        <v>1617.3600000000001</v>
      </c>
    </row>
    <row r="40" spans="1:7" ht="20.100000000000001" customHeight="1" x14ac:dyDescent="0.25">
      <c r="A40" s="46"/>
      <c r="B40" s="10" t="s">
        <v>45</v>
      </c>
      <c r="C40" s="42">
        <f t="shared" ref="C40:F41" si="13">C21</f>
        <v>128.34</v>
      </c>
      <c r="D40" s="42">
        <f t="shared" si="13"/>
        <v>128.34</v>
      </c>
      <c r="E40" s="42">
        <f t="shared" si="13"/>
        <v>128.34</v>
      </c>
      <c r="F40" s="42">
        <f t="shared" si="13"/>
        <v>128.34</v>
      </c>
      <c r="G40" s="74">
        <f>SUM(C40:F40)</f>
        <v>513.36</v>
      </c>
    </row>
    <row r="41" spans="1:7" s="4" customFormat="1" ht="20.100000000000001" customHeight="1" thickBot="1" x14ac:dyDescent="0.3">
      <c r="A41" s="56"/>
      <c r="B41" s="25" t="s">
        <v>18</v>
      </c>
      <c r="C41" s="57">
        <f t="shared" si="13"/>
        <v>276</v>
      </c>
      <c r="D41" s="57">
        <f t="shared" si="13"/>
        <v>276</v>
      </c>
      <c r="E41" s="57">
        <f t="shared" si="13"/>
        <v>276</v>
      </c>
      <c r="F41" s="57">
        <f t="shared" si="13"/>
        <v>276</v>
      </c>
      <c r="G41" s="74">
        <f>SUM(C41:F41)</f>
        <v>1104</v>
      </c>
    </row>
    <row r="42" spans="1:7" ht="20.100000000000001" customHeight="1" x14ac:dyDescent="0.25">
      <c r="A42" s="117" t="s">
        <v>9</v>
      </c>
      <c r="B42" s="28" t="s">
        <v>38</v>
      </c>
      <c r="C42" s="64">
        <f>SUM(C43:C58)</f>
        <v>5943.4440000000004</v>
      </c>
      <c r="D42" s="64">
        <f>SUM(D43:D58)</f>
        <v>5943.4440000000004</v>
      </c>
      <c r="E42" s="64">
        <f>SUM(E43:E58)</f>
        <v>5943.4440000000004</v>
      </c>
      <c r="F42" s="64">
        <f>SUM(F43:F58)</f>
        <v>5943.4440000000004</v>
      </c>
      <c r="G42" s="66">
        <f t="shared" ref="G42:G51" si="14">SUM(C42:F42)</f>
        <v>23773.776000000002</v>
      </c>
    </row>
    <row r="43" spans="1:7" ht="20.100000000000001" customHeight="1" x14ac:dyDescent="0.25">
      <c r="A43" s="58"/>
      <c r="B43" s="49" t="s">
        <v>43</v>
      </c>
      <c r="C43" s="42">
        <f>C24</f>
        <v>5943.4440000000004</v>
      </c>
      <c r="D43" s="42">
        <f>D24</f>
        <v>5943.4440000000004</v>
      </c>
      <c r="E43" s="42">
        <f>E24</f>
        <v>5943.4440000000004</v>
      </c>
      <c r="F43" s="42">
        <f>F24</f>
        <v>5943.4440000000004</v>
      </c>
      <c r="G43" s="74">
        <f t="shared" si="14"/>
        <v>23773.776000000002</v>
      </c>
    </row>
    <row r="44" spans="1:7" ht="20.100000000000001" customHeight="1" x14ac:dyDescent="0.25">
      <c r="A44" s="47"/>
      <c r="B44" s="49" t="s">
        <v>28</v>
      </c>
      <c r="C44" s="42"/>
      <c r="D44" s="42"/>
      <c r="E44" s="42"/>
      <c r="F44" s="42"/>
      <c r="G44" s="74">
        <f>SUM(C44:F44)</f>
        <v>0</v>
      </c>
    </row>
    <row r="45" spans="1:7" ht="20.100000000000001" customHeight="1" x14ac:dyDescent="0.25">
      <c r="A45" s="47"/>
      <c r="B45" s="49" t="s">
        <v>36</v>
      </c>
      <c r="C45" s="42"/>
      <c r="D45" s="42"/>
      <c r="E45" s="42"/>
      <c r="F45" s="42"/>
      <c r="G45" s="74">
        <f t="shared" si="14"/>
        <v>0</v>
      </c>
    </row>
    <row r="46" spans="1:7" ht="20.100000000000001" customHeight="1" x14ac:dyDescent="0.25">
      <c r="A46" s="47"/>
      <c r="B46" s="49" t="s">
        <v>34</v>
      </c>
      <c r="C46" s="42"/>
      <c r="D46" s="42"/>
      <c r="E46" s="42"/>
      <c r="F46" s="42"/>
      <c r="G46" s="74">
        <f t="shared" si="14"/>
        <v>0</v>
      </c>
    </row>
    <row r="47" spans="1:7" ht="20.100000000000001" customHeight="1" x14ac:dyDescent="0.25">
      <c r="A47" s="46"/>
      <c r="B47" s="49" t="s">
        <v>35</v>
      </c>
      <c r="C47" s="42"/>
      <c r="D47" s="42"/>
      <c r="E47" s="42"/>
      <c r="F47" s="42"/>
      <c r="G47" s="74">
        <f t="shared" si="14"/>
        <v>0</v>
      </c>
    </row>
    <row r="48" spans="1:7" ht="20.100000000000001" customHeight="1" x14ac:dyDescent="0.25">
      <c r="A48" s="58"/>
      <c r="B48" s="10" t="s">
        <v>59</v>
      </c>
      <c r="C48" s="42"/>
      <c r="D48" s="42"/>
      <c r="E48" s="42"/>
      <c r="F48" s="42"/>
      <c r="G48" s="74">
        <f t="shared" si="14"/>
        <v>0</v>
      </c>
    </row>
    <row r="49" spans="1:14" ht="39" customHeight="1" x14ac:dyDescent="0.25">
      <c r="A49" s="58"/>
      <c r="B49" s="49" t="s">
        <v>37</v>
      </c>
      <c r="C49" s="42"/>
      <c r="D49" s="42"/>
      <c r="E49" s="42"/>
      <c r="F49" s="42"/>
      <c r="G49" s="74">
        <f t="shared" si="14"/>
        <v>0</v>
      </c>
      <c r="H49" s="65"/>
    </row>
    <row r="50" spans="1:14" ht="20.100000000000001" customHeight="1" x14ac:dyDescent="0.25">
      <c r="A50" s="46"/>
      <c r="B50" s="49" t="s">
        <v>29</v>
      </c>
      <c r="C50" s="42"/>
      <c r="D50" s="42"/>
      <c r="E50" s="42"/>
      <c r="F50" s="42"/>
      <c r="G50" s="74">
        <f t="shared" si="14"/>
        <v>0</v>
      </c>
    </row>
    <row r="51" spans="1:14" s="4" customFormat="1" ht="20.100000000000001" customHeight="1" x14ac:dyDescent="0.25">
      <c r="A51" s="48"/>
      <c r="B51" s="49" t="s">
        <v>40</v>
      </c>
      <c r="C51" s="42"/>
      <c r="D51" s="42"/>
      <c r="E51" s="42"/>
      <c r="F51" s="42"/>
      <c r="G51" s="74">
        <f t="shared" si="14"/>
        <v>0</v>
      </c>
    </row>
    <row r="52" spans="1:14" ht="20.100000000000001" customHeight="1" x14ac:dyDescent="0.25">
      <c r="A52" s="59"/>
      <c r="B52" s="49" t="s">
        <v>41</v>
      </c>
      <c r="C52" s="68"/>
      <c r="D52" s="68"/>
      <c r="E52" s="68"/>
      <c r="F52" s="68"/>
      <c r="G52" s="75">
        <f t="shared" ref="G52:G57" si="15">SUM(C52:F52)</f>
        <v>0</v>
      </c>
      <c r="H52" s="4"/>
      <c r="I52" s="4"/>
      <c r="J52" s="4"/>
      <c r="K52" s="4"/>
      <c r="L52" s="4"/>
      <c r="M52" s="4"/>
      <c r="N52" s="4"/>
    </row>
    <row r="53" spans="1:14" ht="20.100000000000001" customHeight="1" x14ac:dyDescent="0.25">
      <c r="A53" s="61"/>
      <c r="B53" s="51" t="s">
        <v>44</v>
      </c>
      <c r="C53" s="42"/>
      <c r="D53" s="42"/>
      <c r="E53" s="42"/>
      <c r="F53" s="42"/>
      <c r="G53" s="74">
        <f t="shared" si="15"/>
        <v>0</v>
      </c>
    </row>
    <row r="54" spans="1:14" ht="20.100000000000001" customHeight="1" x14ac:dyDescent="0.25">
      <c r="A54" s="61"/>
      <c r="B54" s="49" t="s">
        <v>30</v>
      </c>
      <c r="C54" s="42"/>
      <c r="D54" s="42"/>
      <c r="E54" s="42"/>
      <c r="F54" s="42"/>
      <c r="G54" s="74">
        <f t="shared" si="15"/>
        <v>0</v>
      </c>
    </row>
    <row r="55" spans="1:14" ht="41.25" customHeight="1" x14ac:dyDescent="0.25">
      <c r="A55" s="61"/>
      <c r="B55" s="49" t="s">
        <v>31</v>
      </c>
      <c r="C55" s="42"/>
      <c r="D55" s="42"/>
      <c r="E55" s="42"/>
      <c r="F55" s="42"/>
      <c r="G55" s="74">
        <f t="shared" si="15"/>
        <v>0</v>
      </c>
    </row>
    <row r="56" spans="1:14" ht="39" customHeight="1" x14ac:dyDescent="0.25">
      <c r="A56" s="62"/>
      <c r="B56" s="81" t="s">
        <v>50</v>
      </c>
      <c r="C56" s="68"/>
      <c r="D56" s="68"/>
      <c r="E56" s="68"/>
      <c r="F56" s="68"/>
      <c r="G56" s="82">
        <f t="shared" si="15"/>
        <v>0</v>
      </c>
    </row>
    <row r="57" spans="1:14" ht="60" customHeight="1" x14ac:dyDescent="0.25">
      <c r="A57" s="60"/>
      <c r="B57" s="51" t="s">
        <v>53</v>
      </c>
      <c r="C57" s="68"/>
      <c r="D57" s="68"/>
      <c r="E57" s="68"/>
      <c r="F57" s="68"/>
      <c r="G57" s="82">
        <f t="shared" si="15"/>
        <v>0</v>
      </c>
    </row>
    <row r="58" spans="1:14" ht="20.100000000000001" customHeight="1" thickBot="1" x14ac:dyDescent="0.3">
      <c r="A58" s="63"/>
      <c r="B58" s="50" t="s">
        <v>32</v>
      </c>
      <c r="C58" s="57"/>
      <c r="D58" s="57"/>
      <c r="E58" s="57"/>
      <c r="F58" s="57"/>
      <c r="G58" s="76">
        <f>SUM(C58:F58)</f>
        <v>0</v>
      </c>
      <c r="I58" s="2">
        <f>G26/12*3</f>
        <v>0</v>
      </c>
      <c r="J58" s="2">
        <f>(I58+H58)*5/100</f>
        <v>0</v>
      </c>
    </row>
    <row r="59" spans="1:14" ht="20.100000000000001" customHeight="1" outlineLevel="1" thickBot="1" x14ac:dyDescent="0.3">
      <c r="A59" s="229" t="s">
        <v>42</v>
      </c>
      <c r="B59" s="230"/>
      <c r="C59" s="38">
        <f>C31+C36+C39+C42</f>
        <v>8150.5961773700419</v>
      </c>
      <c r="D59" s="38">
        <f>D31+D36+D39+D42</f>
        <v>8121.6848173700419</v>
      </c>
      <c r="E59" s="38">
        <f>E31+E36+E39+E42</f>
        <v>8144.9248773700419</v>
      </c>
      <c r="F59" s="38">
        <f>F31+F36+F39+F42</f>
        <v>8307.0504373700423</v>
      </c>
      <c r="G59" s="39">
        <f>G31+G36+G39+G42</f>
        <v>32724.256309480166</v>
      </c>
    </row>
    <row r="60" spans="1:14" ht="26.1" customHeight="1" outlineLevel="1" x14ac:dyDescent="0.25">
      <c r="A60" s="115"/>
      <c r="B60" s="72"/>
      <c r="C60" s="73">
        <f>C29-C59</f>
        <v>1638.123934629959</v>
      </c>
      <c r="D60" s="73">
        <f>D29-D59</f>
        <v>1596.9097746299594</v>
      </c>
      <c r="E60" s="73">
        <f>E29-E59</f>
        <v>1659.4798846299582</v>
      </c>
      <c r="F60" s="73">
        <f>F29-F59</f>
        <v>1949.4767446299593</v>
      </c>
      <c r="G60" s="73">
        <f>G29-G59</f>
        <v>6843.990338519834</v>
      </c>
    </row>
  </sheetData>
  <dataConsolidate/>
  <mergeCells count="19">
    <mergeCell ref="A8:B8"/>
    <mergeCell ref="I8:M8"/>
    <mergeCell ref="O8:S8"/>
    <mergeCell ref="U8:Y8"/>
    <mergeCell ref="A1:C1"/>
    <mergeCell ref="A2:G2"/>
    <mergeCell ref="A3:G3"/>
    <mergeCell ref="A4:A6"/>
    <mergeCell ref="B4:B6"/>
    <mergeCell ref="C5:C6"/>
    <mergeCell ref="D5:D6"/>
    <mergeCell ref="E5:E6"/>
    <mergeCell ref="F5:F6"/>
    <mergeCell ref="G5:G6"/>
    <mergeCell ref="Z10:Z12"/>
    <mergeCell ref="A29:B29"/>
    <mergeCell ref="A30:B30"/>
    <mergeCell ref="A59:B59"/>
    <mergeCell ref="H28:AA28"/>
  </mergeCells>
  <pageMargins left="0.70866141732283472" right="0.70866141732283472" top="0.74803149606299213" bottom="0.74803149606299213" header="0.31496062992125984" footer="0.31496062992125984"/>
  <pageSetup paperSize="9" scale="4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6DABD-6FB5-4A22-A240-A7F01FDA32EC}">
  <sheetPr>
    <tabColor rgb="FFFFC000"/>
    <pageSetUpPr fitToPage="1"/>
  </sheetPr>
  <dimension ref="A1:AI60"/>
  <sheetViews>
    <sheetView showGridLines="0" view="pageBreakPreview" topLeftCell="A4" zoomScale="60" zoomScaleNormal="70" workbookViewId="0">
      <selection activeCell="K21" sqref="K21"/>
    </sheetView>
  </sheetViews>
  <sheetFormatPr defaultColWidth="10.140625" defaultRowHeight="18.75" outlineLevelRow="1" x14ac:dyDescent="0.25"/>
  <cols>
    <col min="1" max="1" width="8" style="2" customWidth="1"/>
    <col min="2" max="2" width="84.7109375" style="2" customWidth="1"/>
    <col min="3" max="7" width="16.7109375" style="3" customWidth="1"/>
    <col min="8" max="8" width="10.28515625" style="2" bestFit="1" customWidth="1"/>
    <col min="9" max="9" width="45.7109375" style="2" bestFit="1" customWidth="1"/>
    <col min="10" max="10" width="11.7109375" style="2" bestFit="1" customWidth="1"/>
    <col min="11" max="12" width="29.85546875" style="2" bestFit="1" customWidth="1"/>
    <col min="13" max="13" width="10.42578125" style="2" bestFit="1" customWidth="1"/>
    <col min="14" max="16384" width="10.140625" style="2"/>
  </cols>
  <sheetData>
    <row r="1" spans="1:26" x14ac:dyDescent="0.25">
      <c r="A1" s="200"/>
      <c r="B1" s="200"/>
      <c r="C1" s="200"/>
      <c r="D1" s="120"/>
      <c r="E1" s="120"/>
      <c r="F1" s="120"/>
      <c r="G1" s="120"/>
      <c r="I1" s="102" t="s">
        <v>63</v>
      </c>
      <c r="J1" s="101">
        <v>3671.4</v>
      </c>
    </row>
    <row r="2" spans="1:26" x14ac:dyDescent="0.25">
      <c r="A2" s="200"/>
      <c r="B2" s="200"/>
      <c r="C2" s="200"/>
      <c r="D2" s="200"/>
      <c r="E2" s="200"/>
      <c r="F2" s="200"/>
      <c r="G2" s="200"/>
      <c r="I2" s="102"/>
      <c r="J2" s="101"/>
      <c r="K2" s="120"/>
    </row>
    <row r="3" spans="1:26" ht="19.5" thickBot="1" x14ac:dyDescent="0.3">
      <c r="A3" s="201"/>
      <c r="B3" s="201"/>
      <c r="C3" s="201"/>
      <c r="D3" s="201"/>
      <c r="E3" s="201"/>
      <c r="F3" s="201"/>
      <c r="G3" s="201"/>
      <c r="I3" s="7"/>
      <c r="J3" s="6"/>
      <c r="K3" s="121"/>
    </row>
    <row r="4" spans="1:26" x14ac:dyDescent="0.25">
      <c r="A4" s="207" t="s">
        <v>0</v>
      </c>
      <c r="B4" s="209" t="s">
        <v>1</v>
      </c>
      <c r="C4" s="119"/>
      <c r="D4" s="119"/>
      <c r="E4" s="119"/>
      <c r="F4" s="119"/>
      <c r="G4" s="14"/>
      <c r="I4" s="4" t="s">
        <v>64</v>
      </c>
      <c r="J4" s="4">
        <v>21</v>
      </c>
    </row>
    <row r="5" spans="1:26" ht="18" customHeight="1" x14ac:dyDescent="0.25">
      <c r="A5" s="208"/>
      <c r="B5" s="210"/>
      <c r="C5" s="203" t="s">
        <v>19</v>
      </c>
      <c r="D5" s="203" t="s">
        <v>20</v>
      </c>
      <c r="E5" s="203" t="s">
        <v>21</v>
      </c>
      <c r="F5" s="203" t="s">
        <v>22</v>
      </c>
      <c r="G5" s="202" t="s">
        <v>23</v>
      </c>
      <c r="I5" s="4" t="s">
        <v>65</v>
      </c>
      <c r="J5" s="4">
        <v>54</v>
      </c>
    </row>
    <row r="6" spans="1:26" x14ac:dyDescent="0.25">
      <c r="A6" s="208"/>
      <c r="B6" s="210"/>
      <c r="C6" s="203"/>
      <c r="D6" s="203"/>
      <c r="E6" s="203"/>
      <c r="F6" s="203"/>
      <c r="G6" s="202"/>
      <c r="I6" s="4"/>
      <c r="J6" s="4"/>
    </row>
    <row r="7" spans="1:26" ht="19.5" thickBot="1" x14ac:dyDescent="0.3">
      <c r="A7" s="122">
        <v>1</v>
      </c>
      <c r="B7" s="16">
        <v>2</v>
      </c>
      <c r="C7" s="17">
        <v>3</v>
      </c>
      <c r="D7" s="17">
        <v>4</v>
      </c>
      <c r="E7" s="17">
        <v>5</v>
      </c>
      <c r="F7" s="17">
        <v>5</v>
      </c>
      <c r="G7" s="18">
        <v>7</v>
      </c>
      <c r="I7" s="2" t="s">
        <v>87</v>
      </c>
    </row>
    <row r="8" spans="1:26" ht="26.1" customHeight="1" thickBot="1" x14ac:dyDescent="0.3">
      <c r="A8" s="206" t="s">
        <v>2</v>
      </c>
      <c r="B8" s="206"/>
      <c r="C8" s="19" t="s">
        <v>8</v>
      </c>
      <c r="D8" s="19" t="s">
        <v>8</v>
      </c>
      <c r="E8" s="19" t="s">
        <v>8</v>
      </c>
      <c r="F8" s="19" t="s">
        <v>8</v>
      </c>
      <c r="G8" s="19" t="s">
        <v>8</v>
      </c>
      <c r="I8" s="225" t="s">
        <v>88</v>
      </c>
      <c r="J8" s="225"/>
      <c r="K8" s="225"/>
      <c r="L8" s="225"/>
      <c r="M8" s="225"/>
      <c r="O8" s="225" t="s">
        <v>89</v>
      </c>
      <c r="P8" s="225"/>
      <c r="Q8" s="225"/>
      <c r="R8" s="225"/>
      <c r="S8" s="225"/>
      <c r="U8" s="225" t="s">
        <v>90</v>
      </c>
      <c r="V8" s="225"/>
      <c r="W8" s="225"/>
      <c r="X8" s="225"/>
      <c r="Y8" s="225"/>
    </row>
    <row r="9" spans="1:26" ht="20.100000000000001" customHeight="1" x14ac:dyDescent="0.25">
      <c r="A9" s="117">
        <v>1</v>
      </c>
      <c r="B9" s="21" t="s">
        <v>15</v>
      </c>
      <c r="C9" s="22">
        <f>SUM(C10:C15)</f>
        <v>2405.3719679999999</v>
      </c>
      <c r="D9" s="22">
        <f>SUM(D10:D15)</f>
        <v>2323.7203679999998</v>
      </c>
      <c r="E9" s="22">
        <f>SUM(E10:E15)</f>
        <v>2400.752058</v>
      </c>
      <c r="F9" s="22">
        <f>SUM(F10:F15)</f>
        <v>2881.4218380000002</v>
      </c>
      <c r="G9" s="8">
        <f>SUM(G10:G15)</f>
        <v>10011.266232</v>
      </c>
      <c r="I9" s="123" t="s">
        <v>91</v>
      </c>
      <c r="J9" s="123" t="s">
        <v>92</v>
      </c>
      <c r="K9" s="140" t="s">
        <v>93</v>
      </c>
      <c r="L9" s="140" t="s">
        <v>94</v>
      </c>
      <c r="M9" s="140" t="s">
        <v>62</v>
      </c>
      <c r="N9" s="123"/>
      <c r="O9" s="123" t="s">
        <v>67</v>
      </c>
      <c r="P9" s="123" t="s">
        <v>92</v>
      </c>
      <c r="Q9" s="123" t="s">
        <v>61</v>
      </c>
      <c r="R9" s="123" t="s">
        <v>94</v>
      </c>
      <c r="S9" s="140" t="s">
        <v>62</v>
      </c>
      <c r="T9" s="123"/>
      <c r="U9" s="123" t="s">
        <v>67</v>
      </c>
      <c r="V9" s="123" t="s">
        <v>92</v>
      </c>
      <c r="W9" s="123" t="s">
        <v>61</v>
      </c>
      <c r="X9" s="123" t="s">
        <v>94</v>
      </c>
      <c r="Y9" s="140" t="s">
        <v>62</v>
      </c>
    </row>
    <row r="10" spans="1:26" ht="20.100000000000001" customHeight="1" x14ac:dyDescent="0.3">
      <c r="A10" s="118"/>
      <c r="B10" s="10" t="s">
        <v>3</v>
      </c>
      <c r="C10" s="12">
        <f>SUM(I10*3)</f>
        <v>1456.0772400000001</v>
      </c>
      <c r="D10" s="12">
        <f>SUM(I10*2+O10*1)</f>
        <v>1425.2374800000002</v>
      </c>
      <c r="E10" s="12">
        <f>SUM(O10*2)+U10*1</f>
        <v>1363.5579600000001</v>
      </c>
      <c r="F10" s="12">
        <f>SUM(U10*3)</f>
        <v>1363.5579600000001</v>
      </c>
      <c r="G10" s="77">
        <f>SUM(C10:F10)</f>
        <v>5608.4306400000005</v>
      </c>
      <c r="H10" s="141" t="s">
        <v>95</v>
      </c>
      <c r="I10" s="142">
        <f>SUM(M10*K10)</f>
        <v>485.35908000000006</v>
      </c>
      <c r="J10" s="142"/>
      <c r="K10" s="142">
        <v>0.13220000000000001</v>
      </c>
      <c r="L10" s="142"/>
      <c r="M10" s="143">
        <f>SUM(J1)</f>
        <v>3671.4</v>
      </c>
      <c r="N10" s="144"/>
      <c r="O10" s="142">
        <f>SUM(S10*Q10)</f>
        <v>454.51931999999999</v>
      </c>
      <c r="P10" s="142" t="s">
        <v>96</v>
      </c>
      <c r="Q10" s="142">
        <v>0.12379999999999999</v>
      </c>
      <c r="R10" s="142"/>
      <c r="S10" s="143">
        <f>SUM(J1)</f>
        <v>3671.4</v>
      </c>
      <c r="T10" s="144"/>
      <c r="U10" s="142">
        <f>SUM(Y10*W10)</f>
        <v>454.51931999999999</v>
      </c>
      <c r="V10" s="142" t="s">
        <v>96</v>
      </c>
      <c r="W10" s="142">
        <v>0.12379999999999999</v>
      </c>
      <c r="X10" s="142"/>
      <c r="Y10" s="143">
        <f>SUM(J1)</f>
        <v>3671.4</v>
      </c>
      <c r="Z10" s="226"/>
    </row>
    <row r="11" spans="1:26" ht="20.100000000000001" customHeight="1" x14ac:dyDescent="0.3">
      <c r="A11" s="118"/>
      <c r="B11" s="10" t="s">
        <v>3</v>
      </c>
      <c r="C11" s="12"/>
      <c r="D11" s="12"/>
      <c r="E11" s="12"/>
      <c r="F11" s="12"/>
      <c r="G11" s="77">
        <f t="shared" ref="G11:G14" si="0">SUM(C11:F11)</f>
        <v>0</v>
      </c>
      <c r="H11" s="141" t="s">
        <v>97</v>
      </c>
      <c r="I11" s="142"/>
      <c r="J11" s="142"/>
      <c r="K11" s="142"/>
      <c r="L11" s="142">
        <v>0.1419</v>
      </c>
      <c r="M11" s="142"/>
      <c r="N11" s="144"/>
      <c r="O11" s="142"/>
      <c r="P11" s="142"/>
      <c r="Q11" s="142"/>
      <c r="R11" s="142">
        <v>0.13350000000000001</v>
      </c>
      <c r="S11" s="142"/>
      <c r="T11" s="144"/>
      <c r="U11" s="142"/>
      <c r="V11" s="142"/>
      <c r="W11" s="142"/>
      <c r="X11" s="142">
        <v>0.13350000000000001</v>
      </c>
      <c r="Y11" s="142"/>
      <c r="Z11" s="226"/>
    </row>
    <row r="12" spans="1:26" ht="20.100000000000001" customHeight="1" x14ac:dyDescent="0.3">
      <c r="A12" s="118"/>
      <c r="B12" s="10" t="s">
        <v>60</v>
      </c>
      <c r="C12" s="12"/>
      <c r="D12" s="12"/>
      <c r="E12" s="12"/>
      <c r="F12" s="12"/>
      <c r="G12" s="77">
        <f t="shared" si="0"/>
        <v>0</v>
      </c>
      <c r="H12" s="141"/>
      <c r="I12" s="142"/>
      <c r="J12" s="142"/>
      <c r="K12" s="142"/>
      <c r="L12" s="142"/>
      <c r="M12" s="142"/>
      <c r="N12" s="144"/>
      <c r="O12" s="142"/>
      <c r="P12" s="142"/>
      <c r="Q12" s="142"/>
      <c r="R12" s="142"/>
      <c r="S12" s="142"/>
      <c r="T12" s="144"/>
      <c r="U12" s="142"/>
      <c r="V12" s="142"/>
      <c r="W12" s="142"/>
      <c r="X12" s="142"/>
      <c r="Y12" s="142"/>
      <c r="Z12" s="226"/>
    </row>
    <row r="13" spans="1:26" ht="20.100000000000001" customHeight="1" x14ac:dyDescent="0.3">
      <c r="A13" s="118"/>
      <c r="B13" s="10" t="s">
        <v>10</v>
      </c>
      <c r="C13" s="12">
        <f>SUM(I13*3)</f>
        <v>179.82</v>
      </c>
      <c r="D13" s="12">
        <f>SUM(I13*2+O13)</f>
        <v>177.39</v>
      </c>
      <c r="E13" s="12">
        <f>SUM(O13*2+U13)</f>
        <v>264.44598000000002</v>
      </c>
      <c r="F13" s="12">
        <f>SUM(U13*3)</f>
        <v>448.27794000000006</v>
      </c>
      <c r="G13" s="77">
        <f>SUM(C13:F13)</f>
        <v>1069.9339199999999</v>
      </c>
      <c r="H13" s="141" t="s">
        <v>98</v>
      </c>
      <c r="I13" s="142">
        <f>SUM(J5*1.5*K13)</f>
        <v>59.94</v>
      </c>
      <c r="J13" s="142" t="s">
        <v>96</v>
      </c>
      <c r="K13" s="142">
        <v>0.74</v>
      </c>
      <c r="L13" s="142"/>
      <c r="M13" s="142"/>
      <c r="N13" s="145"/>
      <c r="O13" s="142">
        <f>SUM(J5*1.5*Q13)</f>
        <v>57.51</v>
      </c>
      <c r="P13" s="142" t="s">
        <v>96</v>
      </c>
      <c r="Q13" s="142">
        <v>0.71</v>
      </c>
      <c r="R13" s="142"/>
      <c r="S13" s="142"/>
      <c r="T13" s="145"/>
      <c r="U13" s="142">
        <f>SUM(W13*Y13)</f>
        <v>149.42598000000001</v>
      </c>
      <c r="V13" s="142" t="s">
        <v>96</v>
      </c>
      <c r="W13" s="142">
        <v>4.07E-2</v>
      </c>
      <c r="X13" s="142"/>
      <c r="Y13" s="143">
        <f>SUM(J1)</f>
        <v>3671.4</v>
      </c>
      <c r="Z13" s="3"/>
    </row>
    <row r="14" spans="1:26" ht="20.100000000000001" customHeight="1" outlineLevel="1" x14ac:dyDescent="0.3">
      <c r="A14" s="24"/>
      <c r="B14" s="10" t="s">
        <v>11</v>
      </c>
      <c r="C14" s="12">
        <f>SUM(I14*3)</f>
        <v>383.13</v>
      </c>
      <c r="D14" s="12">
        <f>SUM(I14*2+O14)</f>
        <v>338.85</v>
      </c>
      <c r="E14" s="12">
        <f>SUM(O14*2+U14)</f>
        <v>398.70890999999995</v>
      </c>
      <c r="F14" s="12">
        <f>SUM(U14*3)</f>
        <v>695.54673000000003</v>
      </c>
      <c r="G14" s="77">
        <f t="shared" si="0"/>
        <v>1816.2356399999999</v>
      </c>
      <c r="H14" s="141" t="s">
        <v>11</v>
      </c>
      <c r="I14" s="142">
        <f>SUM((K14+L14/2))*J5</f>
        <v>127.71000000000001</v>
      </c>
      <c r="J14" s="142" t="s">
        <v>96</v>
      </c>
      <c r="K14" s="142">
        <v>1.5</v>
      </c>
      <c r="L14" s="142">
        <v>1.73</v>
      </c>
      <c r="M14" s="142"/>
      <c r="N14" s="145"/>
      <c r="O14" s="142">
        <f>SUM((Q14+R14))/2*J5</f>
        <v>83.429999999999993</v>
      </c>
      <c r="P14" s="142" t="s">
        <v>96</v>
      </c>
      <c r="Q14" s="142">
        <v>1.43</v>
      </c>
      <c r="R14" s="142">
        <v>1.66</v>
      </c>
      <c r="S14" s="142"/>
      <c r="T14" s="145"/>
      <c r="U14" s="142">
        <f>SUM((W14+X14))/2*Y14</f>
        <v>231.84890999999999</v>
      </c>
      <c r="V14" s="142" t="s">
        <v>96</v>
      </c>
      <c r="W14" s="142">
        <v>5.8400000000000001E-2</v>
      </c>
      <c r="X14" s="142">
        <v>6.7900000000000002E-2</v>
      </c>
      <c r="Y14" s="142">
        <f>SUM(J1)</f>
        <v>3671.4</v>
      </c>
      <c r="Z14" s="3"/>
    </row>
    <row r="15" spans="1:26" ht="20.100000000000001" customHeight="1" outlineLevel="1" thickBot="1" x14ac:dyDescent="0.35">
      <c r="A15" s="24"/>
      <c r="B15" s="10" t="s">
        <v>12</v>
      </c>
      <c r="C15" s="9">
        <f>SUM(I15*3)</f>
        <v>386.34472799999992</v>
      </c>
      <c r="D15" s="9">
        <f>SUM(I15*2+O15)</f>
        <v>382.24288799999994</v>
      </c>
      <c r="E15" s="9">
        <f>SUM(O15*2+U15)</f>
        <v>374.03920799999997</v>
      </c>
      <c r="F15" s="9">
        <f>SUM(U15*3)</f>
        <v>374.03920799999997</v>
      </c>
      <c r="G15" s="77">
        <f t="shared" ref="G15" si="1">SUM(C15:F15)</f>
        <v>1516.6660319999996</v>
      </c>
      <c r="H15" s="141" t="s">
        <v>99</v>
      </c>
      <c r="I15" s="142">
        <f>SUM(J15*((K15+L15))/2)*M15</f>
        <v>128.78157599999997</v>
      </c>
      <c r="J15" s="142">
        <v>0.24</v>
      </c>
      <c r="K15" s="142">
        <v>9.2583000000000002</v>
      </c>
      <c r="L15" s="142">
        <v>10.615399999999999</v>
      </c>
      <c r="M15" s="142">
        <f>SUM(J5)</f>
        <v>54</v>
      </c>
      <c r="N15" s="145"/>
      <c r="O15" s="142">
        <f>SUM(P15*((Q15+R15)/2)*S15)</f>
        <v>124.67973599999999</v>
      </c>
      <c r="P15" s="142">
        <v>0.24</v>
      </c>
      <c r="Q15" s="142">
        <v>8.9418000000000006</v>
      </c>
      <c r="R15" s="142">
        <v>10.2989</v>
      </c>
      <c r="S15" s="142">
        <f>SUM(J5)</f>
        <v>54</v>
      </c>
      <c r="T15" s="145"/>
      <c r="U15" s="142">
        <f>SUM(V15*((W15+X15)/2)*Y15)</f>
        <v>124.67973599999999</v>
      </c>
      <c r="V15" s="142">
        <v>0.24</v>
      </c>
      <c r="W15" s="142">
        <v>8.9418000000000006</v>
      </c>
      <c r="X15" s="142">
        <v>10.2989</v>
      </c>
      <c r="Y15" s="142">
        <f>SUM(J5)</f>
        <v>54</v>
      </c>
    </row>
    <row r="16" spans="1:26" ht="20.100000000000001" customHeight="1" x14ac:dyDescent="0.3">
      <c r="A16" s="117">
        <v>2</v>
      </c>
      <c r="B16" s="28" t="s">
        <v>16</v>
      </c>
      <c r="C16" s="35">
        <f>SUM(C17:C19)</f>
        <v>364.5</v>
      </c>
      <c r="D16" s="35">
        <f t="shared" ref="D16:F16" si="2">SUM(D17:D19)</f>
        <v>364.5</v>
      </c>
      <c r="E16" s="35">
        <f t="shared" si="2"/>
        <v>379.68371999999999</v>
      </c>
      <c r="F16" s="35">
        <f t="shared" si="2"/>
        <v>410.0511600000001</v>
      </c>
      <c r="G16" s="35">
        <f>SUM(G17:G19)</f>
        <v>1518.73488</v>
      </c>
      <c r="H16" s="141"/>
      <c r="I16" s="142"/>
      <c r="J16" s="142"/>
      <c r="K16" s="142"/>
      <c r="L16" s="142"/>
      <c r="M16" s="142"/>
      <c r="O16" s="142"/>
      <c r="P16" s="142"/>
      <c r="Q16" s="142"/>
      <c r="R16" s="142"/>
      <c r="S16" s="142"/>
      <c r="U16" s="142"/>
      <c r="V16" s="142"/>
      <c r="W16" s="142"/>
      <c r="X16" s="142"/>
      <c r="Y16" s="142"/>
    </row>
    <row r="17" spans="1:35" ht="39" customHeight="1" outlineLevel="1" x14ac:dyDescent="0.3">
      <c r="A17" s="29"/>
      <c r="B17" s="10" t="s">
        <v>25</v>
      </c>
      <c r="C17" s="12">
        <f>SUM(I17*3)</f>
        <v>172.52999999999997</v>
      </c>
      <c r="D17" s="12">
        <f>SUM(I17*2+O17)</f>
        <v>172.52999999999997</v>
      </c>
      <c r="E17" s="12">
        <f>SUM(O17*2+U17)</f>
        <v>187.71372</v>
      </c>
      <c r="F17" s="12">
        <f>SUM(U17*3)</f>
        <v>218.08116000000004</v>
      </c>
      <c r="G17" s="77">
        <f t="shared" ref="G17:G18" si="3">SUM(C17:F17)</f>
        <v>750.85487999999998</v>
      </c>
      <c r="H17" s="146" t="s">
        <v>100</v>
      </c>
      <c r="I17" s="142">
        <f>SUM(K17*M17)*1.5</f>
        <v>57.509999999999991</v>
      </c>
      <c r="J17" s="142" t="s">
        <v>101</v>
      </c>
      <c r="K17" s="142">
        <v>0.71</v>
      </c>
      <c r="L17" s="142"/>
      <c r="M17" s="142">
        <f>SUM(J5)</f>
        <v>54</v>
      </c>
      <c r="N17" s="145"/>
      <c r="O17" s="142">
        <f>SUM(Q17*S17*1.5)</f>
        <v>57.509999999999991</v>
      </c>
      <c r="P17" s="142" t="s">
        <v>101</v>
      </c>
      <c r="Q17" s="142">
        <v>0.71</v>
      </c>
      <c r="R17" s="142"/>
      <c r="S17" s="142">
        <f>SUM(J5)</f>
        <v>54</v>
      </c>
      <c r="T17" s="145"/>
      <c r="U17" s="142">
        <f>SUM(W17*Y17)</f>
        <v>72.693720000000013</v>
      </c>
      <c r="V17" s="142" t="s">
        <v>101</v>
      </c>
      <c r="W17" s="142">
        <v>1.9800000000000002E-2</v>
      </c>
      <c r="X17" s="142"/>
      <c r="Y17" s="142">
        <f>SUM(J1)</f>
        <v>3671.4</v>
      </c>
    </row>
    <row r="18" spans="1:35" ht="40.5" customHeight="1" outlineLevel="1" x14ac:dyDescent="0.3">
      <c r="A18" s="29"/>
      <c r="B18" s="10" t="s">
        <v>14</v>
      </c>
      <c r="C18" s="12">
        <f>SUM(I18*3)</f>
        <v>191.97000000000003</v>
      </c>
      <c r="D18" s="12">
        <f>SUM(I18*2+O18)</f>
        <v>191.97000000000003</v>
      </c>
      <c r="E18" s="12">
        <f>SUM(O18*2+U18)</f>
        <v>191.97000000000003</v>
      </c>
      <c r="F18" s="12">
        <f>SUM(U18*3)</f>
        <v>191.97000000000003</v>
      </c>
      <c r="G18" s="77">
        <f t="shared" si="3"/>
        <v>767.88000000000011</v>
      </c>
      <c r="H18" s="146" t="s">
        <v>102</v>
      </c>
      <c r="I18" s="142">
        <f>SUM(K18*M18)*1.5</f>
        <v>63.990000000000009</v>
      </c>
      <c r="J18" s="142" t="s">
        <v>101</v>
      </c>
      <c r="K18" s="142">
        <v>0.79</v>
      </c>
      <c r="L18" s="142"/>
      <c r="M18" s="142">
        <f>SUM(J5)</f>
        <v>54</v>
      </c>
      <c r="N18" s="145"/>
      <c r="O18" s="142">
        <f>SUM(Q18*S18)*1.5</f>
        <v>63.990000000000009</v>
      </c>
      <c r="P18" s="142" t="s">
        <v>101</v>
      </c>
      <c r="Q18" s="142">
        <v>0.79</v>
      </c>
      <c r="R18" s="142"/>
      <c r="S18" s="142">
        <f>SUM(J5)</f>
        <v>54</v>
      </c>
      <c r="T18" s="145"/>
      <c r="U18" s="142">
        <f>SUM(W18*Y18)*1.5</f>
        <v>63.990000000000009</v>
      </c>
      <c r="V18" s="142" t="s">
        <v>101</v>
      </c>
      <c r="W18" s="142">
        <v>0.79</v>
      </c>
      <c r="X18" s="142"/>
      <c r="Y18" s="142">
        <f>SUM(J5)</f>
        <v>54</v>
      </c>
    </row>
    <row r="19" spans="1:35" ht="40.5" customHeight="1" outlineLevel="1" thickBot="1" x14ac:dyDescent="0.3">
      <c r="A19" s="124"/>
      <c r="B19" s="125" t="s">
        <v>75</v>
      </c>
      <c r="C19" s="126"/>
      <c r="D19" s="126"/>
      <c r="E19" s="126"/>
      <c r="F19" s="126"/>
      <c r="G19" s="127"/>
      <c r="H19" s="141"/>
      <c r="I19" s="144"/>
      <c r="J19" s="144"/>
      <c r="K19" s="144"/>
      <c r="L19" s="144"/>
      <c r="M19" s="145"/>
      <c r="N19" s="145"/>
      <c r="O19" s="144"/>
      <c r="P19" s="144"/>
      <c r="Q19" s="144"/>
      <c r="R19" s="144"/>
      <c r="S19" s="145"/>
      <c r="T19" s="145"/>
      <c r="U19" s="144"/>
      <c r="V19" s="144"/>
      <c r="W19" s="144"/>
      <c r="X19" s="144"/>
      <c r="Y19" s="145"/>
    </row>
    <row r="20" spans="1:35" ht="20.100000000000001" customHeight="1" outlineLevel="1" thickBot="1" x14ac:dyDescent="0.3">
      <c r="A20" s="117">
        <v>3</v>
      </c>
      <c r="B20" s="28" t="s">
        <v>17</v>
      </c>
      <c r="C20" s="22">
        <f>SUM(C21:C22)</f>
        <v>474.66</v>
      </c>
      <c r="D20" s="22">
        <f t="shared" ref="D20:F20" si="4">SUM(D21:D22)</f>
        <v>474.66</v>
      </c>
      <c r="E20" s="22">
        <f t="shared" si="4"/>
        <v>474.66</v>
      </c>
      <c r="F20" s="22">
        <f t="shared" si="4"/>
        <v>474.66</v>
      </c>
      <c r="G20" s="8">
        <f>SUM(G21:G22)</f>
        <v>1898.64</v>
      </c>
      <c r="H20" s="141"/>
      <c r="I20" s="123" t="s">
        <v>66</v>
      </c>
      <c r="J20" s="123"/>
      <c r="K20" s="123" t="s">
        <v>61</v>
      </c>
      <c r="L20" s="123"/>
      <c r="M20" s="123" t="s">
        <v>67</v>
      </c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</row>
    <row r="21" spans="1:35" ht="20.100000000000001" customHeight="1" outlineLevel="1" x14ac:dyDescent="0.3">
      <c r="A21" s="29"/>
      <c r="B21" s="10" t="s">
        <v>45</v>
      </c>
      <c r="C21" s="11">
        <f>SUM(M21)*3</f>
        <v>150.66000000000003</v>
      </c>
      <c r="D21" s="11">
        <f>SUM(M21*3)</f>
        <v>150.66000000000003</v>
      </c>
      <c r="E21" s="11">
        <f>SUM(M21*3)</f>
        <v>150.66000000000003</v>
      </c>
      <c r="F21" s="11">
        <f>SUM(M21*3)</f>
        <v>150.66000000000003</v>
      </c>
      <c r="G21" s="78">
        <f>SUM(C21:F21)</f>
        <v>602.6400000000001</v>
      </c>
      <c r="H21" s="141" t="s">
        <v>103</v>
      </c>
      <c r="I21" s="109">
        <f>SUM(J5)</f>
        <v>54</v>
      </c>
      <c r="J21" s="110"/>
      <c r="K21" s="110">
        <v>0.93</v>
      </c>
      <c r="L21" s="110"/>
      <c r="M21" s="111">
        <f>I21*K21</f>
        <v>50.220000000000006</v>
      </c>
      <c r="N21" s="123"/>
      <c r="O21" s="109"/>
      <c r="P21" s="110"/>
      <c r="Q21" s="110"/>
      <c r="R21" s="110"/>
      <c r="S21" s="111"/>
      <c r="T21" s="123"/>
      <c r="U21" s="109"/>
      <c r="V21" s="110"/>
      <c r="W21" s="110"/>
      <c r="X21" s="110"/>
      <c r="Y21" s="111"/>
    </row>
    <row r="22" spans="1:35" ht="20.100000000000001" customHeight="1" outlineLevel="1" thickBot="1" x14ac:dyDescent="0.3">
      <c r="A22" s="27"/>
      <c r="B22" s="25" t="s">
        <v>18</v>
      </c>
      <c r="C22" s="26">
        <f>SUM(M22)*3</f>
        <v>324</v>
      </c>
      <c r="D22" s="26">
        <f>SUM(M22*3)</f>
        <v>324</v>
      </c>
      <c r="E22" s="26">
        <f>SUM(M22*3)</f>
        <v>324</v>
      </c>
      <c r="F22" s="26">
        <f>SUM(M22*3)</f>
        <v>324</v>
      </c>
      <c r="G22" s="79">
        <f>SUM(C22:F22)</f>
        <v>1296</v>
      </c>
      <c r="H22" s="146" t="s">
        <v>104</v>
      </c>
      <c r="I22" s="112">
        <f>SUM(J5)</f>
        <v>54</v>
      </c>
      <c r="J22" s="113"/>
      <c r="K22" s="113">
        <v>2</v>
      </c>
      <c r="L22" s="113"/>
      <c r="M22" s="114">
        <f>I22*K22</f>
        <v>108</v>
      </c>
      <c r="N22" s="123"/>
      <c r="O22" s="112"/>
      <c r="P22" s="113"/>
      <c r="Q22" s="113"/>
      <c r="R22" s="113"/>
      <c r="S22" s="114"/>
      <c r="T22" s="123"/>
      <c r="U22" s="112"/>
      <c r="V22" s="113"/>
      <c r="W22" s="113"/>
      <c r="X22" s="113"/>
      <c r="Y22" s="114"/>
    </row>
    <row r="23" spans="1:35" ht="20.100000000000001" customHeight="1" thickBot="1" x14ac:dyDescent="0.3">
      <c r="A23" s="31" t="s">
        <v>9</v>
      </c>
      <c r="B23" s="28" t="s">
        <v>27</v>
      </c>
      <c r="C23" s="22">
        <f>SUM(C24:C25)</f>
        <v>8040.366</v>
      </c>
      <c r="D23" s="22">
        <f t="shared" ref="D23:F23" si="5">SUM(D24:D25)</f>
        <v>8040.366</v>
      </c>
      <c r="E23" s="22">
        <f t="shared" si="5"/>
        <v>8040.366</v>
      </c>
      <c r="F23" s="22">
        <f t="shared" si="5"/>
        <v>8040.366</v>
      </c>
      <c r="G23" s="8">
        <f>SUM(G24:G25)</f>
        <v>32161.464</v>
      </c>
      <c r="H23" s="147"/>
      <c r="I23" s="123" t="s">
        <v>68</v>
      </c>
      <c r="J23" s="123"/>
      <c r="K23" s="123" t="s">
        <v>61</v>
      </c>
      <c r="L23" s="123"/>
      <c r="M23" s="123" t="s">
        <v>67</v>
      </c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</row>
    <row r="24" spans="1:35" ht="20.100000000000001" customHeight="1" outlineLevel="1" thickBot="1" x14ac:dyDescent="0.3">
      <c r="A24" s="32"/>
      <c r="B24" s="10" t="s">
        <v>26</v>
      </c>
      <c r="C24" s="9">
        <f>SUM(M24)*3</f>
        <v>6828.8040000000001</v>
      </c>
      <c r="D24" s="9">
        <f>SUM(M24*3)</f>
        <v>6828.8040000000001</v>
      </c>
      <c r="E24" s="9">
        <f>SUM(M24*3)</f>
        <v>6828.8040000000001</v>
      </c>
      <c r="F24" s="9">
        <f>SUM(M24*3)</f>
        <v>6828.8040000000001</v>
      </c>
      <c r="G24" s="78">
        <f t="shared" ref="G24:G29" si="6">SUM(C24:F24)</f>
        <v>27315.216</v>
      </c>
      <c r="H24" s="148" t="s">
        <v>105</v>
      </c>
      <c r="I24" s="103">
        <f>SUM(J1)</f>
        <v>3671.4</v>
      </c>
      <c r="J24" s="104"/>
      <c r="K24" s="110">
        <v>0.62</v>
      </c>
      <c r="L24" s="110"/>
      <c r="M24" s="105">
        <f>SUM(I24*K24)</f>
        <v>2276.268</v>
      </c>
      <c r="N24" s="144"/>
      <c r="O24" s="103"/>
      <c r="P24" s="104"/>
      <c r="Q24" s="110"/>
      <c r="R24" s="110"/>
      <c r="S24" s="105"/>
      <c r="T24" s="144"/>
      <c r="U24" s="103"/>
      <c r="V24" s="104"/>
      <c r="W24" s="110"/>
      <c r="X24" s="110"/>
      <c r="Y24" s="105"/>
    </row>
    <row r="25" spans="1:35" ht="20.100000000000001" customHeight="1" outlineLevel="1" thickBot="1" x14ac:dyDescent="0.3">
      <c r="A25" s="33"/>
      <c r="B25" s="25" t="s">
        <v>57</v>
      </c>
      <c r="C25" s="26">
        <f>SUM(M25)*3</f>
        <v>1211.5619999999999</v>
      </c>
      <c r="D25" s="26">
        <f>SUM(M25*3)</f>
        <v>1211.5619999999999</v>
      </c>
      <c r="E25" s="26">
        <f>SUM(M25*3)</f>
        <v>1211.5619999999999</v>
      </c>
      <c r="F25" s="26">
        <f>SUM(M25*3)</f>
        <v>1211.5619999999999</v>
      </c>
      <c r="G25" s="79">
        <f t="shared" si="6"/>
        <v>4846.2479999999996</v>
      </c>
      <c r="H25" s="148" t="s">
        <v>106</v>
      </c>
      <c r="I25" s="106">
        <f>SUM(J1)</f>
        <v>3671.4</v>
      </c>
      <c r="J25" s="108"/>
      <c r="K25" s="113">
        <v>0.11</v>
      </c>
      <c r="L25" s="113"/>
      <c r="M25" s="105">
        <f>SUM(I25*K25)</f>
        <v>403.85399999999998</v>
      </c>
      <c r="N25" s="144"/>
      <c r="O25" s="106"/>
      <c r="P25" s="108"/>
      <c r="Q25" s="113"/>
      <c r="R25" s="113"/>
      <c r="S25" s="107"/>
      <c r="T25" s="144"/>
      <c r="U25" s="106"/>
      <c r="V25" s="108"/>
      <c r="W25" s="113"/>
      <c r="X25" s="113"/>
      <c r="Y25" s="107"/>
    </row>
    <row r="26" spans="1:35" ht="20.100000000000001" customHeight="1" outlineLevel="1" x14ac:dyDescent="0.25">
      <c r="A26" s="34" t="s">
        <v>7</v>
      </c>
      <c r="B26" s="36" t="s">
        <v>4</v>
      </c>
      <c r="C26" s="30">
        <f>SUM(C27:C28)</f>
        <v>0</v>
      </c>
      <c r="D26" s="30">
        <f t="shared" ref="D26:F26" si="7">SUM(D27:D28)</f>
        <v>0</v>
      </c>
      <c r="E26" s="30">
        <f t="shared" si="7"/>
        <v>0</v>
      </c>
      <c r="F26" s="30">
        <f t="shared" si="7"/>
        <v>0</v>
      </c>
      <c r="G26" s="37">
        <f t="shared" si="6"/>
        <v>0</v>
      </c>
    </row>
    <row r="27" spans="1:35" s="1" customFormat="1" ht="20.100000000000001" customHeight="1" outlineLevel="1" x14ac:dyDescent="0.25">
      <c r="A27" s="32"/>
      <c r="B27" s="10" t="s">
        <v>5</v>
      </c>
      <c r="C27" s="9"/>
      <c r="D27" s="9"/>
      <c r="E27" s="9"/>
      <c r="F27" s="9"/>
      <c r="G27" s="78">
        <f t="shared" si="6"/>
        <v>0</v>
      </c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</row>
    <row r="28" spans="1:35" s="1" customFormat="1" ht="20.100000000000001" customHeight="1" outlineLevel="1" thickBot="1" x14ac:dyDescent="0.3">
      <c r="A28" s="33"/>
      <c r="B28" s="25" t="s">
        <v>24</v>
      </c>
      <c r="C28" s="26"/>
      <c r="D28" s="26"/>
      <c r="E28" s="26"/>
      <c r="F28" s="26"/>
      <c r="G28" s="79">
        <f t="shared" si="6"/>
        <v>0</v>
      </c>
      <c r="H28" s="227"/>
      <c r="I28" s="228"/>
      <c r="J28" s="228"/>
      <c r="K28" s="228"/>
      <c r="L28" s="228"/>
      <c r="M28" s="228"/>
      <c r="N28" s="228"/>
      <c r="O28" s="228"/>
      <c r="P28" s="228"/>
      <c r="Q28" s="228"/>
      <c r="R28" s="228"/>
      <c r="S28" s="228"/>
      <c r="T28" s="228"/>
      <c r="U28" s="228"/>
      <c r="V28" s="228"/>
      <c r="W28" s="228"/>
      <c r="X28" s="228"/>
      <c r="Y28" s="228"/>
      <c r="Z28" s="228"/>
      <c r="AA28" s="228"/>
      <c r="AB28" s="149"/>
      <c r="AC28" s="149"/>
      <c r="AD28" s="149"/>
      <c r="AE28" s="149"/>
      <c r="AF28" s="149"/>
      <c r="AG28" s="149"/>
      <c r="AH28" s="149"/>
      <c r="AI28" s="149"/>
    </row>
    <row r="29" spans="1:35" ht="26.1" customHeight="1" outlineLevel="1" thickBot="1" x14ac:dyDescent="0.3">
      <c r="A29" s="213" t="s">
        <v>6</v>
      </c>
      <c r="B29" s="214"/>
      <c r="C29" s="52">
        <f>C9+C16+C20+C23+C26</f>
        <v>11284.897967999999</v>
      </c>
      <c r="D29" s="52">
        <f>D9+D16+D20+D23+D26</f>
        <v>11203.246368</v>
      </c>
      <c r="E29" s="52">
        <f>E9+E16+E20+E23+E26</f>
        <v>11295.461778000001</v>
      </c>
      <c r="F29" s="52">
        <f>F9+F16+F20+F23+F26</f>
        <v>11806.498997999999</v>
      </c>
      <c r="G29" s="53">
        <f t="shared" si="6"/>
        <v>45590.10511199999</v>
      </c>
    </row>
    <row r="30" spans="1:35" ht="26.1" customHeight="1" thickBot="1" x14ac:dyDescent="0.3">
      <c r="A30" s="211" t="s">
        <v>39</v>
      </c>
      <c r="B30" s="212"/>
      <c r="C30" s="54" t="s">
        <v>8</v>
      </c>
      <c r="D30" s="54" t="s">
        <v>8</v>
      </c>
      <c r="E30" s="54" t="s">
        <v>8</v>
      </c>
      <c r="F30" s="54" t="s">
        <v>8</v>
      </c>
      <c r="G30" s="55" t="s">
        <v>8</v>
      </c>
    </row>
    <row r="31" spans="1:35" ht="20.100000000000001" customHeight="1" x14ac:dyDescent="0.25">
      <c r="A31" s="117">
        <v>1</v>
      </c>
      <c r="B31" s="21" t="s">
        <v>15</v>
      </c>
      <c r="C31" s="64">
        <f>SUM(C32:C35)</f>
        <v>2018.2337773700413</v>
      </c>
      <c r="D31" s="64">
        <f>SUM(D32:D35)</f>
        <v>1984.9640173700413</v>
      </c>
      <c r="E31" s="64">
        <f>SUM(E32:E35)</f>
        <v>2010.3404773700413</v>
      </c>
      <c r="F31" s="64">
        <f>SUM(F32:F35)</f>
        <v>2194.1724373700413</v>
      </c>
      <c r="G31" s="64">
        <f>SUM(G32:G35)</f>
        <v>5608.4306400000005</v>
      </c>
    </row>
    <row r="32" spans="1:35" ht="20.100000000000001" customHeight="1" x14ac:dyDescent="0.25">
      <c r="A32" s="46"/>
      <c r="B32" s="10" t="s">
        <v>3</v>
      </c>
      <c r="C32" s="42">
        <f>C10</f>
        <v>1456.0772400000001</v>
      </c>
      <c r="D32" s="42">
        <f>D10</f>
        <v>1425.2374800000002</v>
      </c>
      <c r="E32" s="42">
        <f>E10</f>
        <v>1363.5579600000001</v>
      </c>
      <c r="F32" s="42">
        <f>F10</f>
        <v>1363.5579600000001</v>
      </c>
      <c r="G32" s="74">
        <f>SUM(C32:F32)</f>
        <v>5608.4306400000005</v>
      </c>
    </row>
    <row r="33" spans="1:7" ht="20.100000000000001" customHeight="1" x14ac:dyDescent="0.25">
      <c r="A33" s="46"/>
      <c r="B33" s="10" t="s">
        <v>10</v>
      </c>
      <c r="C33" s="42">
        <f t="shared" ref="C33:F33" si="8">C13</f>
        <v>179.82</v>
      </c>
      <c r="D33" s="42">
        <f t="shared" si="8"/>
        <v>177.39</v>
      </c>
      <c r="E33" s="42">
        <f t="shared" si="8"/>
        <v>264.44598000000002</v>
      </c>
      <c r="F33" s="42">
        <f t="shared" si="8"/>
        <v>448.27794000000006</v>
      </c>
      <c r="G33" s="74"/>
    </row>
    <row r="34" spans="1:7" ht="57.75" customHeight="1" x14ac:dyDescent="0.25">
      <c r="A34" s="46"/>
      <c r="B34" s="10" t="s">
        <v>46</v>
      </c>
      <c r="C34" s="42">
        <f>[1]Лист15!D6</f>
        <v>382.33653737004119</v>
      </c>
      <c r="D34" s="42">
        <f>C34</f>
        <v>382.33653737004119</v>
      </c>
      <c r="E34" s="42">
        <f>C34</f>
        <v>382.33653737004119</v>
      </c>
      <c r="F34" s="42">
        <f>C34</f>
        <v>382.33653737004119</v>
      </c>
      <c r="G34" s="74"/>
    </row>
    <row r="35" spans="1:7" ht="20.100000000000001" customHeight="1" thickBot="1" x14ac:dyDescent="0.3">
      <c r="A35" s="46"/>
      <c r="B35" s="10" t="s">
        <v>12</v>
      </c>
      <c r="C35" s="42"/>
      <c r="D35" s="42"/>
      <c r="E35" s="42"/>
      <c r="F35" s="42"/>
      <c r="G35" s="74">
        <f>SUM(C35:F35)</f>
        <v>0</v>
      </c>
    </row>
    <row r="36" spans="1:7" ht="20.100000000000001" customHeight="1" x14ac:dyDescent="0.25">
      <c r="A36" s="117">
        <v>2</v>
      </c>
      <c r="B36" s="28" t="s">
        <v>16</v>
      </c>
      <c r="C36" s="64">
        <f>SUM(C37:C38)</f>
        <v>0</v>
      </c>
      <c r="D36" s="64">
        <f t="shared" ref="D36:F36" si="9">SUM(D37:D38)</f>
        <v>0</v>
      </c>
      <c r="E36" s="64">
        <f t="shared" si="9"/>
        <v>0</v>
      </c>
      <c r="F36" s="64">
        <f t="shared" si="9"/>
        <v>0</v>
      </c>
      <c r="G36" s="64">
        <f t="shared" ref="G36" si="10">SUM(G37:G38)</f>
        <v>0</v>
      </c>
    </row>
    <row r="37" spans="1:7" ht="39.950000000000003" customHeight="1" x14ac:dyDescent="0.25">
      <c r="A37" s="29"/>
      <c r="B37" s="10" t="s">
        <v>25</v>
      </c>
      <c r="C37" s="42"/>
      <c r="D37" s="42"/>
      <c r="E37" s="42"/>
      <c r="F37" s="42"/>
      <c r="G37" s="74"/>
    </row>
    <row r="38" spans="1:7" ht="39.950000000000003" customHeight="1" thickBot="1" x14ac:dyDescent="0.3">
      <c r="A38" s="27"/>
      <c r="B38" s="25" t="s">
        <v>14</v>
      </c>
      <c r="C38" s="42"/>
      <c r="D38" s="42"/>
      <c r="E38" s="42"/>
      <c r="F38" s="42"/>
      <c r="G38" s="74"/>
    </row>
    <row r="39" spans="1:7" ht="20.100000000000001" customHeight="1" x14ac:dyDescent="0.25">
      <c r="A39" s="117" t="s">
        <v>33</v>
      </c>
      <c r="B39" s="28" t="s">
        <v>17</v>
      </c>
      <c r="C39" s="64">
        <f>SUM(C40:C41)</f>
        <v>474.66</v>
      </c>
      <c r="D39" s="64">
        <f t="shared" ref="D39:F39" si="11">SUM(D40:D41)</f>
        <v>474.66</v>
      </c>
      <c r="E39" s="64">
        <f t="shared" si="11"/>
        <v>474.66</v>
      </c>
      <c r="F39" s="64">
        <f t="shared" si="11"/>
        <v>474.66</v>
      </c>
      <c r="G39" s="64">
        <f t="shared" ref="G39" si="12">SUM(G40:G41)</f>
        <v>1898.64</v>
      </c>
    </row>
    <row r="40" spans="1:7" ht="20.100000000000001" customHeight="1" x14ac:dyDescent="0.25">
      <c r="A40" s="46"/>
      <c r="B40" s="10" t="s">
        <v>45</v>
      </c>
      <c r="C40" s="42">
        <f t="shared" ref="C40:F41" si="13">C21</f>
        <v>150.66000000000003</v>
      </c>
      <c r="D40" s="42">
        <f t="shared" si="13"/>
        <v>150.66000000000003</v>
      </c>
      <c r="E40" s="42">
        <f t="shared" si="13"/>
        <v>150.66000000000003</v>
      </c>
      <c r="F40" s="42">
        <f t="shared" si="13"/>
        <v>150.66000000000003</v>
      </c>
      <c r="G40" s="74">
        <f>SUM(C40:F40)</f>
        <v>602.6400000000001</v>
      </c>
    </row>
    <row r="41" spans="1:7" s="4" customFormat="1" ht="20.100000000000001" customHeight="1" thickBot="1" x14ac:dyDescent="0.3">
      <c r="A41" s="56"/>
      <c r="B41" s="25" t="s">
        <v>18</v>
      </c>
      <c r="C41" s="57">
        <f t="shared" si="13"/>
        <v>324</v>
      </c>
      <c r="D41" s="57">
        <f t="shared" si="13"/>
        <v>324</v>
      </c>
      <c r="E41" s="57">
        <f t="shared" si="13"/>
        <v>324</v>
      </c>
      <c r="F41" s="57">
        <f t="shared" si="13"/>
        <v>324</v>
      </c>
      <c r="G41" s="74">
        <f>SUM(C41:F41)</f>
        <v>1296</v>
      </c>
    </row>
    <row r="42" spans="1:7" ht="20.100000000000001" customHeight="1" x14ac:dyDescent="0.25">
      <c r="A42" s="117" t="s">
        <v>9</v>
      </c>
      <c r="B42" s="28" t="s">
        <v>38</v>
      </c>
      <c r="C42" s="64">
        <f>SUM(C43:C58)</f>
        <v>6828.8040000000001</v>
      </c>
      <c r="D42" s="64">
        <f>SUM(D43:D58)</f>
        <v>6828.8040000000001</v>
      </c>
      <c r="E42" s="64">
        <f>SUM(E43:E58)</f>
        <v>6828.8040000000001</v>
      </c>
      <c r="F42" s="64">
        <f>SUM(F43:F58)</f>
        <v>6828.8040000000001</v>
      </c>
      <c r="G42" s="66">
        <f t="shared" ref="G42:G51" si="14">SUM(C42:F42)</f>
        <v>27315.216</v>
      </c>
    </row>
    <row r="43" spans="1:7" ht="20.100000000000001" customHeight="1" x14ac:dyDescent="0.25">
      <c r="A43" s="58"/>
      <c r="B43" s="49" t="s">
        <v>43</v>
      </c>
      <c r="C43" s="42">
        <f>C24</f>
        <v>6828.8040000000001</v>
      </c>
      <c r="D43" s="42">
        <f>D24</f>
        <v>6828.8040000000001</v>
      </c>
      <c r="E43" s="42">
        <f>E24</f>
        <v>6828.8040000000001</v>
      </c>
      <c r="F43" s="42">
        <f>F24</f>
        <v>6828.8040000000001</v>
      </c>
      <c r="G43" s="74">
        <f t="shared" si="14"/>
        <v>27315.216</v>
      </c>
    </row>
    <row r="44" spans="1:7" ht="20.100000000000001" customHeight="1" x14ac:dyDescent="0.25">
      <c r="A44" s="47"/>
      <c r="B44" s="49" t="s">
        <v>28</v>
      </c>
      <c r="C44" s="42"/>
      <c r="D44" s="42"/>
      <c r="E44" s="42"/>
      <c r="F44" s="42"/>
      <c r="G44" s="74">
        <f>SUM(C44:F44)</f>
        <v>0</v>
      </c>
    </row>
    <row r="45" spans="1:7" ht="20.100000000000001" customHeight="1" x14ac:dyDescent="0.25">
      <c r="A45" s="47"/>
      <c r="B45" s="49" t="s">
        <v>36</v>
      </c>
      <c r="C45" s="42"/>
      <c r="D45" s="42"/>
      <c r="E45" s="42"/>
      <c r="F45" s="42"/>
      <c r="G45" s="74">
        <f t="shared" si="14"/>
        <v>0</v>
      </c>
    </row>
    <row r="46" spans="1:7" ht="20.100000000000001" customHeight="1" x14ac:dyDescent="0.25">
      <c r="A46" s="47"/>
      <c r="B46" s="49" t="s">
        <v>34</v>
      </c>
      <c r="C46" s="42"/>
      <c r="D46" s="42"/>
      <c r="E46" s="42"/>
      <c r="F46" s="42"/>
      <c r="G46" s="74">
        <f t="shared" si="14"/>
        <v>0</v>
      </c>
    </row>
    <row r="47" spans="1:7" ht="20.100000000000001" customHeight="1" x14ac:dyDescent="0.25">
      <c r="A47" s="46"/>
      <c r="B47" s="49" t="s">
        <v>35</v>
      </c>
      <c r="C47" s="42"/>
      <c r="D47" s="42"/>
      <c r="E47" s="42"/>
      <c r="F47" s="42"/>
      <c r="G47" s="74">
        <f t="shared" si="14"/>
        <v>0</v>
      </c>
    </row>
    <row r="48" spans="1:7" ht="20.100000000000001" customHeight="1" x14ac:dyDescent="0.25">
      <c r="A48" s="58"/>
      <c r="B48" s="10" t="s">
        <v>59</v>
      </c>
      <c r="C48" s="42"/>
      <c r="D48" s="42"/>
      <c r="E48" s="42"/>
      <c r="F48" s="42"/>
      <c r="G48" s="74">
        <f t="shared" si="14"/>
        <v>0</v>
      </c>
    </row>
    <row r="49" spans="1:14" ht="39" customHeight="1" x14ac:dyDescent="0.25">
      <c r="A49" s="58"/>
      <c r="B49" s="49" t="s">
        <v>37</v>
      </c>
      <c r="C49" s="42"/>
      <c r="D49" s="42"/>
      <c r="E49" s="42"/>
      <c r="F49" s="42"/>
      <c r="G49" s="74">
        <f t="shared" si="14"/>
        <v>0</v>
      </c>
      <c r="H49" s="65"/>
    </row>
    <row r="50" spans="1:14" ht="20.100000000000001" customHeight="1" x14ac:dyDescent="0.25">
      <c r="A50" s="46"/>
      <c r="B50" s="49" t="s">
        <v>29</v>
      </c>
      <c r="C50" s="42"/>
      <c r="D50" s="42"/>
      <c r="E50" s="42"/>
      <c r="F50" s="42"/>
      <c r="G50" s="74">
        <f t="shared" si="14"/>
        <v>0</v>
      </c>
    </row>
    <row r="51" spans="1:14" s="4" customFormat="1" ht="20.100000000000001" customHeight="1" x14ac:dyDescent="0.25">
      <c r="A51" s="48"/>
      <c r="B51" s="49" t="s">
        <v>40</v>
      </c>
      <c r="C51" s="42"/>
      <c r="D51" s="42"/>
      <c r="E51" s="42"/>
      <c r="F51" s="42"/>
      <c r="G51" s="74">
        <f t="shared" si="14"/>
        <v>0</v>
      </c>
    </row>
    <row r="52" spans="1:14" ht="20.100000000000001" customHeight="1" x14ac:dyDescent="0.25">
      <c r="A52" s="59"/>
      <c r="B52" s="49" t="s">
        <v>41</v>
      </c>
      <c r="C52" s="68"/>
      <c r="D52" s="68"/>
      <c r="E52" s="68"/>
      <c r="F52" s="68"/>
      <c r="G52" s="75">
        <f t="shared" ref="G52:G57" si="15">SUM(C52:F52)</f>
        <v>0</v>
      </c>
      <c r="H52" s="4"/>
      <c r="I52" s="4"/>
      <c r="J52" s="4"/>
      <c r="K52" s="4"/>
      <c r="L52" s="4"/>
      <c r="M52" s="4"/>
      <c r="N52" s="4"/>
    </row>
    <row r="53" spans="1:14" ht="20.100000000000001" customHeight="1" x14ac:dyDescent="0.25">
      <c r="A53" s="61"/>
      <c r="B53" s="51" t="s">
        <v>44</v>
      </c>
      <c r="C53" s="42"/>
      <c r="D53" s="42"/>
      <c r="E53" s="42"/>
      <c r="F53" s="42"/>
      <c r="G53" s="74">
        <f t="shared" si="15"/>
        <v>0</v>
      </c>
    </row>
    <row r="54" spans="1:14" ht="20.100000000000001" customHeight="1" x14ac:dyDescent="0.25">
      <c r="A54" s="61"/>
      <c r="B54" s="49" t="s">
        <v>30</v>
      </c>
      <c r="C54" s="42"/>
      <c r="D54" s="42"/>
      <c r="E54" s="42"/>
      <c r="F54" s="42"/>
      <c r="G54" s="74">
        <f t="shared" si="15"/>
        <v>0</v>
      </c>
    </row>
    <row r="55" spans="1:14" ht="41.25" customHeight="1" x14ac:dyDescent="0.25">
      <c r="A55" s="61"/>
      <c r="B55" s="49" t="s">
        <v>31</v>
      </c>
      <c r="C55" s="42"/>
      <c r="D55" s="42"/>
      <c r="E55" s="42"/>
      <c r="F55" s="42"/>
      <c r="G55" s="74">
        <f t="shared" si="15"/>
        <v>0</v>
      </c>
    </row>
    <row r="56" spans="1:14" ht="39" customHeight="1" x14ac:dyDescent="0.25">
      <c r="A56" s="62"/>
      <c r="B56" s="81" t="s">
        <v>50</v>
      </c>
      <c r="C56" s="68"/>
      <c r="D56" s="68"/>
      <c r="E56" s="68"/>
      <c r="F56" s="68"/>
      <c r="G56" s="82">
        <f t="shared" si="15"/>
        <v>0</v>
      </c>
    </row>
    <row r="57" spans="1:14" ht="60" customHeight="1" x14ac:dyDescent="0.25">
      <c r="A57" s="60"/>
      <c r="B57" s="51" t="s">
        <v>53</v>
      </c>
      <c r="C57" s="68"/>
      <c r="D57" s="68"/>
      <c r="E57" s="68"/>
      <c r="F57" s="68"/>
      <c r="G57" s="82">
        <f t="shared" si="15"/>
        <v>0</v>
      </c>
    </row>
    <row r="58" spans="1:14" ht="20.100000000000001" customHeight="1" thickBot="1" x14ac:dyDescent="0.3">
      <c r="A58" s="63"/>
      <c r="B58" s="50" t="s">
        <v>32</v>
      </c>
      <c r="C58" s="57"/>
      <c r="D58" s="57"/>
      <c r="E58" s="57"/>
      <c r="F58" s="57"/>
      <c r="G58" s="76">
        <f>SUM(C58:F58)</f>
        <v>0</v>
      </c>
    </row>
    <row r="59" spans="1:14" ht="20.100000000000001" customHeight="1" outlineLevel="1" thickBot="1" x14ac:dyDescent="0.3">
      <c r="A59" s="229" t="s">
        <v>42</v>
      </c>
      <c r="B59" s="230"/>
      <c r="C59" s="38">
        <f>C31+C36+C39+C42</f>
        <v>9321.6977773700419</v>
      </c>
      <c r="D59" s="38">
        <f>D31+D36+D39+D42</f>
        <v>9288.4280173700408</v>
      </c>
      <c r="E59" s="38">
        <f>E31+E36+E39+E42</f>
        <v>9313.8044773700422</v>
      </c>
      <c r="F59" s="38">
        <f>F31+F36+F39+F42</f>
        <v>9497.6364373700417</v>
      </c>
      <c r="G59" s="39">
        <f>G31+G36+G39+G42</f>
        <v>34822.286639999998</v>
      </c>
    </row>
    <row r="60" spans="1:14" ht="26.1" customHeight="1" outlineLevel="1" x14ac:dyDescent="0.25">
      <c r="A60" s="115"/>
      <c r="B60" s="72"/>
      <c r="C60" s="73">
        <f>C29-C59</f>
        <v>1963.2001906299574</v>
      </c>
      <c r="D60" s="73">
        <f>D29-D59</f>
        <v>1914.8183506299592</v>
      </c>
      <c r="E60" s="73">
        <f>E29-E59</f>
        <v>1981.6573006299586</v>
      </c>
      <c r="F60" s="73">
        <f>F29-F59</f>
        <v>2308.8625606299574</v>
      </c>
      <c r="G60" s="73">
        <f>G29-G59</f>
        <v>10767.818471999992</v>
      </c>
    </row>
  </sheetData>
  <dataConsolidate/>
  <mergeCells count="19">
    <mergeCell ref="A8:B8"/>
    <mergeCell ref="I8:M8"/>
    <mergeCell ref="O8:S8"/>
    <mergeCell ref="U8:Y8"/>
    <mergeCell ref="A1:C1"/>
    <mergeCell ref="A2:G2"/>
    <mergeCell ref="A3:G3"/>
    <mergeCell ref="A4:A6"/>
    <mergeCell ref="B4:B6"/>
    <mergeCell ref="C5:C6"/>
    <mergeCell ref="D5:D6"/>
    <mergeCell ref="E5:E6"/>
    <mergeCell ref="F5:F6"/>
    <mergeCell ref="G5:G6"/>
    <mergeCell ref="Z10:Z12"/>
    <mergeCell ref="A29:B29"/>
    <mergeCell ref="A30:B30"/>
    <mergeCell ref="A59:B59"/>
    <mergeCell ref="H28:AA28"/>
  </mergeCells>
  <pageMargins left="0.70866141732283472" right="0.70866141732283472" top="0.74803149606299213" bottom="0.74803149606299213" header="0.31496062992125984" footer="0.31496062992125984"/>
  <pageSetup paperSize="9" scale="4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D4923-F261-4CFD-BF4C-62D1375EAFD4}">
  <sheetPr>
    <tabColor rgb="FFFFC000"/>
    <pageSetUpPr fitToPage="1"/>
  </sheetPr>
  <dimension ref="A1:AI60"/>
  <sheetViews>
    <sheetView showGridLines="0" view="pageBreakPreview" topLeftCell="A4" zoomScale="60" zoomScaleNormal="70" workbookViewId="0">
      <selection activeCell="K21" sqref="K21"/>
    </sheetView>
  </sheetViews>
  <sheetFormatPr defaultColWidth="10.140625" defaultRowHeight="18.75" outlineLevelRow="1" x14ac:dyDescent="0.25"/>
  <cols>
    <col min="1" max="1" width="8" style="2" customWidth="1"/>
    <col min="2" max="2" width="84.7109375" style="2" customWidth="1"/>
    <col min="3" max="7" width="16.7109375" style="3" customWidth="1"/>
    <col min="8" max="8" width="10.28515625" style="2" bestFit="1" customWidth="1"/>
    <col min="9" max="9" width="45.7109375" style="2" bestFit="1" customWidth="1"/>
    <col min="10" max="10" width="11.7109375" style="2" bestFit="1" customWidth="1"/>
    <col min="11" max="12" width="29.85546875" style="2" bestFit="1" customWidth="1"/>
    <col min="13" max="13" width="10.42578125" style="2" bestFit="1" customWidth="1"/>
    <col min="14" max="16384" width="10.140625" style="2"/>
  </cols>
  <sheetData>
    <row r="1" spans="1:26" x14ac:dyDescent="0.25">
      <c r="A1" s="200"/>
      <c r="B1" s="200"/>
      <c r="C1" s="200"/>
      <c r="D1" s="120"/>
      <c r="E1" s="120"/>
      <c r="F1" s="120"/>
      <c r="G1" s="120"/>
      <c r="I1" s="102" t="s">
        <v>63</v>
      </c>
      <c r="J1" s="101">
        <v>5266.4</v>
      </c>
    </row>
    <row r="2" spans="1:26" x14ac:dyDescent="0.25">
      <c r="A2" s="200"/>
      <c r="B2" s="200"/>
      <c r="C2" s="200"/>
      <c r="D2" s="200"/>
      <c r="E2" s="200"/>
      <c r="F2" s="200"/>
      <c r="G2" s="200"/>
      <c r="I2" s="102"/>
      <c r="J2" s="101"/>
      <c r="K2" s="120"/>
    </row>
    <row r="3" spans="1:26" ht="19.5" thickBot="1" x14ac:dyDescent="0.3">
      <c r="A3" s="201"/>
      <c r="B3" s="201"/>
      <c r="C3" s="201"/>
      <c r="D3" s="201"/>
      <c r="E3" s="201"/>
      <c r="F3" s="201"/>
      <c r="G3" s="201"/>
      <c r="I3" s="7"/>
      <c r="J3" s="6"/>
      <c r="K3" s="121"/>
    </row>
    <row r="4" spans="1:26" x14ac:dyDescent="0.25">
      <c r="A4" s="207" t="s">
        <v>0</v>
      </c>
      <c r="B4" s="209" t="s">
        <v>1</v>
      </c>
      <c r="C4" s="119"/>
      <c r="D4" s="119"/>
      <c r="E4" s="119"/>
      <c r="F4" s="119"/>
      <c r="G4" s="14"/>
      <c r="I4" s="4" t="s">
        <v>64</v>
      </c>
      <c r="J4" s="4">
        <v>46</v>
      </c>
    </row>
    <row r="5" spans="1:26" ht="18" customHeight="1" x14ac:dyDescent="0.25">
      <c r="A5" s="208"/>
      <c r="B5" s="210"/>
      <c r="C5" s="203" t="s">
        <v>19</v>
      </c>
      <c r="D5" s="203" t="s">
        <v>20</v>
      </c>
      <c r="E5" s="203" t="s">
        <v>21</v>
      </c>
      <c r="F5" s="203" t="s">
        <v>22</v>
      </c>
      <c r="G5" s="202" t="s">
        <v>23</v>
      </c>
      <c r="I5" s="4" t="s">
        <v>65</v>
      </c>
      <c r="J5" s="4">
        <v>76</v>
      </c>
    </row>
    <row r="6" spans="1:26" x14ac:dyDescent="0.25">
      <c r="A6" s="208"/>
      <c r="B6" s="210"/>
      <c r="C6" s="203"/>
      <c r="D6" s="203"/>
      <c r="E6" s="203"/>
      <c r="F6" s="203"/>
      <c r="G6" s="202"/>
      <c r="I6" s="4"/>
      <c r="J6" s="4"/>
    </row>
    <row r="7" spans="1:26" ht="19.5" thickBot="1" x14ac:dyDescent="0.3">
      <c r="A7" s="122">
        <v>1</v>
      </c>
      <c r="B7" s="16">
        <v>2</v>
      </c>
      <c r="C7" s="17">
        <v>3</v>
      </c>
      <c r="D7" s="17">
        <v>4</v>
      </c>
      <c r="E7" s="17">
        <v>5</v>
      </c>
      <c r="F7" s="17">
        <v>5</v>
      </c>
      <c r="G7" s="18">
        <v>7</v>
      </c>
      <c r="I7" s="2" t="s">
        <v>87</v>
      </c>
    </row>
    <row r="8" spans="1:26" ht="26.1" customHeight="1" thickBot="1" x14ac:dyDescent="0.3">
      <c r="A8" s="206" t="s">
        <v>2</v>
      </c>
      <c r="B8" s="206"/>
      <c r="C8" s="19" t="s">
        <v>8</v>
      </c>
      <c r="D8" s="19" t="s">
        <v>8</v>
      </c>
      <c r="E8" s="19" t="s">
        <v>8</v>
      </c>
      <c r="F8" s="19" t="s">
        <v>8</v>
      </c>
      <c r="G8" s="19" t="s">
        <v>8</v>
      </c>
      <c r="I8" s="225" t="s">
        <v>88</v>
      </c>
      <c r="J8" s="225"/>
      <c r="K8" s="225"/>
      <c r="L8" s="225"/>
      <c r="M8" s="225"/>
      <c r="O8" s="225" t="s">
        <v>89</v>
      </c>
      <c r="P8" s="225"/>
      <c r="Q8" s="225"/>
      <c r="R8" s="225"/>
      <c r="S8" s="225"/>
      <c r="U8" s="225" t="s">
        <v>90</v>
      </c>
      <c r="V8" s="225"/>
      <c r="W8" s="225"/>
      <c r="X8" s="225"/>
      <c r="Y8" s="225"/>
    </row>
    <row r="9" spans="1:26" ht="20.100000000000001" customHeight="1" x14ac:dyDescent="0.25">
      <c r="A9" s="117">
        <v>1</v>
      </c>
      <c r="B9" s="21" t="s">
        <v>15</v>
      </c>
      <c r="C9" s="22">
        <f>SUM(C10:C15)</f>
        <v>3424.698672</v>
      </c>
      <c r="D9" s="22">
        <f>SUM(D10:D15)</f>
        <v>3308.9479519999995</v>
      </c>
      <c r="E9" s="22">
        <f>SUM(E10:E15)</f>
        <v>3426.002152</v>
      </c>
      <c r="F9" s="22">
        <f>SUM(F10:F15)</f>
        <v>4123.1134319999992</v>
      </c>
      <c r="G9" s="8">
        <f>SUM(G10:G15)</f>
        <v>14282.762207999998</v>
      </c>
      <c r="I9" s="123" t="s">
        <v>91</v>
      </c>
      <c r="J9" s="123" t="s">
        <v>92</v>
      </c>
      <c r="K9" s="140" t="s">
        <v>93</v>
      </c>
      <c r="L9" s="140" t="s">
        <v>94</v>
      </c>
      <c r="M9" s="140" t="s">
        <v>62</v>
      </c>
      <c r="N9" s="123"/>
      <c r="O9" s="123" t="s">
        <v>67</v>
      </c>
      <c r="P9" s="123" t="s">
        <v>92</v>
      </c>
      <c r="Q9" s="123" t="s">
        <v>61</v>
      </c>
      <c r="R9" s="123" t="s">
        <v>94</v>
      </c>
      <c r="S9" s="140" t="s">
        <v>62</v>
      </c>
      <c r="T9" s="123"/>
      <c r="U9" s="123" t="s">
        <v>67</v>
      </c>
      <c r="V9" s="123" t="s">
        <v>92</v>
      </c>
      <c r="W9" s="123" t="s">
        <v>61</v>
      </c>
      <c r="X9" s="123" t="s">
        <v>94</v>
      </c>
      <c r="Y9" s="140" t="s">
        <v>62</v>
      </c>
    </row>
    <row r="10" spans="1:26" ht="20.100000000000001" customHeight="1" x14ac:dyDescent="0.3">
      <c r="A10" s="118"/>
      <c r="B10" s="10" t="s">
        <v>3</v>
      </c>
      <c r="C10" s="12">
        <f>SUM(I10*3)</f>
        <v>2088.6542399999998</v>
      </c>
      <c r="D10" s="12">
        <f>SUM(I10*2+O10*1)</f>
        <v>2044.4164799999999</v>
      </c>
      <c r="E10" s="12">
        <f>SUM(O10*2)+U10*1</f>
        <v>1955.9409599999997</v>
      </c>
      <c r="F10" s="12">
        <f>SUM(U10*3)</f>
        <v>1955.9409599999997</v>
      </c>
      <c r="G10" s="77">
        <f>SUM(C10:F10)</f>
        <v>8044.9526399999995</v>
      </c>
      <c r="H10" s="141" t="s">
        <v>95</v>
      </c>
      <c r="I10" s="142">
        <f>SUM(M10*K10)</f>
        <v>696.21807999999999</v>
      </c>
      <c r="J10" s="142"/>
      <c r="K10" s="142">
        <v>0.13220000000000001</v>
      </c>
      <c r="L10" s="142"/>
      <c r="M10" s="143">
        <f>SUM(J1)</f>
        <v>5266.4</v>
      </c>
      <c r="N10" s="144"/>
      <c r="O10" s="142">
        <f>SUM(S10*Q10)</f>
        <v>651.98031999999989</v>
      </c>
      <c r="P10" s="142" t="s">
        <v>96</v>
      </c>
      <c r="Q10" s="142">
        <v>0.12379999999999999</v>
      </c>
      <c r="R10" s="142"/>
      <c r="S10" s="143">
        <f>SUM(J1)</f>
        <v>5266.4</v>
      </c>
      <c r="T10" s="144"/>
      <c r="U10" s="142">
        <f>SUM(Y10*W10)</f>
        <v>651.98031999999989</v>
      </c>
      <c r="V10" s="142" t="s">
        <v>96</v>
      </c>
      <c r="W10" s="142">
        <v>0.12379999999999999</v>
      </c>
      <c r="X10" s="142"/>
      <c r="Y10" s="143">
        <f>SUM(J1)</f>
        <v>5266.4</v>
      </c>
      <c r="Z10" s="226"/>
    </row>
    <row r="11" spans="1:26" ht="20.100000000000001" customHeight="1" x14ac:dyDescent="0.3">
      <c r="A11" s="118"/>
      <c r="B11" s="10" t="s">
        <v>3</v>
      </c>
      <c r="C11" s="12"/>
      <c r="D11" s="12"/>
      <c r="E11" s="12"/>
      <c r="F11" s="12"/>
      <c r="G11" s="77">
        <f t="shared" ref="G11:G14" si="0">SUM(C11:F11)</f>
        <v>0</v>
      </c>
      <c r="H11" s="141" t="s">
        <v>97</v>
      </c>
      <c r="I11" s="142"/>
      <c r="J11" s="142"/>
      <c r="K11" s="142"/>
      <c r="L11" s="142">
        <v>0.1419</v>
      </c>
      <c r="M11" s="142"/>
      <c r="N11" s="144"/>
      <c r="O11" s="142"/>
      <c r="P11" s="142"/>
      <c r="Q11" s="142"/>
      <c r="R11" s="142">
        <v>0.13350000000000001</v>
      </c>
      <c r="S11" s="142"/>
      <c r="T11" s="144"/>
      <c r="U11" s="142"/>
      <c r="V11" s="142"/>
      <c r="W11" s="142"/>
      <c r="X11" s="142">
        <v>0.13350000000000001</v>
      </c>
      <c r="Y11" s="142"/>
      <c r="Z11" s="226"/>
    </row>
    <row r="12" spans="1:26" ht="20.100000000000001" customHeight="1" x14ac:dyDescent="0.3">
      <c r="A12" s="118"/>
      <c r="B12" s="10" t="s">
        <v>60</v>
      </c>
      <c r="C12" s="12"/>
      <c r="D12" s="12"/>
      <c r="E12" s="12"/>
      <c r="F12" s="12"/>
      <c r="G12" s="77">
        <f t="shared" si="0"/>
        <v>0</v>
      </c>
      <c r="H12" s="141"/>
      <c r="I12" s="142"/>
      <c r="J12" s="142"/>
      <c r="K12" s="142"/>
      <c r="L12" s="142"/>
      <c r="M12" s="142"/>
      <c r="N12" s="144"/>
      <c r="O12" s="142"/>
      <c r="P12" s="142"/>
      <c r="Q12" s="142"/>
      <c r="R12" s="142"/>
      <c r="S12" s="142"/>
      <c r="T12" s="144"/>
      <c r="U12" s="142"/>
      <c r="V12" s="142"/>
      <c r="W12" s="142"/>
      <c r="X12" s="142"/>
      <c r="Y12" s="142"/>
      <c r="Z12" s="226"/>
    </row>
    <row r="13" spans="1:26" ht="20.100000000000001" customHeight="1" x14ac:dyDescent="0.3">
      <c r="A13" s="118"/>
      <c r="B13" s="10" t="s">
        <v>10</v>
      </c>
      <c r="C13" s="12">
        <f>SUM(I13*3)</f>
        <v>253.07999999999998</v>
      </c>
      <c r="D13" s="12">
        <f>SUM(I13*2+O13)</f>
        <v>249.66</v>
      </c>
      <c r="E13" s="12">
        <f>SUM(O13*2+U13)</f>
        <v>376.22248000000002</v>
      </c>
      <c r="F13" s="12">
        <f>SUM(U13*3)</f>
        <v>643.02743999999996</v>
      </c>
      <c r="G13" s="77">
        <f>SUM(C13:F13)</f>
        <v>1521.98992</v>
      </c>
      <c r="H13" s="141" t="s">
        <v>98</v>
      </c>
      <c r="I13" s="142">
        <f>SUM(J5*1.5*K13)</f>
        <v>84.36</v>
      </c>
      <c r="J13" s="142" t="s">
        <v>96</v>
      </c>
      <c r="K13" s="142">
        <v>0.74</v>
      </c>
      <c r="L13" s="142"/>
      <c r="M13" s="142"/>
      <c r="N13" s="145"/>
      <c r="O13" s="142">
        <f>SUM(J5*1.5*Q13)</f>
        <v>80.94</v>
      </c>
      <c r="P13" s="142" t="s">
        <v>96</v>
      </c>
      <c r="Q13" s="142">
        <v>0.71</v>
      </c>
      <c r="R13" s="142"/>
      <c r="S13" s="142"/>
      <c r="T13" s="145"/>
      <c r="U13" s="142">
        <f>SUM(W13*Y13)</f>
        <v>214.34247999999999</v>
      </c>
      <c r="V13" s="142" t="s">
        <v>96</v>
      </c>
      <c r="W13" s="142">
        <v>4.07E-2</v>
      </c>
      <c r="X13" s="142"/>
      <c r="Y13" s="143">
        <f>SUM(J1)</f>
        <v>5266.4</v>
      </c>
      <c r="Z13" s="3"/>
    </row>
    <row r="14" spans="1:26" ht="20.100000000000001" customHeight="1" outlineLevel="1" x14ac:dyDescent="0.3">
      <c r="A14" s="24"/>
      <c r="B14" s="10" t="s">
        <v>11</v>
      </c>
      <c r="C14" s="12">
        <f>SUM(I14*3)</f>
        <v>539.22</v>
      </c>
      <c r="D14" s="12">
        <f>SUM(I14*2+O14)</f>
        <v>476.9</v>
      </c>
      <c r="E14" s="12">
        <f>SUM(O14*2+U14)</f>
        <v>567.41315999999995</v>
      </c>
      <c r="F14" s="12">
        <f>SUM(U14*3)</f>
        <v>997.71947999999998</v>
      </c>
      <c r="G14" s="77">
        <f t="shared" si="0"/>
        <v>2581.2526399999997</v>
      </c>
      <c r="H14" s="141" t="s">
        <v>11</v>
      </c>
      <c r="I14" s="142">
        <f>SUM((K14+L14/2))*J5</f>
        <v>179.74</v>
      </c>
      <c r="J14" s="142" t="s">
        <v>96</v>
      </c>
      <c r="K14" s="142">
        <v>1.5</v>
      </c>
      <c r="L14" s="142">
        <v>1.73</v>
      </c>
      <c r="M14" s="142"/>
      <c r="N14" s="145"/>
      <c r="O14" s="142">
        <f>SUM((Q14+R14))/2*J5</f>
        <v>117.41999999999999</v>
      </c>
      <c r="P14" s="142" t="s">
        <v>96</v>
      </c>
      <c r="Q14" s="142">
        <v>1.43</v>
      </c>
      <c r="R14" s="142">
        <v>1.66</v>
      </c>
      <c r="S14" s="142"/>
      <c r="T14" s="145"/>
      <c r="U14" s="142">
        <f>SUM((W14+X14))/2*Y14</f>
        <v>332.57315999999997</v>
      </c>
      <c r="V14" s="142" t="s">
        <v>96</v>
      </c>
      <c r="W14" s="142">
        <v>5.8400000000000001E-2</v>
      </c>
      <c r="X14" s="142">
        <v>6.7900000000000002E-2</v>
      </c>
      <c r="Y14" s="142">
        <f>SUM(J1)</f>
        <v>5266.4</v>
      </c>
      <c r="Z14" s="3"/>
    </row>
    <row r="15" spans="1:26" ht="20.100000000000001" customHeight="1" outlineLevel="1" thickBot="1" x14ac:dyDescent="0.35">
      <c r="A15" s="24"/>
      <c r="B15" s="10" t="s">
        <v>12</v>
      </c>
      <c r="C15" s="9">
        <f>SUM(I15*3)</f>
        <v>543.74443199999996</v>
      </c>
      <c r="D15" s="9">
        <f>SUM(I15*2+O15)</f>
        <v>537.97147199999995</v>
      </c>
      <c r="E15" s="9">
        <f>SUM(O15*2+U15)</f>
        <v>526.42555199999993</v>
      </c>
      <c r="F15" s="9">
        <f>SUM(U15*3)</f>
        <v>526.42555199999993</v>
      </c>
      <c r="G15" s="77">
        <f t="shared" ref="G15" si="1">SUM(C15:F15)</f>
        <v>2134.567008</v>
      </c>
      <c r="H15" s="141" t="s">
        <v>99</v>
      </c>
      <c r="I15" s="142">
        <f>SUM(J15*((K15+L15))/2)*M15</f>
        <v>181.24814399999997</v>
      </c>
      <c r="J15" s="142">
        <v>0.24</v>
      </c>
      <c r="K15" s="142">
        <v>9.2583000000000002</v>
      </c>
      <c r="L15" s="142">
        <v>10.615399999999999</v>
      </c>
      <c r="M15" s="142">
        <f>SUM(J5)</f>
        <v>76</v>
      </c>
      <c r="N15" s="145"/>
      <c r="O15" s="142">
        <f>SUM(P15*((Q15+R15)/2)*S15)</f>
        <v>175.47518399999998</v>
      </c>
      <c r="P15" s="142">
        <v>0.24</v>
      </c>
      <c r="Q15" s="142">
        <v>8.9418000000000006</v>
      </c>
      <c r="R15" s="142">
        <v>10.2989</v>
      </c>
      <c r="S15" s="142">
        <f>SUM(J5)</f>
        <v>76</v>
      </c>
      <c r="T15" s="145"/>
      <c r="U15" s="142">
        <f>SUM(V15*((W15+X15)/2)*Y15)</f>
        <v>175.47518399999998</v>
      </c>
      <c r="V15" s="142">
        <v>0.24</v>
      </c>
      <c r="W15" s="142">
        <v>8.9418000000000006</v>
      </c>
      <c r="X15" s="142">
        <v>10.2989</v>
      </c>
      <c r="Y15" s="142">
        <f>SUM(J5)</f>
        <v>76</v>
      </c>
    </row>
    <row r="16" spans="1:26" ht="20.100000000000001" customHeight="1" x14ac:dyDescent="0.3">
      <c r="A16" s="117">
        <v>2</v>
      </c>
      <c r="B16" s="28" t="s">
        <v>16</v>
      </c>
      <c r="C16" s="35">
        <f>SUM(C17:C19)</f>
        <v>513</v>
      </c>
      <c r="D16" s="35">
        <f t="shared" ref="D16:F16" si="2">SUM(D17:D19)</f>
        <v>513</v>
      </c>
      <c r="E16" s="35">
        <f t="shared" si="2"/>
        <v>536.33472000000006</v>
      </c>
      <c r="F16" s="35">
        <f t="shared" si="2"/>
        <v>583.00415999999996</v>
      </c>
      <c r="G16" s="35">
        <f>SUM(G17:G19)</f>
        <v>2145.3388800000002</v>
      </c>
      <c r="H16" s="141"/>
      <c r="I16" s="142"/>
      <c r="J16" s="142"/>
      <c r="K16" s="142"/>
      <c r="L16" s="142"/>
      <c r="M16" s="142"/>
      <c r="O16" s="142"/>
      <c r="P16" s="142"/>
      <c r="Q16" s="142"/>
      <c r="R16" s="142"/>
      <c r="S16" s="142"/>
      <c r="U16" s="142"/>
      <c r="V16" s="142"/>
      <c r="W16" s="142"/>
      <c r="X16" s="142"/>
      <c r="Y16" s="142"/>
    </row>
    <row r="17" spans="1:35" ht="39" customHeight="1" outlineLevel="1" x14ac:dyDescent="0.3">
      <c r="A17" s="29"/>
      <c r="B17" s="10" t="s">
        <v>25</v>
      </c>
      <c r="C17" s="12">
        <f>SUM(I17*3)</f>
        <v>242.82</v>
      </c>
      <c r="D17" s="12">
        <f>SUM(I17*2+O17)</f>
        <v>242.82</v>
      </c>
      <c r="E17" s="12">
        <f>SUM(O17*2+U17)</f>
        <v>266.15472</v>
      </c>
      <c r="F17" s="12">
        <f>SUM(U17*3)</f>
        <v>312.82416000000001</v>
      </c>
      <c r="G17" s="77">
        <f t="shared" ref="G17:G18" si="3">SUM(C17:F17)</f>
        <v>1064.61888</v>
      </c>
      <c r="H17" s="146" t="s">
        <v>100</v>
      </c>
      <c r="I17" s="142">
        <f>SUM(K17*M17)*1.5</f>
        <v>80.94</v>
      </c>
      <c r="J17" s="142" t="s">
        <v>101</v>
      </c>
      <c r="K17" s="142">
        <v>0.71</v>
      </c>
      <c r="L17" s="142"/>
      <c r="M17" s="142">
        <f>SUM(J5)</f>
        <v>76</v>
      </c>
      <c r="N17" s="145"/>
      <c r="O17" s="142">
        <f>SUM(Q17*S17*1.5)</f>
        <v>80.94</v>
      </c>
      <c r="P17" s="142" t="s">
        <v>101</v>
      </c>
      <c r="Q17" s="142">
        <v>0.71</v>
      </c>
      <c r="R17" s="142"/>
      <c r="S17" s="142">
        <f>SUM(J5)</f>
        <v>76</v>
      </c>
      <c r="T17" s="145"/>
      <c r="U17" s="142">
        <f>SUM(W17*Y17)</f>
        <v>104.27472</v>
      </c>
      <c r="V17" s="142" t="s">
        <v>101</v>
      </c>
      <c r="W17" s="142">
        <v>1.9800000000000002E-2</v>
      </c>
      <c r="X17" s="142"/>
      <c r="Y17" s="142">
        <f>SUM(J1)</f>
        <v>5266.4</v>
      </c>
    </row>
    <row r="18" spans="1:35" ht="40.5" customHeight="1" outlineLevel="1" x14ac:dyDescent="0.3">
      <c r="A18" s="29"/>
      <c r="B18" s="10" t="s">
        <v>14</v>
      </c>
      <c r="C18" s="12">
        <f>SUM(I18*3)</f>
        <v>270.18</v>
      </c>
      <c r="D18" s="12">
        <f>SUM(I18*2+O18)</f>
        <v>270.18</v>
      </c>
      <c r="E18" s="12">
        <f>SUM(O18*2+U18)</f>
        <v>270.18</v>
      </c>
      <c r="F18" s="12">
        <f>SUM(U18*3)</f>
        <v>270.18</v>
      </c>
      <c r="G18" s="77">
        <f t="shared" si="3"/>
        <v>1080.72</v>
      </c>
      <c r="H18" s="146" t="s">
        <v>102</v>
      </c>
      <c r="I18" s="142">
        <f>SUM(K18*M18)*1.5</f>
        <v>90.06</v>
      </c>
      <c r="J18" s="142" t="s">
        <v>101</v>
      </c>
      <c r="K18" s="142">
        <v>0.79</v>
      </c>
      <c r="L18" s="142"/>
      <c r="M18" s="142">
        <f>SUM(J5)</f>
        <v>76</v>
      </c>
      <c r="N18" s="145"/>
      <c r="O18" s="142">
        <f>SUM(Q18*S18)*1.5</f>
        <v>90.06</v>
      </c>
      <c r="P18" s="142" t="s">
        <v>101</v>
      </c>
      <c r="Q18" s="142">
        <v>0.79</v>
      </c>
      <c r="R18" s="142"/>
      <c r="S18" s="142">
        <f>SUM(J5)</f>
        <v>76</v>
      </c>
      <c r="T18" s="145"/>
      <c r="U18" s="142">
        <f>SUM(W18*Y18)*1.5</f>
        <v>90.06</v>
      </c>
      <c r="V18" s="142" t="s">
        <v>101</v>
      </c>
      <c r="W18" s="142">
        <v>0.79</v>
      </c>
      <c r="X18" s="142"/>
      <c r="Y18" s="142">
        <f>SUM(J5)</f>
        <v>76</v>
      </c>
    </row>
    <row r="19" spans="1:35" ht="40.5" customHeight="1" outlineLevel="1" thickBot="1" x14ac:dyDescent="0.3">
      <c r="A19" s="124"/>
      <c r="B19" s="125" t="s">
        <v>75</v>
      </c>
      <c r="C19" s="126"/>
      <c r="D19" s="126"/>
      <c r="E19" s="126"/>
      <c r="F19" s="126"/>
      <c r="G19" s="127"/>
      <c r="H19" s="141"/>
      <c r="I19" s="144"/>
      <c r="J19" s="144"/>
      <c r="K19" s="144"/>
      <c r="L19" s="144"/>
      <c r="M19" s="145"/>
      <c r="N19" s="145"/>
      <c r="O19" s="144"/>
      <c r="P19" s="144"/>
      <c r="Q19" s="144"/>
      <c r="R19" s="144"/>
      <c r="S19" s="145"/>
      <c r="T19" s="145"/>
      <c r="U19" s="144"/>
      <c r="V19" s="144"/>
      <c r="W19" s="144"/>
      <c r="X19" s="144"/>
      <c r="Y19" s="145"/>
    </row>
    <row r="20" spans="1:35" ht="20.100000000000001" customHeight="1" outlineLevel="1" thickBot="1" x14ac:dyDescent="0.3">
      <c r="A20" s="117">
        <v>3</v>
      </c>
      <c r="B20" s="28" t="s">
        <v>17</v>
      </c>
      <c r="C20" s="22">
        <f>SUM(C21:C22)</f>
        <v>668.04</v>
      </c>
      <c r="D20" s="22">
        <f t="shared" ref="D20:F20" si="4">SUM(D21:D22)</f>
        <v>668.04</v>
      </c>
      <c r="E20" s="22">
        <f t="shared" si="4"/>
        <v>668.04</v>
      </c>
      <c r="F20" s="22">
        <f t="shared" si="4"/>
        <v>668.04</v>
      </c>
      <c r="G20" s="8">
        <f>SUM(G21:G22)</f>
        <v>2672.16</v>
      </c>
      <c r="H20" s="141"/>
      <c r="I20" s="123" t="s">
        <v>66</v>
      </c>
      <c r="J20" s="123"/>
      <c r="K20" s="123" t="s">
        <v>61</v>
      </c>
      <c r="L20" s="123"/>
      <c r="M20" s="123" t="s">
        <v>67</v>
      </c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</row>
    <row r="21" spans="1:35" ht="20.100000000000001" customHeight="1" outlineLevel="1" x14ac:dyDescent="0.3">
      <c r="A21" s="29"/>
      <c r="B21" s="10" t="s">
        <v>45</v>
      </c>
      <c r="C21" s="11">
        <f>SUM(M21)*3</f>
        <v>212.04000000000002</v>
      </c>
      <c r="D21" s="11">
        <f>SUM(M21*3)</f>
        <v>212.04000000000002</v>
      </c>
      <c r="E21" s="11">
        <f>SUM(M21*3)</f>
        <v>212.04000000000002</v>
      </c>
      <c r="F21" s="11">
        <f>SUM(M21*3)</f>
        <v>212.04000000000002</v>
      </c>
      <c r="G21" s="78">
        <f>SUM(C21:F21)</f>
        <v>848.16000000000008</v>
      </c>
      <c r="H21" s="141" t="s">
        <v>103</v>
      </c>
      <c r="I21" s="109">
        <f>SUM(J5)</f>
        <v>76</v>
      </c>
      <c r="J21" s="110"/>
      <c r="K21" s="110">
        <v>0.93</v>
      </c>
      <c r="L21" s="110"/>
      <c r="M21" s="111">
        <f>I21*K21</f>
        <v>70.680000000000007</v>
      </c>
      <c r="N21" s="123"/>
      <c r="O21" s="109"/>
      <c r="P21" s="110"/>
      <c r="Q21" s="110"/>
      <c r="R21" s="110"/>
      <c r="S21" s="111"/>
      <c r="T21" s="123"/>
      <c r="U21" s="109"/>
      <c r="V21" s="110"/>
      <c r="W21" s="110"/>
      <c r="X21" s="110"/>
      <c r="Y21" s="111"/>
    </row>
    <row r="22" spans="1:35" ht="20.100000000000001" customHeight="1" outlineLevel="1" thickBot="1" x14ac:dyDescent="0.3">
      <c r="A22" s="27"/>
      <c r="B22" s="25" t="s">
        <v>18</v>
      </c>
      <c r="C22" s="26">
        <f>SUM(M22)*3</f>
        <v>456</v>
      </c>
      <c r="D22" s="26">
        <f>SUM(M22*3)</f>
        <v>456</v>
      </c>
      <c r="E22" s="26">
        <f>SUM(M22*3)</f>
        <v>456</v>
      </c>
      <c r="F22" s="26">
        <f>SUM(M22*3)</f>
        <v>456</v>
      </c>
      <c r="G22" s="79">
        <f>SUM(C22:F22)</f>
        <v>1824</v>
      </c>
      <c r="H22" s="146" t="s">
        <v>104</v>
      </c>
      <c r="I22" s="112">
        <f>SUM(J5)</f>
        <v>76</v>
      </c>
      <c r="J22" s="113"/>
      <c r="K22" s="113">
        <v>2</v>
      </c>
      <c r="L22" s="113"/>
      <c r="M22" s="114">
        <f>I22*K22</f>
        <v>152</v>
      </c>
      <c r="N22" s="123"/>
      <c r="O22" s="112"/>
      <c r="P22" s="113"/>
      <c r="Q22" s="113"/>
      <c r="R22" s="113"/>
      <c r="S22" s="114"/>
      <c r="T22" s="123"/>
      <c r="U22" s="112"/>
      <c r="V22" s="113"/>
      <c r="W22" s="113"/>
      <c r="X22" s="113"/>
      <c r="Y22" s="114"/>
    </row>
    <row r="23" spans="1:35" ht="20.100000000000001" customHeight="1" thickBot="1" x14ac:dyDescent="0.3">
      <c r="A23" s="31" t="s">
        <v>9</v>
      </c>
      <c r="B23" s="28" t="s">
        <v>27</v>
      </c>
      <c r="C23" s="22">
        <f>SUM(C24:C25)</f>
        <v>11533.415999999999</v>
      </c>
      <c r="D23" s="22">
        <f t="shared" ref="D23:F23" si="5">SUM(D24:D25)</f>
        <v>11533.415999999999</v>
      </c>
      <c r="E23" s="22">
        <f t="shared" si="5"/>
        <v>11533.415999999999</v>
      </c>
      <c r="F23" s="22">
        <f t="shared" si="5"/>
        <v>11533.415999999999</v>
      </c>
      <c r="G23" s="8">
        <f>SUM(G24:G25)</f>
        <v>46133.663999999997</v>
      </c>
      <c r="H23" s="147"/>
      <c r="I23" s="123" t="s">
        <v>68</v>
      </c>
      <c r="J23" s="123"/>
      <c r="K23" s="123" t="s">
        <v>61</v>
      </c>
      <c r="L23" s="123"/>
      <c r="M23" s="123" t="s">
        <v>67</v>
      </c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</row>
    <row r="24" spans="1:35" ht="20.100000000000001" customHeight="1" outlineLevel="1" thickBot="1" x14ac:dyDescent="0.3">
      <c r="A24" s="32"/>
      <c r="B24" s="10" t="s">
        <v>26</v>
      </c>
      <c r="C24" s="9">
        <f>SUM(M24)*3</f>
        <v>9795.503999999999</v>
      </c>
      <c r="D24" s="9">
        <f>SUM(M24*3)</f>
        <v>9795.503999999999</v>
      </c>
      <c r="E24" s="9">
        <f>SUM(M24*3)</f>
        <v>9795.503999999999</v>
      </c>
      <c r="F24" s="9">
        <f>SUM(M24*3)</f>
        <v>9795.503999999999</v>
      </c>
      <c r="G24" s="78">
        <f t="shared" ref="G24:G29" si="6">SUM(C24:F24)</f>
        <v>39182.015999999996</v>
      </c>
      <c r="H24" s="148" t="s">
        <v>105</v>
      </c>
      <c r="I24" s="103">
        <f>SUM(J1)</f>
        <v>5266.4</v>
      </c>
      <c r="J24" s="104"/>
      <c r="K24" s="110">
        <v>0.62</v>
      </c>
      <c r="L24" s="110"/>
      <c r="M24" s="105">
        <f>SUM(I24*K24)</f>
        <v>3265.1679999999997</v>
      </c>
      <c r="N24" s="144"/>
      <c r="O24" s="103"/>
      <c r="P24" s="104"/>
      <c r="Q24" s="110"/>
      <c r="R24" s="110"/>
      <c r="S24" s="105"/>
      <c r="T24" s="144"/>
      <c r="U24" s="103"/>
      <c r="V24" s="104"/>
      <c r="W24" s="110"/>
      <c r="X24" s="110"/>
      <c r="Y24" s="105"/>
    </row>
    <row r="25" spans="1:35" ht="20.100000000000001" customHeight="1" outlineLevel="1" thickBot="1" x14ac:dyDescent="0.3">
      <c r="A25" s="33"/>
      <c r="B25" s="25" t="s">
        <v>57</v>
      </c>
      <c r="C25" s="26">
        <f>SUM(M25)*3</f>
        <v>1737.9119999999998</v>
      </c>
      <c r="D25" s="26">
        <f>SUM(M25*3)</f>
        <v>1737.9119999999998</v>
      </c>
      <c r="E25" s="26">
        <f>SUM(M25*3)</f>
        <v>1737.9119999999998</v>
      </c>
      <c r="F25" s="26">
        <f>SUM(M25*3)</f>
        <v>1737.9119999999998</v>
      </c>
      <c r="G25" s="79">
        <f t="shared" si="6"/>
        <v>6951.6479999999992</v>
      </c>
      <c r="H25" s="148" t="s">
        <v>106</v>
      </c>
      <c r="I25" s="106">
        <f>SUM(J1)</f>
        <v>5266.4</v>
      </c>
      <c r="J25" s="108"/>
      <c r="K25" s="113">
        <v>0.11</v>
      </c>
      <c r="L25" s="113"/>
      <c r="M25" s="105">
        <f>SUM(I25*K25)</f>
        <v>579.30399999999997</v>
      </c>
      <c r="N25" s="144"/>
      <c r="O25" s="106"/>
      <c r="P25" s="108"/>
      <c r="Q25" s="113"/>
      <c r="R25" s="113"/>
      <c r="S25" s="107"/>
      <c r="T25" s="144"/>
      <c r="U25" s="106"/>
      <c r="V25" s="108"/>
      <c r="W25" s="113"/>
      <c r="X25" s="113"/>
      <c r="Y25" s="107"/>
    </row>
    <row r="26" spans="1:35" ht="20.100000000000001" customHeight="1" outlineLevel="1" x14ac:dyDescent="0.25">
      <c r="A26" s="34" t="s">
        <v>7</v>
      </c>
      <c r="B26" s="36" t="s">
        <v>4</v>
      </c>
      <c r="C26" s="30">
        <f>SUM(C27:C28)</f>
        <v>0</v>
      </c>
      <c r="D26" s="30">
        <f t="shared" ref="D26:F26" si="7">SUM(D27:D28)</f>
        <v>0</v>
      </c>
      <c r="E26" s="30">
        <f t="shared" si="7"/>
        <v>0</v>
      </c>
      <c r="F26" s="30">
        <f t="shared" si="7"/>
        <v>0</v>
      </c>
      <c r="G26" s="37">
        <f t="shared" si="6"/>
        <v>0</v>
      </c>
    </row>
    <row r="27" spans="1:35" s="1" customFormat="1" ht="20.100000000000001" customHeight="1" outlineLevel="1" x14ac:dyDescent="0.25">
      <c r="A27" s="32"/>
      <c r="B27" s="10" t="s">
        <v>5</v>
      </c>
      <c r="C27" s="9"/>
      <c r="D27" s="9"/>
      <c r="E27" s="9"/>
      <c r="F27" s="9"/>
      <c r="G27" s="78">
        <f t="shared" si="6"/>
        <v>0</v>
      </c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</row>
    <row r="28" spans="1:35" s="1" customFormat="1" ht="20.100000000000001" customHeight="1" outlineLevel="1" thickBot="1" x14ac:dyDescent="0.3">
      <c r="A28" s="33"/>
      <c r="B28" s="25" t="s">
        <v>24</v>
      </c>
      <c r="C28" s="26"/>
      <c r="D28" s="26"/>
      <c r="E28" s="26"/>
      <c r="F28" s="26"/>
      <c r="G28" s="79">
        <f t="shared" si="6"/>
        <v>0</v>
      </c>
      <c r="H28" s="227"/>
      <c r="I28" s="228"/>
      <c r="J28" s="228"/>
      <c r="K28" s="228"/>
      <c r="L28" s="228"/>
      <c r="M28" s="228"/>
      <c r="N28" s="228"/>
      <c r="O28" s="228"/>
      <c r="P28" s="228"/>
      <c r="Q28" s="228"/>
      <c r="R28" s="228"/>
      <c r="S28" s="228"/>
      <c r="T28" s="228"/>
      <c r="U28" s="228"/>
      <c r="V28" s="228"/>
      <c r="W28" s="228"/>
      <c r="X28" s="228"/>
      <c r="Y28" s="228"/>
      <c r="Z28" s="228"/>
      <c r="AA28" s="228"/>
      <c r="AB28" s="149"/>
      <c r="AC28" s="149"/>
      <c r="AD28" s="149"/>
      <c r="AE28" s="149"/>
      <c r="AF28" s="149"/>
      <c r="AG28" s="149"/>
      <c r="AH28" s="149"/>
      <c r="AI28" s="149"/>
    </row>
    <row r="29" spans="1:35" ht="26.1" customHeight="1" outlineLevel="1" thickBot="1" x14ac:dyDescent="0.3">
      <c r="A29" s="213" t="s">
        <v>6</v>
      </c>
      <c r="B29" s="214"/>
      <c r="C29" s="52">
        <f>C9+C16+C20+C23+C26</f>
        <v>16139.154671999999</v>
      </c>
      <c r="D29" s="52">
        <f>D9+D16+D20+D23+D26</f>
        <v>16023.403951999999</v>
      </c>
      <c r="E29" s="52">
        <f>E9+E16+E20+E23+E26</f>
        <v>16163.792871999998</v>
      </c>
      <c r="F29" s="52">
        <f>F9+F16+F20+F23+F26</f>
        <v>16907.573591999997</v>
      </c>
      <c r="G29" s="53">
        <f t="shared" si="6"/>
        <v>65233.925087999989</v>
      </c>
    </row>
    <row r="30" spans="1:35" ht="26.1" customHeight="1" thickBot="1" x14ac:dyDescent="0.3">
      <c r="A30" s="211" t="s">
        <v>39</v>
      </c>
      <c r="B30" s="212"/>
      <c r="C30" s="54" t="s">
        <v>8</v>
      </c>
      <c r="D30" s="54" t="s">
        <v>8</v>
      </c>
      <c r="E30" s="54" t="s">
        <v>8</v>
      </c>
      <c r="F30" s="54" t="s">
        <v>8</v>
      </c>
      <c r="G30" s="55" t="s">
        <v>8</v>
      </c>
    </row>
    <row r="31" spans="1:35" ht="20.100000000000001" customHeight="1" x14ac:dyDescent="0.25">
      <c r="A31" s="117">
        <v>1</v>
      </c>
      <c r="B31" s="21" t="s">
        <v>15</v>
      </c>
      <c r="C31" s="64">
        <f>SUM(C32:C35)</f>
        <v>2724.070777370041</v>
      </c>
      <c r="D31" s="64">
        <f>SUM(D32:D35)</f>
        <v>2676.413017370041</v>
      </c>
      <c r="E31" s="64">
        <f>SUM(E32:E35)</f>
        <v>2714.4999773700411</v>
      </c>
      <c r="F31" s="64">
        <f>SUM(F32:F35)</f>
        <v>2981.304937370041</v>
      </c>
      <c r="G31" s="64">
        <f>SUM(G32:G35)</f>
        <v>11096.288709480164</v>
      </c>
    </row>
    <row r="32" spans="1:35" ht="20.100000000000001" customHeight="1" x14ac:dyDescent="0.25">
      <c r="A32" s="46"/>
      <c r="B32" s="10" t="s">
        <v>3</v>
      </c>
      <c r="C32" s="42">
        <f>C10</f>
        <v>2088.6542399999998</v>
      </c>
      <c r="D32" s="42">
        <f>D10</f>
        <v>2044.4164799999999</v>
      </c>
      <c r="E32" s="42">
        <f>E10</f>
        <v>1955.9409599999997</v>
      </c>
      <c r="F32" s="42">
        <f>F10</f>
        <v>1955.9409599999997</v>
      </c>
      <c r="G32" s="74">
        <f>SUM(C32:F32)</f>
        <v>8044.9526399999995</v>
      </c>
    </row>
    <row r="33" spans="1:7" ht="20.100000000000001" customHeight="1" x14ac:dyDescent="0.25">
      <c r="A33" s="46"/>
      <c r="B33" s="10" t="s">
        <v>10</v>
      </c>
      <c r="C33" s="42">
        <f t="shared" ref="C33:F33" si="8">C13</f>
        <v>253.07999999999998</v>
      </c>
      <c r="D33" s="42">
        <f t="shared" si="8"/>
        <v>249.66</v>
      </c>
      <c r="E33" s="42">
        <f t="shared" si="8"/>
        <v>376.22248000000002</v>
      </c>
      <c r="F33" s="42">
        <f t="shared" si="8"/>
        <v>643.02743999999996</v>
      </c>
      <c r="G33" s="74">
        <f>SUM(C33:F33)</f>
        <v>1521.98992</v>
      </c>
    </row>
    <row r="34" spans="1:7" ht="57.75" customHeight="1" x14ac:dyDescent="0.25">
      <c r="A34" s="46"/>
      <c r="B34" s="10" t="s">
        <v>46</v>
      </c>
      <c r="C34" s="42">
        <f>[1]Лист15!D6</f>
        <v>382.33653737004119</v>
      </c>
      <c r="D34" s="42">
        <f>C34</f>
        <v>382.33653737004119</v>
      </c>
      <c r="E34" s="42">
        <f>C34</f>
        <v>382.33653737004119</v>
      </c>
      <c r="F34" s="42">
        <f>C34</f>
        <v>382.33653737004119</v>
      </c>
      <c r="G34" s="74">
        <f>SUM(C34:F34)</f>
        <v>1529.3461494801647</v>
      </c>
    </row>
    <row r="35" spans="1:7" ht="20.100000000000001" customHeight="1" thickBot="1" x14ac:dyDescent="0.3">
      <c r="A35" s="46"/>
      <c r="B35" s="10" t="s">
        <v>12</v>
      </c>
      <c r="C35" s="42"/>
      <c r="D35" s="42"/>
      <c r="E35" s="42"/>
      <c r="F35" s="42"/>
      <c r="G35" s="74">
        <f>SUM(C35:F35)</f>
        <v>0</v>
      </c>
    </row>
    <row r="36" spans="1:7" ht="20.100000000000001" customHeight="1" x14ac:dyDescent="0.25">
      <c r="A36" s="117">
        <v>2</v>
      </c>
      <c r="B36" s="28" t="s">
        <v>16</v>
      </c>
      <c r="C36" s="64">
        <f>SUM(C37:C38)</f>
        <v>0</v>
      </c>
      <c r="D36" s="64">
        <f t="shared" ref="D36:F36" si="9">SUM(D37:D38)</f>
        <v>0</v>
      </c>
      <c r="E36" s="64">
        <f t="shared" si="9"/>
        <v>0</v>
      </c>
      <c r="F36" s="64">
        <f t="shared" si="9"/>
        <v>0</v>
      </c>
      <c r="G36" s="64">
        <f t="shared" ref="G36" si="10">SUM(G37:G38)</f>
        <v>0</v>
      </c>
    </row>
    <row r="37" spans="1:7" ht="39.950000000000003" customHeight="1" x14ac:dyDescent="0.25">
      <c r="A37" s="29"/>
      <c r="B37" s="10" t="s">
        <v>25</v>
      </c>
      <c r="C37" s="42"/>
      <c r="D37" s="42"/>
      <c r="E37" s="42"/>
      <c r="F37" s="42"/>
      <c r="G37" s="74">
        <f>SUM(C37:F37)</f>
        <v>0</v>
      </c>
    </row>
    <row r="38" spans="1:7" ht="39.950000000000003" customHeight="1" thickBot="1" x14ac:dyDescent="0.3">
      <c r="A38" s="27"/>
      <c r="B38" s="25" t="s">
        <v>14</v>
      </c>
      <c r="C38" s="42"/>
      <c r="D38" s="42"/>
      <c r="E38" s="42"/>
      <c r="F38" s="42"/>
      <c r="G38" s="74">
        <f>SUM(C38:F38)</f>
        <v>0</v>
      </c>
    </row>
    <row r="39" spans="1:7" ht="20.100000000000001" customHeight="1" x14ac:dyDescent="0.25">
      <c r="A39" s="117" t="s">
        <v>33</v>
      </c>
      <c r="B39" s="28" t="s">
        <v>17</v>
      </c>
      <c r="C39" s="64">
        <f>SUM(C40:C41)</f>
        <v>668.04</v>
      </c>
      <c r="D39" s="64">
        <f t="shared" ref="D39:F39" si="11">SUM(D40:D41)</f>
        <v>668.04</v>
      </c>
      <c r="E39" s="64">
        <f t="shared" si="11"/>
        <v>668.04</v>
      </c>
      <c r="F39" s="64">
        <f t="shared" si="11"/>
        <v>668.04</v>
      </c>
      <c r="G39" s="64">
        <f t="shared" ref="G39" si="12">SUM(G40:G41)</f>
        <v>2672.16</v>
      </c>
    </row>
    <row r="40" spans="1:7" ht="20.100000000000001" customHeight="1" x14ac:dyDescent="0.25">
      <c r="A40" s="46"/>
      <c r="B40" s="10" t="s">
        <v>45</v>
      </c>
      <c r="C40" s="42">
        <f t="shared" ref="C40:F41" si="13">C21</f>
        <v>212.04000000000002</v>
      </c>
      <c r="D40" s="42">
        <f t="shared" si="13"/>
        <v>212.04000000000002</v>
      </c>
      <c r="E40" s="42">
        <f t="shared" si="13"/>
        <v>212.04000000000002</v>
      </c>
      <c r="F40" s="42">
        <f t="shared" si="13"/>
        <v>212.04000000000002</v>
      </c>
      <c r="G40" s="74">
        <f>SUM(C40:F40)</f>
        <v>848.16000000000008</v>
      </c>
    </row>
    <row r="41" spans="1:7" s="4" customFormat="1" ht="20.100000000000001" customHeight="1" thickBot="1" x14ac:dyDescent="0.3">
      <c r="A41" s="56"/>
      <c r="B41" s="25" t="s">
        <v>18</v>
      </c>
      <c r="C41" s="57">
        <f t="shared" si="13"/>
        <v>456</v>
      </c>
      <c r="D41" s="57">
        <f t="shared" si="13"/>
        <v>456</v>
      </c>
      <c r="E41" s="57">
        <f t="shared" si="13"/>
        <v>456</v>
      </c>
      <c r="F41" s="57">
        <f t="shared" si="13"/>
        <v>456</v>
      </c>
      <c r="G41" s="74">
        <f>SUM(C41:F41)</f>
        <v>1824</v>
      </c>
    </row>
    <row r="42" spans="1:7" ht="20.100000000000001" customHeight="1" x14ac:dyDescent="0.25">
      <c r="A42" s="117" t="s">
        <v>9</v>
      </c>
      <c r="B42" s="28" t="s">
        <v>38</v>
      </c>
      <c r="C42" s="64">
        <f>SUM(C43:C58)</f>
        <v>9795.503999999999</v>
      </c>
      <c r="D42" s="64">
        <f>SUM(D43:D58)</f>
        <v>9795.503999999999</v>
      </c>
      <c r="E42" s="64">
        <f>SUM(E43:E58)</f>
        <v>9795.503999999999</v>
      </c>
      <c r="F42" s="64">
        <f>SUM(F43:F58)</f>
        <v>9795.503999999999</v>
      </c>
      <c r="G42" s="66">
        <f t="shared" ref="G42:G51" si="14">SUM(C42:F42)</f>
        <v>39182.015999999996</v>
      </c>
    </row>
    <row r="43" spans="1:7" ht="20.100000000000001" customHeight="1" x14ac:dyDescent="0.25">
      <c r="A43" s="58"/>
      <c r="B43" s="49" t="s">
        <v>43</v>
      </c>
      <c r="C43" s="42">
        <f>C24</f>
        <v>9795.503999999999</v>
      </c>
      <c r="D43" s="42">
        <f>D24</f>
        <v>9795.503999999999</v>
      </c>
      <c r="E43" s="42">
        <f>E24</f>
        <v>9795.503999999999</v>
      </c>
      <c r="F43" s="42">
        <f>F24</f>
        <v>9795.503999999999</v>
      </c>
      <c r="G43" s="74">
        <f t="shared" si="14"/>
        <v>39182.015999999996</v>
      </c>
    </row>
    <row r="44" spans="1:7" ht="20.100000000000001" customHeight="1" x14ac:dyDescent="0.25">
      <c r="A44" s="47"/>
      <c r="B44" s="49" t="s">
        <v>28</v>
      </c>
      <c r="C44" s="42"/>
      <c r="D44" s="42"/>
      <c r="E44" s="42"/>
      <c r="F44" s="42"/>
      <c r="G44" s="74">
        <f>SUM(C44:F44)</f>
        <v>0</v>
      </c>
    </row>
    <row r="45" spans="1:7" ht="20.100000000000001" customHeight="1" x14ac:dyDescent="0.25">
      <c r="A45" s="47"/>
      <c r="B45" s="49" t="s">
        <v>36</v>
      </c>
      <c r="C45" s="42"/>
      <c r="D45" s="42"/>
      <c r="E45" s="42"/>
      <c r="F45" s="42"/>
      <c r="G45" s="74">
        <f t="shared" si="14"/>
        <v>0</v>
      </c>
    </row>
    <row r="46" spans="1:7" ht="20.100000000000001" customHeight="1" x14ac:dyDescent="0.25">
      <c r="A46" s="47"/>
      <c r="B46" s="49" t="s">
        <v>34</v>
      </c>
      <c r="C46" s="42"/>
      <c r="D46" s="42"/>
      <c r="E46" s="42"/>
      <c r="F46" s="42"/>
      <c r="G46" s="74">
        <f t="shared" si="14"/>
        <v>0</v>
      </c>
    </row>
    <row r="47" spans="1:7" ht="20.100000000000001" customHeight="1" x14ac:dyDescent="0.25">
      <c r="A47" s="46"/>
      <c r="B47" s="49" t="s">
        <v>35</v>
      </c>
      <c r="C47" s="42"/>
      <c r="D47" s="42"/>
      <c r="E47" s="42"/>
      <c r="F47" s="42"/>
      <c r="G47" s="74">
        <f t="shared" si="14"/>
        <v>0</v>
      </c>
    </row>
    <row r="48" spans="1:7" ht="20.100000000000001" customHeight="1" x14ac:dyDescent="0.25">
      <c r="A48" s="58"/>
      <c r="B48" s="10" t="s">
        <v>59</v>
      </c>
      <c r="C48" s="42"/>
      <c r="D48" s="42"/>
      <c r="E48" s="42"/>
      <c r="F48" s="42"/>
      <c r="G48" s="74">
        <f t="shared" si="14"/>
        <v>0</v>
      </c>
    </row>
    <row r="49" spans="1:14" ht="39" customHeight="1" x14ac:dyDescent="0.25">
      <c r="A49" s="58"/>
      <c r="B49" s="49" t="s">
        <v>37</v>
      </c>
      <c r="C49" s="42"/>
      <c r="D49" s="42"/>
      <c r="E49" s="42"/>
      <c r="F49" s="42"/>
      <c r="G49" s="74">
        <f t="shared" si="14"/>
        <v>0</v>
      </c>
      <c r="H49" s="65"/>
    </row>
    <row r="50" spans="1:14" ht="20.100000000000001" customHeight="1" x14ac:dyDescent="0.25">
      <c r="A50" s="46"/>
      <c r="B50" s="49" t="s">
        <v>29</v>
      </c>
      <c r="C50" s="42"/>
      <c r="D50" s="42"/>
      <c r="E50" s="42"/>
      <c r="F50" s="42"/>
      <c r="G50" s="74">
        <f t="shared" si="14"/>
        <v>0</v>
      </c>
    </row>
    <row r="51" spans="1:14" s="4" customFormat="1" ht="20.100000000000001" customHeight="1" x14ac:dyDescent="0.25">
      <c r="A51" s="48"/>
      <c r="B51" s="49" t="s">
        <v>40</v>
      </c>
      <c r="C51" s="42"/>
      <c r="D51" s="42"/>
      <c r="E51" s="42"/>
      <c r="F51" s="42"/>
      <c r="G51" s="74">
        <f t="shared" si="14"/>
        <v>0</v>
      </c>
    </row>
    <row r="52" spans="1:14" ht="20.100000000000001" customHeight="1" x14ac:dyDescent="0.25">
      <c r="A52" s="59"/>
      <c r="B52" s="49" t="s">
        <v>41</v>
      </c>
      <c r="C52" s="68"/>
      <c r="D52" s="68"/>
      <c r="E52" s="68"/>
      <c r="F52" s="68"/>
      <c r="G52" s="75">
        <f t="shared" ref="G52:G57" si="15">SUM(C52:F52)</f>
        <v>0</v>
      </c>
      <c r="H52" s="4"/>
      <c r="I52" s="4"/>
      <c r="J52" s="4"/>
      <c r="K52" s="4"/>
      <c r="L52" s="4"/>
      <c r="M52" s="4"/>
      <c r="N52" s="4"/>
    </row>
    <row r="53" spans="1:14" ht="20.100000000000001" customHeight="1" x14ac:dyDescent="0.25">
      <c r="A53" s="61"/>
      <c r="B53" s="51" t="s">
        <v>44</v>
      </c>
      <c r="C53" s="42"/>
      <c r="D53" s="42"/>
      <c r="E53" s="42"/>
      <c r="F53" s="42"/>
      <c r="G53" s="74">
        <f t="shared" si="15"/>
        <v>0</v>
      </c>
    </row>
    <row r="54" spans="1:14" ht="20.100000000000001" customHeight="1" x14ac:dyDescent="0.25">
      <c r="A54" s="61"/>
      <c r="B54" s="49" t="s">
        <v>30</v>
      </c>
      <c r="C54" s="42"/>
      <c r="D54" s="42"/>
      <c r="E54" s="42"/>
      <c r="F54" s="42"/>
      <c r="G54" s="74">
        <f t="shared" si="15"/>
        <v>0</v>
      </c>
    </row>
    <row r="55" spans="1:14" ht="41.25" customHeight="1" x14ac:dyDescent="0.25">
      <c r="A55" s="61"/>
      <c r="B55" s="49" t="s">
        <v>31</v>
      </c>
      <c r="C55" s="42"/>
      <c r="D55" s="42"/>
      <c r="E55" s="42"/>
      <c r="F55" s="42"/>
      <c r="G55" s="74">
        <f t="shared" si="15"/>
        <v>0</v>
      </c>
    </row>
    <row r="56" spans="1:14" ht="39" customHeight="1" x14ac:dyDescent="0.25">
      <c r="A56" s="62"/>
      <c r="B56" s="81" t="s">
        <v>50</v>
      </c>
      <c r="C56" s="68"/>
      <c r="D56" s="68"/>
      <c r="E56" s="68"/>
      <c r="F56" s="68"/>
      <c r="G56" s="82">
        <f t="shared" si="15"/>
        <v>0</v>
      </c>
    </row>
    <row r="57" spans="1:14" ht="60" customHeight="1" x14ac:dyDescent="0.25">
      <c r="A57" s="60"/>
      <c r="B57" s="51" t="s">
        <v>53</v>
      </c>
      <c r="C57" s="68"/>
      <c r="D57" s="68"/>
      <c r="E57" s="68"/>
      <c r="F57" s="68"/>
      <c r="G57" s="82">
        <f t="shared" si="15"/>
        <v>0</v>
      </c>
    </row>
    <row r="58" spans="1:14" ht="20.100000000000001" customHeight="1" thickBot="1" x14ac:dyDescent="0.3">
      <c r="A58" s="63"/>
      <c r="B58" s="50" t="s">
        <v>32</v>
      </c>
      <c r="C58" s="57"/>
      <c r="D58" s="57"/>
      <c r="E58" s="57"/>
      <c r="F58" s="57"/>
      <c r="G58" s="76">
        <f>SUM(C58:F58)</f>
        <v>0</v>
      </c>
    </row>
    <row r="59" spans="1:14" ht="20.100000000000001" customHeight="1" outlineLevel="1" thickBot="1" x14ac:dyDescent="0.3">
      <c r="A59" s="229" t="s">
        <v>42</v>
      </c>
      <c r="B59" s="230"/>
      <c r="C59" s="38">
        <f>C31+C36+C39+C42</f>
        <v>13187.61477737004</v>
      </c>
      <c r="D59" s="38">
        <f>D31+D36+D39+D42</f>
        <v>13139.957017370039</v>
      </c>
      <c r="E59" s="38">
        <f>E31+E36+E39+E42</f>
        <v>13178.04397737004</v>
      </c>
      <c r="F59" s="38">
        <f>F31+F36+F39+F42</f>
        <v>13444.848937370039</v>
      </c>
      <c r="G59" s="39">
        <f>G31+G36+G39+G42</f>
        <v>52950.464709480162</v>
      </c>
    </row>
    <row r="60" spans="1:14" ht="26.1" customHeight="1" outlineLevel="1" x14ac:dyDescent="0.25">
      <c r="A60" s="115"/>
      <c r="B60" s="72"/>
      <c r="C60" s="73">
        <f>C29-C59</f>
        <v>2951.5398946299592</v>
      </c>
      <c r="D60" s="73">
        <f>D29-D59</f>
        <v>2883.4469346299593</v>
      </c>
      <c r="E60" s="73">
        <f>E29-E59</f>
        <v>2985.7488946299582</v>
      </c>
      <c r="F60" s="73">
        <f>F29-F59</f>
        <v>3462.7246546299575</v>
      </c>
      <c r="G60" s="73">
        <f>G29-G59</f>
        <v>12283.460378519827</v>
      </c>
    </row>
  </sheetData>
  <dataConsolidate/>
  <mergeCells count="19">
    <mergeCell ref="A8:B8"/>
    <mergeCell ref="I8:M8"/>
    <mergeCell ref="O8:S8"/>
    <mergeCell ref="U8:Y8"/>
    <mergeCell ref="A1:C1"/>
    <mergeCell ref="A2:G2"/>
    <mergeCell ref="A3:G3"/>
    <mergeCell ref="A4:A6"/>
    <mergeCell ref="B4:B6"/>
    <mergeCell ref="C5:C6"/>
    <mergeCell ref="D5:D6"/>
    <mergeCell ref="E5:E6"/>
    <mergeCell ref="F5:F6"/>
    <mergeCell ref="G5:G6"/>
    <mergeCell ref="Z10:Z12"/>
    <mergeCell ref="A29:B29"/>
    <mergeCell ref="A30:B30"/>
    <mergeCell ref="A59:B59"/>
    <mergeCell ref="H28:AA28"/>
  </mergeCells>
  <pageMargins left="0.70866141732283472" right="0.70866141732283472" top="0.74803149606299213" bottom="0.74803149606299213" header="0.31496062992125984" footer="0.31496062992125984"/>
  <pageSetup paperSize="9" scale="4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84734-5690-4711-AAA0-CA2DFA787F49}">
  <sheetPr>
    <tabColor rgb="FFFFC000"/>
    <pageSetUpPr fitToPage="1"/>
  </sheetPr>
  <dimension ref="A1:AI67"/>
  <sheetViews>
    <sheetView showGridLines="0" view="pageBreakPreview" topLeftCell="A4" zoomScale="60" zoomScaleNormal="70" workbookViewId="0">
      <selection activeCell="K21" sqref="K21"/>
    </sheetView>
  </sheetViews>
  <sheetFormatPr defaultColWidth="10.140625" defaultRowHeight="18.75" outlineLevelRow="1" x14ac:dyDescent="0.25"/>
  <cols>
    <col min="1" max="1" width="8" style="2" customWidth="1"/>
    <col min="2" max="2" width="84.7109375" style="2" customWidth="1"/>
    <col min="3" max="7" width="16.7109375" style="3" customWidth="1"/>
    <col min="8" max="8" width="10.28515625" style="2" bestFit="1" customWidth="1"/>
    <col min="9" max="9" width="45.7109375" style="2" bestFit="1" customWidth="1"/>
    <col min="10" max="10" width="11.7109375" style="2" bestFit="1" customWidth="1"/>
    <col min="11" max="12" width="29.85546875" style="2" bestFit="1" customWidth="1"/>
    <col min="13" max="13" width="10.42578125" style="2" bestFit="1" customWidth="1"/>
    <col min="14" max="16384" width="10.140625" style="2"/>
  </cols>
  <sheetData>
    <row r="1" spans="1:26" x14ac:dyDescent="0.25">
      <c r="A1" s="200"/>
      <c r="B1" s="200"/>
      <c r="C1" s="200"/>
      <c r="D1" s="120"/>
      <c r="E1" s="120"/>
      <c r="F1" s="120"/>
      <c r="G1" s="120"/>
      <c r="I1" s="102" t="s">
        <v>63</v>
      </c>
      <c r="J1" s="101">
        <v>4813.1000000000004</v>
      </c>
    </row>
    <row r="2" spans="1:26" x14ac:dyDescent="0.25">
      <c r="A2" s="200"/>
      <c r="B2" s="200"/>
      <c r="C2" s="200"/>
      <c r="D2" s="200"/>
      <c r="E2" s="200"/>
      <c r="F2" s="200"/>
      <c r="G2" s="200"/>
      <c r="I2" s="102"/>
      <c r="J2" s="101"/>
      <c r="K2" s="120"/>
    </row>
    <row r="3" spans="1:26" ht="19.5" thickBot="1" x14ac:dyDescent="0.3">
      <c r="A3" s="201"/>
      <c r="B3" s="201"/>
      <c r="C3" s="201"/>
      <c r="D3" s="201"/>
      <c r="E3" s="201"/>
      <c r="F3" s="201"/>
      <c r="G3" s="201"/>
      <c r="I3" s="7"/>
      <c r="J3" s="6"/>
      <c r="K3" s="121"/>
    </row>
    <row r="4" spans="1:26" x14ac:dyDescent="0.25">
      <c r="A4" s="207" t="s">
        <v>0</v>
      </c>
      <c r="B4" s="209" t="s">
        <v>1</v>
      </c>
      <c r="C4" s="119"/>
      <c r="D4" s="119"/>
      <c r="E4" s="119"/>
      <c r="F4" s="119"/>
      <c r="G4" s="14"/>
      <c r="I4" s="4" t="s">
        <v>64</v>
      </c>
      <c r="J4" s="4">
        <v>85</v>
      </c>
    </row>
    <row r="5" spans="1:26" ht="18" customHeight="1" x14ac:dyDescent="0.25">
      <c r="A5" s="208"/>
      <c r="B5" s="210"/>
      <c r="C5" s="203" t="s">
        <v>19</v>
      </c>
      <c r="D5" s="203" t="s">
        <v>20</v>
      </c>
      <c r="E5" s="203" t="s">
        <v>21</v>
      </c>
      <c r="F5" s="203" t="s">
        <v>22</v>
      </c>
      <c r="G5" s="202" t="s">
        <v>23</v>
      </c>
      <c r="I5" s="4" t="s">
        <v>65</v>
      </c>
      <c r="J5" s="4">
        <v>87</v>
      </c>
    </row>
    <row r="6" spans="1:26" x14ac:dyDescent="0.25">
      <c r="A6" s="208"/>
      <c r="B6" s="210"/>
      <c r="C6" s="203"/>
      <c r="D6" s="203"/>
      <c r="E6" s="203"/>
      <c r="F6" s="203"/>
      <c r="G6" s="202"/>
      <c r="I6" s="4"/>
      <c r="J6" s="4"/>
    </row>
    <row r="7" spans="1:26" ht="19.5" thickBot="1" x14ac:dyDescent="0.3">
      <c r="A7" s="122">
        <v>1</v>
      </c>
      <c r="B7" s="16">
        <v>2</v>
      </c>
      <c r="C7" s="17">
        <v>3</v>
      </c>
      <c r="D7" s="17">
        <v>4</v>
      </c>
      <c r="E7" s="17">
        <v>5</v>
      </c>
      <c r="F7" s="17">
        <v>5</v>
      </c>
      <c r="G7" s="18">
        <v>7</v>
      </c>
      <c r="I7" s="2" t="s">
        <v>87</v>
      </c>
    </row>
    <row r="8" spans="1:26" ht="26.1" customHeight="1" thickBot="1" x14ac:dyDescent="0.3">
      <c r="A8" s="206" t="s">
        <v>2</v>
      </c>
      <c r="B8" s="206"/>
      <c r="C8" s="19" t="s">
        <v>8</v>
      </c>
      <c r="D8" s="19" t="s">
        <v>8</v>
      </c>
      <c r="E8" s="19" t="s">
        <v>8</v>
      </c>
      <c r="F8" s="19" t="s">
        <v>8</v>
      </c>
      <c r="G8" s="19" t="s">
        <v>8</v>
      </c>
      <c r="I8" s="225" t="s">
        <v>88</v>
      </c>
      <c r="J8" s="225"/>
      <c r="K8" s="225"/>
      <c r="L8" s="225"/>
      <c r="M8" s="225"/>
      <c r="O8" s="225" t="s">
        <v>89</v>
      </c>
      <c r="P8" s="225"/>
      <c r="Q8" s="225"/>
      <c r="R8" s="225"/>
      <c r="S8" s="225"/>
      <c r="U8" s="225" t="s">
        <v>90</v>
      </c>
      <c r="V8" s="225"/>
      <c r="W8" s="225"/>
      <c r="X8" s="225"/>
      <c r="Y8" s="225"/>
    </row>
    <row r="9" spans="1:26" ht="20.100000000000001" customHeight="1" x14ac:dyDescent="0.25">
      <c r="A9" s="117">
        <v>1</v>
      </c>
      <c r="B9" s="21" t="s">
        <v>15</v>
      </c>
      <c r="C9" s="22">
        <f>SUM(C10:C15)</f>
        <v>3438.2947440000007</v>
      </c>
      <c r="D9" s="22">
        <f>SUM(D10:D15)</f>
        <v>3316.0011840000006</v>
      </c>
      <c r="E9" s="22">
        <f>SUM(E10:E15)</f>
        <v>3344.184499</v>
      </c>
      <c r="F9" s="22">
        <f>SUM(F10:F15)</f>
        <v>3889.7253689999998</v>
      </c>
      <c r="G9" s="8">
        <f>SUM(G10:G15)</f>
        <v>13988.205795999998</v>
      </c>
      <c r="I9" s="123" t="s">
        <v>91</v>
      </c>
      <c r="J9" s="123" t="s">
        <v>92</v>
      </c>
      <c r="K9" s="140" t="s">
        <v>93</v>
      </c>
      <c r="L9" s="140" t="s">
        <v>94</v>
      </c>
      <c r="M9" s="140" t="s">
        <v>62</v>
      </c>
      <c r="N9" s="123"/>
      <c r="O9" s="123" t="s">
        <v>67</v>
      </c>
      <c r="P9" s="123" t="s">
        <v>92</v>
      </c>
      <c r="Q9" s="123" t="s">
        <v>61</v>
      </c>
      <c r="R9" s="123" t="s">
        <v>94</v>
      </c>
      <c r="S9" s="140" t="s">
        <v>62</v>
      </c>
      <c r="T9" s="123"/>
      <c r="U9" s="123" t="s">
        <v>67</v>
      </c>
      <c r="V9" s="123" t="s">
        <v>92</v>
      </c>
      <c r="W9" s="123" t="s">
        <v>61</v>
      </c>
      <c r="X9" s="123" t="s">
        <v>94</v>
      </c>
      <c r="Y9" s="140" t="s">
        <v>62</v>
      </c>
    </row>
    <row r="10" spans="1:26" ht="20.100000000000001" customHeight="1" x14ac:dyDescent="0.3">
      <c r="A10" s="118"/>
      <c r="B10" s="10" t="s">
        <v>3</v>
      </c>
      <c r="C10" s="12">
        <f>SUM(I10*3)</f>
        <v>1908.8754600000004</v>
      </c>
      <c r="D10" s="12">
        <f>SUM(I10*2+O10*1)</f>
        <v>1868.4454200000005</v>
      </c>
      <c r="E10" s="12">
        <f>SUM(O10*2)+U10*1</f>
        <v>1787.5853400000001</v>
      </c>
      <c r="F10" s="12">
        <f>SUM(U10*3)</f>
        <v>1787.5853400000001</v>
      </c>
      <c r="G10" s="77">
        <f>SUM(C10:F10)</f>
        <v>7352.4915600000004</v>
      </c>
      <c r="H10" s="141" t="s">
        <v>95</v>
      </c>
      <c r="I10" s="142">
        <f>SUM(M10*K10)</f>
        <v>636.29182000000014</v>
      </c>
      <c r="J10" s="142"/>
      <c r="K10" s="142">
        <v>0.13220000000000001</v>
      </c>
      <c r="L10" s="142"/>
      <c r="M10" s="143">
        <f>SUM(J1)</f>
        <v>4813.1000000000004</v>
      </c>
      <c r="N10" s="144"/>
      <c r="O10" s="142">
        <f>SUM(S10*Q10)</f>
        <v>595.86178000000007</v>
      </c>
      <c r="P10" s="142" t="s">
        <v>96</v>
      </c>
      <c r="Q10" s="142">
        <v>0.12379999999999999</v>
      </c>
      <c r="R10" s="142"/>
      <c r="S10" s="143">
        <f>SUM(J1)</f>
        <v>4813.1000000000004</v>
      </c>
      <c r="T10" s="144"/>
      <c r="U10" s="142">
        <f>SUM(Y10*W10)</f>
        <v>595.86178000000007</v>
      </c>
      <c r="V10" s="142" t="s">
        <v>96</v>
      </c>
      <c r="W10" s="142">
        <v>0.12379999999999999</v>
      </c>
      <c r="X10" s="142"/>
      <c r="Y10" s="143">
        <f>SUM(J1)</f>
        <v>4813.1000000000004</v>
      </c>
      <c r="Z10" s="226"/>
    </row>
    <row r="11" spans="1:26" ht="20.100000000000001" customHeight="1" x14ac:dyDescent="0.3">
      <c r="A11" s="118"/>
      <c r="B11" s="10" t="s">
        <v>3</v>
      </c>
      <c r="C11" s="12"/>
      <c r="D11" s="12"/>
      <c r="E11" s="12"/>
      <c r="F11" s="12"/>
      <c r="G11" s="77">
        <f t="shared" ref="G11:G14" si="0">SUM(C11:F11)</f>
        <v>0</v>
      </c>
      <c r="H11" s="141" t="s">
        <v>97</v>
      </c>
      <c r="I11" s="142"/>
      <c r="J11" s="142"/>
      <c r="K11" s="142"/>
      <c r="L11" s="142">
        <v>0.1419</v>
      </c>
      <c r="M11" s="142"/>
      <c r="N11" s="144"/>
      <c r="O11" s="142"/>
      <c r="P11" s="142"/>
      <c r="Q11" s="142"/>
      <c r="R11" s="142">
        <v>0.13350000000000001</v>
      </c>
      <c r="S11" s="142"/>
      <c r="T11" s="144"/>
      <c r="U11" s="142"/>
      <c r="V11" s="142"/>
      <c r="W11" s="142"/>
      <c r="X11" s="142">
        <v>0.13350000000000001</v>
      </c>
      <c r="Y11" s="142"/>
      <c r="Z11" s="226"/>
    </row>
    <row r="12" spans="1:26" ht="20.100000000000001" customHeight="1" x14ac:dyDescent="0.3">
      <c r="A12" s="118"/>
      <c r="B12" s="10" t="s">
        <v>60</v>
      </c>
      <c r="C12" s="12"/>
      <c r="D12" s="12"/>
      <c r="E12" s="12"/>
      <c r="F12" s="12"/>
      <c r="G12" s="77">
        <f t="shared" si="0"/>
        <v>0</v>
      </c>
      <c r="H12" s="141"/>
      <c r="I12" s="142"/>
      <c r="J12" s="142"/>
      <c r="K12" s="142"/>
      <c r="L12" s="142"/>
      <c r="M12" s="142"/>
      <c r="N12" s="144"/>
      <c r="O12" s="142"/>
      <c r="P12" s="142"/>
      <c r="Q12" s="142"/>
      <c r="R12" s="142"/>
      <c r="S12" s="142"/>
      <c r="T12" s="144"/>
      <c r="U12" s="142"/>
      <c r="V12" s="142"/>
      <c r="W12" s="142"/>
      <c r="X12" s="142"/>
      <c r="Y12" s="142"/>
      <c r="Z12" s="226"/>
    </row>
    <row r="13" spans="1:26" ht="20.100000000000001" customHeight="1" x14ac:dyDescent="0.3">
      <c r="A13" s="118"/>
      <c r="B13" s="10" t="s">
        <v>10</v>
      </c>
      <c r="C13" s="12">
        <f>SUM(I13*3)</f>
        <v>289.70999999999998</v>
      </c>
      <c r="D13" s="12">
        <f>SUM(I13*2+O13)</f>
        <v>285.79499999999996</v>
      </c>
      <c r="E13" s="12">
        <f>SUM(O13*2+U13)</f>
        <v>381.20317</v>
      </c>
      <c r="F13" s="12">
        <f>SUM(U13*3)</f>
        <v>587.67951000000005</v>
      </c>
      <c r="G13" s="77">
        <f>SUM(C13:F13)</f>
        <v>1544.3876799999998</v>
      </c>
      <c r="H13" s="141" t="s">
        <v>98</v>
      </c>
      <c r="I13" s="142">
        <f>SUM(J5*1.5*K13)</f>
        <v>96.57</v>
      </c>
      <c r="J13" s="142" t="s">
        <v>96</v>
      </c>
      <c r="K13" s="142">
        <v>0.74</v>
      </c>
      <c r="L13" s="142"/>
      <c r="M13" s="142"/>
      <c r="N13" s="145"/>
      <c r="O13" s="142">
        <f>SUM(J5*1.5*Q13)</f>
        <v>92.655000000000001</v>
      </c>
      <c r="P13" s="142" t="s">
        <v>96</v>
      </c>
      <c r="Q13" s="142">
        <v>0.71</v>
      </c>
      <c r="R13" s="142"/>
      <c r="S13" s="142"/>
      <c r="T13" s="145"/>
      <c r="U13" s="142">
        <f>SUM(W13*Y13)</f>
        <v>195.89317000000003</v>
      </c>
      <c r="V13" s="142" t="s">
        <v>96</v>
      </c>
      <c r="W13" s="142">
        <v>4.07E-2</v>
      </c>
      <c r="X13" s="142"/>
      <c r="Y13" s="143">
        <f>SUM(J1)</f>
        <v>4813.1000000000004</v>
      </c>
      <c r="Z13" s="3"/>
    </row>
    <row r="14" spans="1:26" ht="20.100000000000001" customHeight="1" outlineLevel="1" x14ac:dyDescent="0.3">
      <c r="A14" s="24"/>
      <c r="B14" s="10" t="s">
        <v>11</v>
      </c>
      <c r="C14" s="12">
        <f>SUM(I14*3)</f>
        <v>617.2650000000001</v>
      </c>
      <c r="D14" s="12">
        <f>SUM(I14*2+O14)</f>
        <v>545.92500000000007</v>
      </c>
      <c r="E14" s="12">
        <f>SUM(O14*2+U14)</f>
        <v>572.77726499999994</v>
      </c>
      <c r="F14" s="12">
        <f>SUM(U14*3)</f>
        <v>911.84179500000005</v>
      </c>
      <c r="G14" s="77">
        <f t="shared" si="0"/>
        <v>2647.80906</v>
      </c>
      <c r="H14" s="141" t="s">
        <v>11</v>
      </c>
      <c r="I14" s="142">
        <f>SUM((K14+L14/2))*J5</f>
        <v>205.75500000000002</v>
      </c>
      <c r="J14" s="142" t="s">
        <v>96</v>
      </c>
      <c r="K14" s="142">
        <v>1.5</v>
      </c>
      <c r="L14" s="142">
        <v>1.73</v>
      </c>
      <c r="M14" s="142"/>
      <c r="N14" s="145"/>
      <c r="O14" s="142">
        <f>SUM((Q14+R14))/2*J5</f>
        <v>134.41499999999999</v>
      </c>
      <c r="P14" s="142" t="s">
        <v>96</v>
      </c>
      <c r="Q14" s="142">
        <v>1.43</v>
      </c>
      <c r="R14" s="142">
        <v>1.66</v>
      </c>
      <c r="S14" s="142"/>
      <c r="T14" s="145"/>
      <c r="U14" s="142">
        <f>SUM((W14+X14))/2*Y14</f>
        <v>303.94726500000002</v>
      </c>
      <c r="V14" s="142" t="s">
        <v>96</v>
      </c>
      <c r="W14" s="142">
        <v>5.8400000000000001E-2</v>
      </c>
      <c r="X14" s="142">
        <v>6.7900000000000002E-2</v>
      </c>
      <c r="Y14" s="142">
        <f>SUM(J1)</f>
        <v>4813.1000000000004</v>
      </c>
      <c r="Z14" s="3"/>
    </row>
    <row r="15" spans="1:26" ht="20.100000000000001" customHeight="1" outlineLevel="1" thickBot="1" x14ac:dyDescent="0.35">
      <c r="A15" s="24"/>
      <c r="B15" s="10" t="s">
        <v>12</v>
      </c>
      <c r="C15" s="9">
        <f>SUM(I15*3)</f>
        <v>622.44428399999993</v>
      </c>
      <c r="D15" s="9">
        <f>SUM(I15*2+O15)</f>
        <v>615.83576399999993</v>
      </c>
      <c r="E15" s="9">
        <f>SUM(O15*2+U15)</f>
        <v>602.61872399999993</v>
      </c>
      <c r="F15" s="9">
        <f>SUM(U15*3)</f>
        <v>602.61872399999993</v>
      </c>
      <c r="G15" s="77">
        <f t="shared" ref="G15" si="1">SUM(C15:F15)</f>
        <v>2443.5174959999995</v>
      </c>
      <c r="H15" s="141" t="s">
        <v>99</v>
      </c>
      <c r="I15" s="142">
        <f>SUM(J15*((K15+L15))/2)*M15</f>
        <v>207.48142799999997</v>
      </c>
      <c r="J15" s="142">
        <v>0.24</v>
      </c>
      <c r="K15" s="142">
        <v>9.2583000000000002</v>
      </c>
      <c r="L15" s="142">
        <v>10.615399999999999</v>
      </c>
      <c r="M15" s="142">
        <f>SUM(J5)</f>
        <v>87</v>
      </c>
      <c r="N15" s="145"/>
      <c r="O15" s="142">
        <f>SUM(P15*((Q15+R15)/2)*S15)</f>
        <v>200.872908</v>
      </c>
      <c r="P15" s="142">
        <v>0.24</v>
      </c>
      <c r="Q15" s="142">
        <v>8.9418000000000006</v>
      </c>
      <c r="R15" s="142">
        <v>10.2989</v>
      </c>
      <c r="S15" s="142">
        <f>SUM(J5)</f>
        <v>87</v>
      </c>
      <c r="T15" s="145"/>
      <c r="U15" s="142">
        <f>SUM(V15*((W15+X15)/2)*Y15)</f>
        <v>200.872908</v>
      </c>
      <c r="V15" s="142">
        <v>0.24</v>
      </c>
      <c r="W15" s="142">
        <v>8.9418000000000006</v>
      </c>
      <c r="X15" s="142">
        <v>10.2989</v>
      </c>
      <c r="Y15" s="142">
        <f>SUM(J5)</f>
        <v>87</v>
      </c>
    </row>
    <row r="16" spans="1:26" ht="20.100000000000001" customHeight="1" x14ac:dyDescent="0.3">
      <c r="A16" s="117">
        <v>2</v>
      </c>
      <c r="B16" s="28" t="s">
        <v>16</v>
      </c>
      <c r="C16" s="35">
        <f>SUM(C17:C19)</f>
        <v>587.25</v>
      </c>
      <c r="D16" s="35">
        <f t="shared" ref="D16:F16" si="2">SUM(D17:D19)</f>
        <v>587.25</v>
      </c>
      <c r="E16" s="35">
        <f t="shared" si="2"/>
        <v>589.89437999999996</v>
      </c>
      <c r="F16" s="35">
        <f t="shared" si="2"/>
        <v>595.18313999999998</v>
      </c>
      <c r="G16" s="35">
        <f>SUM(G17:G19)</f>
        <v>2359.5775199999998</v>
      </c>
      <c r="H16" s="141"/>
      <c r="I16" s="142"/>
      <c r="J16" s="142"/>
      <c r="K16" s="142"/>
      <c r="L16" s="142"/>
      <c r="M16" s="142"/>
      <c r="O16" s="142"/>
      <c r="P16" s="142"/>
      <c r="Q16" s="142"/>
      <c r="R16" s="142"/>
      <c r="S16" s="142"/>
      <c r="U16" s="142"/>
      <c r="V16" s="142"/>
      <c r="W16" s="142"/>
      <c r="X16" s="142"/>
      <c r="Y16" s="142"/>
    </row>
    <row r="17" spans="1:35" ht="39" customHeight="1" outlineLevel="1" x14ac:dyDescent="0.3">
      <c r="A17" s="29"/>
      <c r="B17" s="10" t="s">
        <v>25</v>
      </c>
      <c r="C17" s="12">
        <f>SUM(I17*3)</f>
        <v>277.96500000000003</v>
      </c>
      <c r="D17" s="12">
        <f>SUM(I17*2+O17)</f>
        <v>277.96500000000003</v>
      </c>
      <c r="E17" s="12">
        <f>SUM(O17*2+U17)</f>
        <v>280.60937999999999</v>
      </c>
      <c r="F17" s="12">
        <f>SUM(U17*3)</f>
        <v>285.89814000000001</v>
      </c>
      <c r="G17" s="77">
        <f t="shared" ref="G17:G18" si="3">SUM(C17:F17)</f>
        <v>1122.4375199999999</v>
      </c>
      <c r="H17" s="146" t="s">
        <v>100</v>
      </c>
      <c r="I17" s="142">
        <f>SUM(K17*M17)*1.5</f>
        <v>92.655000000000001</v>
      </c>
      <c r="J17" s="142" t="s">
        <v>101</v>
      </c>
      <c r="K17" s="142">
        <v>0.71</v>
      </c>
      <c r="L17" s="142"/>
      <c r="M17" s="142">
        <f>SUM(J5)</f>
        <v>87</v>
      </c>
      <c r="N17" s="145"/>
      <c r="O17" s="142">
        <f>SUM(Q17*S17*1.5)</f>
        <v>92.655000000000001</v>
      </c>
      <c r="P17" s="142" t="s">
        <v>101</v>
      </c>
      <c r="Q17" s="142">
        <v>0.71</v>
      </c>
      <c r="R17" s="142"/>
      <c r="S17" s="142">
        <f>SUM(J5)</f>
        <v>87</v>
      </c>
      <c r="T17" s="145"/>
      <c r="U17" s="142">
        <f>SUM(W17*Y17)</f>
        <v>95.299380000000014</v>
      </c>
      <c r="V17" s="142" t="s">
        <v>101</v>
      </c>
      <c r="W17" s="142">
        <v>1.9800000000000002E-2</v>
      </c>
      <c r="X17" s="142"/>
      <c r="Y17" s="142">
        <f>SUM(J1)</f>
        <v>4813.1000000000004</v>
      </c>
    </row>
    <row r="18" spans="1:35" ht="40.5" customHeight="1" outlineLevel="1" x14ac:dyDescent="0.3">
      <c r="A18" s="29"/>
      <c r="B18" s="10" t="s">
        <v>14</v>
      </c>
      <c r="C18" s="12">
        <f>SUM(I18*3)</f>
        <v>309.28499999999997</v>
      </c>
      <c r="D18" s="12">
        <f>SUM(I18*2+O18)</f>
        <v>309.28499999999997</v>
      </c>
      <c r="E18" s="12">
        <f>SUM(O18*2+U18)</f>
        <v>309.28499999999997</v>
      </c>
      <c r="F18" s="12">
        <f>SUM(U18*3)</f>
        <v>309.28499999999997</v>
      </c>
      <c r="G18" s="77">
        <f t="shared" si="3"/>
        <v>1237.1399999999999</v>
      </c>
      <c r="H18" s="146" t="s">
        <v>102</v>
      </c>
      <c r="I18" s="142">
        <f>SUM(K18*M18)*1.5</f>
        <v>103.095</v>
      </c>
      <c r="J18" s="142" t="s">
        <v>101</v>
      </c>
      <c r="K18" s="142">
        <v>0.79</v>
      </c>
      <c r="L18" s="142"/>
      <c r="M18" s="142">
        <f>SUM(J5)</f>
        <v>87</v>
      </c>
      <c r="N18" s="145"/>
      <c r="O18" s="142">
        <f>SUM(Q18*S18)*1.5</f>
        <v>103.095</v>
      </c>
      <c r="P18" s="142" t="s">
        <v>101</v>
      </c>
      <c r="Q18" s="142">
        <v>0.79</v>
      </c>
      <c r="R18" s="142"/>
      <c r="S18" s="142">
        <f>SUM(J5)</f>
        <v>87</v>
      </c>
      <c r="T18" s="145"/>
      <c r="U18" s="142">
        <f>SUM(W18*Y18)*1.5</f>
        <v>103.095</v>
      </c>
      <c r="V18" s="142" t="s">
        <v>101</v>
      </c>
      <c r="W18" s="142">
        <v>0.79</v>
      </c>
      <c r="X18" s="142"/>
      <c r="Y18" s="142">
        <f>SUM(J5)</f>
        <v>87</v>
      </c>
    </row>
    <row r="19" spans="1:35" ht="40.5" customHeight="1" outlineLevel="1" thickBot="1" x14ac:dyDescent="0.3">
      <c r="A19" s="124"/>
      <c r="B19" s="125" t="s">
        <v>75</v>
      </c>
      <c r="C19" s="126"/>
      <c r="D19" s="126"/>
      <c r="E19" s="126"/>
      <c r="F19" s="126"/>
      <c r="G19" s="127"/>
      <c r="H19" s="141"/>
      <c r="I19" s="144"/>
      <c r="J19" s="144"/>
      <c r="K19" s="144"/>
      <c r="L19" s="144"/>
      <c r="M19" s="145"/>
      <c r="N19" s="145"/>
      <c r="O19" s="144"/>
      <c r="P19" s="144"/>
      <c r="Q19" s="144"/>
      <c r="R19" s="144"/>
      <c r="S19" s="145"/>
      <c r="T19" s="145"/>
      <c r="U19" s="144"/>
      <c r="V19" s="144"/>
      <c r="W19" s="144"/>
      <c r="X19" s="144"/>
      <c r="Y19" s="145"/>
    </row>
    <row r="20" spans="1:35" ht="20.100000000000001" customHeight="1" outlineLevel="1" thickBot="1" x14ac:dyDescent="0.3">
      <c r="A20" s="117">
        <v>3</v>
      </c>
      <c r="B20" s="28" t="s">
        <v>17</v>
      </c>
      <c r="C20" s="22">
        <f>SUM(C21:C22)</f>
        <v>764.73</v>
      </c>
      <c r="D20" s="22">
        <f t="shared" ref="D20:F20" si="4">SUM(D21:D22)</f>
        <v>764.73</v>
      </c>
      <c r="E20" s="22">
        <f t="shared" si="4"/>
        <v>764.73</v>
      </c>
      <c r="F20" s="22">
        <f t="shared" si="4"/>
        <v>764.73</v>
      </c>
      <c r="G20" s="8">
        <f>SUM(G21:G22)</f>
        <v>3058.92</v>
      </c>
      <c r="H20" s="141"/>
      <c r="I20" s="123" t="s">
        <v>66</v>
      </c>
      <c r="J20" s="123"/>
      <c r="K20" s="123" t="s">
        <v>61</v>
      </c>
      <c r="L20" s="123"/>
      <c r="M20" s="123" t="s">
        <v>67</v>
      </c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</row>
    <row r="21" spans="1:35" ht="20.100000000000001" customHeight="1" outlineLevel="1" x14ac:dyDescent="0.3">
      <c r="A21" s="29"/>
      <c r="B21" s="10" t="s">
        <v>45</v>
      </c>
      <c r="C21" s="11">
        <f>SUM(M21)*3</f>
        <v>242.73000000000002</v>
      </c>
      <c r="D21" s="11">
        <f>SUM(M21*3)</f>
        <v>242.73000000000002</v>
      </c>
      <c r="E21" s="11">
        <f>SUM(M21*3)</f>
        <v>242.73000000000002</v>
      </c>
      <c r="F21" s="11">
        <f>SUM(M21*3)</f>
        <v>242.73000000000002</v>
      </c>
      <c r="G21" s="78">
        <f>SUM(C21:F21)</f>
        <v>970.92000000000007</v>
      </c>
      <c r="H21" s="141" t="s">
        <v>103</v>
      </c>
      <c r="I21" s="109">
        <f>SUM(J5)</f>
        <v>87</v>
      </c>
      <c r="J21" s="110"/>
      <c r="K21" s="110">
        <v>0.93</v>
      </c>
      <c r="L21" s="110"/>
      <c r="M21" s="111">
        <f>I21*K21</f>
        <v>80.910000000000011</v>
      </c>
      <c r="N21" s="123"/>
      <c r="O21" s="109"/>
      <c r="P21" s="110"/>
      <c r="Q21" s="110"/>
      <c r="R21" s="110"/>
      <c r="S21" s="111"/>
      <c r="T21" s="123"/>
      <c r="U21" s="109"/>
      <c r="V21" s="110"/>
      <c r="W21" s="110"/>
      <c r="X21" s="110"/>
      <c r="Y21" s="111"/>
    </row>
    <row r="22" spans="1:35" ht="20.100000000000001" customHeight="1" outlineLevel="1" thickBot="1" x14ac:dyDescent="0.3">
      <c r="A22" s="27"/>
      <c r="B22" s="25" t="s">
        <v>18</v>
      </c>
      <c r="C22" s="26">
        <f>SUM(M22)*3</f>
        <v>522</v>
      </c>
      <c r="D22" s="26">
        <f>SUM(M22*3)</f>
        <v>522</v>
      </c>
      <c r="E22" s="26">
        <f>SUM(M22*3)</f>
        <v>522</v>
      </c>
      <c r="F22" s="26">
        <f>SUM(M22*3)</f>
        <v>522</v>
      </c>
      <c r="G22" s="79">
        <f>SUM(C22:F22)</f>
        <v>2088</v>
      </c>
      <c r="H22" s="146" t="s">
        <v>104</v>
      </c>
      <c r="I22" s="112">
        <f>SUM(J5)</f>
        <v>87</v>
      </c>
      <c r="J22" s="113"/>
      <c r="K22" s="113">
        <v>2</v>
      </c>
      <c r="L22" s="113"/>
      <c r="M22" s="114">
        <f>I22*K22</f>
        <v>174</v>
      </c>
      <c r="N22" s="123"/>
      <c r="O22" s="112"/>
      <c r="P22" s="113"/>
      <c r="Q22" s="113"/>
      <c r="R22" s="113"/>
      <c r="S22" s="114"/>
      <c r="T22" s="123"/>
      <c r="U22" s="112"/>
      <c r="V22" s="113"/>
      <c r="W22" s="113"/>
      <c r="X22" s="113"/>
      <c r="Y22" s="114"/>
    </row>
    <row r="23" spans="1:35" ht="20.100000000000001" customHeight="1" thickBot="1" x14ac:dyDescent="0.3">
      <c r="A23" s="31" t="s">
        <v>9</v>
      </c>
      <c r="B23" s="28" t="s">
        <v>27</v>
      </c>
      <c r="C23" s="22">
        <f>SUM(C24:C25)</f>
        <v>10540.689000000002</v>
      </c>
      <c r="D23" s="22">
        <f t="shared" ref="D23:F23" si="5">SUM(D24:D25)</f>
        <v>10540.689000000002</v>
      </c>
      <c r="E23" s="22">
        <f t="shared" si="5"/>
        <v>10540.689000000002</v>
      </c>
      <c r="F23" s="22">
        <f t="shared" si="5"/>
        <v>10540.689000000002</v>
      </c>
      <c r="G23" s="8">
        <f>SUM(G24:G25)</f>
        <v>42162.756000000008</v>
      </c>
      <c r="H23" s="147"/>
      <c r="I23" s="123" t="s">
        <v>68</v>
      </c>
      <c r="J23" s="123"/>
      <c r="K23" s="123" t="s">
        <v>61</v>
      </c>
      <c r="L23" s="123"/>
      <c r="M23" s="123" t="s">
        <v>67</v>
      </c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</row>
    <row r="24" spans="1:35" ht="20.100000000000001" customHeight="1" outlineLevel="1" thickBot="1" x14ac:dyDescent="0.3">
      <c r="A24" s="32"/>
      <c r="B24" s="10" t="s">
        <v>26</v>
      </c>
      <c r="C24" s="9">
        <f>SUM(M24)*3</f>
        <v>8952.3660000000018</v>
      </c>
      <c r="D24" s="9">
        <f>SUM(M24*3)</f>
        <v>8952.3660000000018</v>
      </c>
      <c r="E24" s="9">
        <f>SUM(M24*3)</f>
        <v>8952.3660000000018</v>
      </c>
      <c r="F24" s="9">
        <f>SUM(M24*3)</f>
        <v>8952.3660000000018</v>
      </c>
      <c r="G24" s="78">
        <f t="shared" ref="G24:G29" si="6">SUM(C24:F24)</f>
        <v>35809.464000000007</v>
      </c>
      <c r="H24" s="148" t="s">
        <v>105</v>
      </c>
      <c r="I24" s="103">
        <f>SUM(J1)</f>
        <v>4813.1000000000004</v>
      </c>
      <c r="J24" s="104"/>
      <c r="K24" s="110">
        <v>0.62</v>
      </c>
      <c r="L24" s="110"/>
      <c r="M24" s="105">
        <f>SUM(I24*K24)</f>
        <v>2984.1220000000003</v>
      </c>
      <c r="N24" s="144"/>
      <c r="O24" s="103"/>
      <c r="P24" s="104"/>
      <c r="Q24" s="110"/>
      <c r="R24" s="110"/>
      <c r="S24" s="105"/>
      <c r="T24" s="144"/>
      <c r="U24" s="103"/>
      <c r="V24" s="104"/>
      <c r="W24" s="110"/>
      <c r="X24" s="110"/>
      <c r="Y24" s="105"/>
    </row>
    <row r="25" spans="1:35" ht="20.100000000000001" customHeight="1" outlineLevel="1" thickBot="1" x14ac:dyDescent="0.3">
      <c r="A25" s="33"/>
      <c r="B25" s="25" t="s">
        <v>57</v>
      </c>
      <c r="C25" s="26">
        <f>SUM(M25)*3</f>
        <v>1588.3230000000001</v>
      </c>
      <c r="D25" s="26">
        <f>SUM(M25*3)</f>
        <v>1588.3230000000001</v>
      </c>
      <c r="E25" s="26">
        <f>SUM(M25*3)</f>
        <v>1588.3230000000001</v>
      </c>
      <c r="F25" s="26">
        <f>SUM(M25*3)</f>
        <v>1588.3230000000001</v>
      </c>
      <c r="G25" s="79">
        <f t="shared" si="6"/>
        <v>6353.2920000000004</v>
      </c>
      <c r="H25" s="148" t="s">
        <v>106</v>
      </c>
      <c r="I25" s="106">
        <f>SUM(J1)</f>
        <v>4813.1000000000004</v>
      </c>
      <c r="J25" s="108"/>
      <c r="K25" s="113">
        <v>0.11</v>
      </c>
      <c r="L25" s="113"/>
      <c r="M25" s="105">
        <f>SUM(I25*K25)</f>
        <v>529.44100000000003</v>
      </c>
      <c r="N25" s="144"/>
      <c r="O25" s="106"/>
      <c r="P25" s="108"/>
      <c r="Q25" s="113"/>
      <c r="R25" s="113"/>
      <c r="S25" s="107"/>
      <c r="T25" s="144"/>
      <c r="U25" s="106"/>
      <c r="V25" s="108"/>
      <c r="W25" s="113"/>
      <c r="X25" s="113"/>
      <c r="Y25" s="107"/>
    </row>
    <row r="26" spans="1:35" ht="20.100000000000001" customHeight="1" outlineLevel="1" x14ac:dyDescent="0.25">
      <c r="A26" s="34" t="s">
        <v>7</v>
      </c>
      <c r="B26" s="36" t="s">
        <v>4</v>
      </c>
      <c r="C26" s="30">
        <f>SUM(C27:C28)</f>
        <v>0</v>
      </c>
      <c r="D26" s="30">
        <f t="shared" ref="D26:F26" si="7">SUM(D27:D28)</f>
        <v>0</v>
      </c>
      <c r="E26" s="30">
        <f t="shared" si="7"/>
        <v>0</v>
      </c>
      <c r="F26" s="30">
        <f t="shared" si="7"/>
        <v>0</v>
      </c>
      <c r="G26" s="37">
        <f t="shared" si="6"/>
        <v>0</v>
      </c>
    </row>
    <row r="27" spans="1:35" s="1" customFormat="1" ht="20.100000000000001" customHeight="1" outlineLevel="1" x14ac:dyDescent="0.25">
      <c r="A27" s="32"/>
      <c r="B27" s="10" t="s">
        <v>5</v>
      </c>
      <c r="C27" s="9"/>
      <c r="D27" s="9"/>
      <c r="E27" s="9"/>
      <c r="F27" s="9"/>
      <c r="G27" s="78">
        <f t="shared" si="6"/>
        <v>0</v>
      </c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</row>
    <row r="28" spans="1:35" s="1" customFormat="1" ht="20.100000000000001" customHeight="1" outlineLevel="1" thickBot="1" x14ac:dyDescent="0.3">
      <c r="A28" s="33"/>
      <c r="B28" s="25" t="s">
        <v>24</v>
      </c>
      <c r="C28" s="26"/>
      <c r="D28" s="26"/>
      <c r="E28" s="26"/>
      <c r="F28" s="26"/>
      <c r="G28" s="79">
        <f t="shared" si="6"/>
        <v>0</v>
      </c>
      <c r="H28" s="227"/>
      <c r="I28" s="228"/>
      <c r="J28" s="228"/>
      <c r="K28" s="228"/>
      <c r="L28" s="228"/>
      <c r="M28" s="228"/>
      <c r="N28" s="228"/>
      <c r="O28" s="228"/>
      <c r="P28" s="228"/>
      <c r="Q28" s="228"/>
      <c r="R28" s="228"/>
      <c r="S28" s="228"/>
      <c r="T28" s="228"/>
      <c r="U28" s="228"/>
      <c r="V28" s="228"/>
      <c r="W28" s="228"/>
      <c r="X28" s="228"/>
      <c r="Y28" s="228"/>
      <c r="Z28" s="228"/>
      <c r="AA28" s="228"/>
      <c r="AB28" s="149"/>
      <c r="AC28" s="149"/>
      <c r="AD28" s="149"/>
      <c r="AE28" s="149"/>
      <c r="AF28" s="149"/>
      <c r="AG28" s="149"/>
      <c r="AH28" s="149"/>
      <c r="AI28" s="149"/>
    </row>
    <row r="29" spans="1:35" ht="26.1" customHeight="1" outlineLevel="1" thickBot="1" x14ac:dyDescent="0.3">
      <c r="A29" s="213" t="s">
        <v>6</v>
      </c>
      <c r="B29" s="214"/>
      <c r="C29" s="52">
        <f>C9+C16+C20+C23+C26</f>
        <v>15330.963744000002</v>
      </c>
      <c r="D29" s="52">
        <f>D9+D16+D20+D23+D26</f>
        <v>15208.670184000002</v>
      </c>
      <c r="E29" s="52">
        <f>E9+E16+E20+E23+E26</f>
        <v>15239.497879000002</v>
      </c>
      <c r="F29" s="52">
        <f>F9+F16+F20+F23+F26</f>
        <v>15790.327509000002</v>
      </c>
      <c r="G29" s="53">
        <f t="shared" si="6"/>
        <v>61569.459316000008</v>
      </c>
    </row>
    <row r="30" spans="1:35" ht="26.1" customHeight="1" thickBot="1" x14ac:dyDescent="0.3">
      <c r="A30" s="211" t="s">
        <v>39</v>
      </c>
      <c r="B30" s="212"/>
      <c r="C30" s="54" t="s">
        <v>8</v>
      </c>
      <c r="D30" s="54" t="s">
        <v>8</v>
      </c>
      <c r="E30" s="54" t="s">
        <v>8</v>
      </c>
      <c r="F30" s="54" t="s">
        <v>8</v>
      </c>
      <c r="G30" s="55" t="s">
        <v>8</v>
      </c>
    </row>
    <row r="31" spans="1:35" ht="20.100000000000001" customHeight="1" x14ac:dyDescent="0.25">
      <c r="A31" s="117">
        <v>1</v>
      </c>
      <c r="B31" s="21" t="s">
        <v>15</v>
      </c>
      <c r="C31" s="64">
        <f>SUM(C32:C35)</f>
        <v>2580.9219973700415</v>
      </c>
      <c r="D31" s="64">
        <f>SUM(D32:D35)</f>
        <v>2536.5769573700418</v>
      </c>
      <c r="E31" s="64">
        <f>SUM(E32:E35)</f>
        <v>2551.1250473700416</v>
      </c>
      <c r="F31" s="64">
        <f>SUM(F32:F35)</f>
        <v>2757.6013873700413</v>
      </c>
      <c r="G31" s="64">
        <f>SUM(G32:G35)</f>
        <v>10426.225389480165</v>
      </c>
    </row>
    <row r="32" spans="1:35" ht="20.100000000000001" customHeight="1" x14ac:dyDescent="0.25">
      <c r="A32" s="46"/>
      <c r="B32" s="10" t="s">
        <v>3</v>
      </c>
      <c r="C32" s="42">
        <f>C10</f>
        <v>1908.8754600000004</v>
      </c>
      <c r="D32" s="42">
        <f>D10</f>
        <v>1868.4454200000005</v>
      </c>
      <c r="E32" s="42">
        <f>E10</f>
        <v>1787.5853400000001</v>
      </c>
      <c r="F32" s="42">
        <f>F10</f>
        <v>1787.5853400000001</v>
      </c>
      <c r="G32" s="74">
        <f>SUM(C32:F32)</f>
        <v>7352.4915600000004</v>
      </c>
    </row>
    <row r="33" spans="1:7" ht="20.100000000000001" customHeight="1" x14ac:dyDescent="0.25">
      <c r="A33" s="46"/>
      <c r="B33" s="10" t="s">
        <v>10</v>
      </c>
      <c r="C33" s="42">
        <f t="shared" ref="C33:F33" si="8">C13</f>
        <v>289.70999999999998</v>
      </c>
      <c r="D33" s="42">
        <f t="shared" si="8"/>
        <v>285.79499999999996</v>
      </c>
      <c r="E33" s="42">
        <f t="shared" si="8"/>
        <v>381.20317</v>
      </c>
      <c r="F33" s="42">
        <f t="shared" si="8"/>
        <v>587.67951000000005</v>
      </c>
      <c r="G33" s="74">
        <f>SUM(C33:F33)</f>
        <v>1544.3876799999998</v>
      </c>
    </row>
    <row r="34" spans="1:7" ht="57.75" customHeight="1" x14ac:dyDescent="0.25">
      <c r="A34" s="46"/>
      <c r="B34" s="10" t="s">
        <v>46</v>
      </c>
      <c r="C34" s="42">
        <f>[1]Лист15!D6</f>
        <v>382.33653737004119</v>
      </c>
      <c r="D34" s="42">
        <f>C34</f>
        <v>382.33653737004119</v>
      </c>
      <c r="E34" s="42">
        <f>C34</f>
        <v>382.33653737004119</v>
      </c>
      <c r="F34" s="42">
        <f>C34</f>
        <v>382.33653737004119</v>
      </c>
      <c r="G34" s="74">
        <f>SUM(C34:F34)</f>
        <v>1529.3461494801647</v>
      </c>
    </row>
    <row r="35" spans="1:7" ht="20.100000000000001" customHeight="1" thickBot="1" x14ac:dyDescent="0.3">
      <c r="A35" s="46"/>
      <c r="B35" s="10" t="s">
        <v>12</v>
      </c>
      <c r="C35" s="42"/>
      <c r="D35" s="42"/>
      <c r="E35" s="42"/>
      <c r="F35" s="42"/>
      <c r="G35" s="74">
        <f>SUM(C35:F35)</f>
        <v>0</v>
      </c>
    </row>
    <row r="36" spans="1:7" ht="20.100000000000001" customHeight="1" x14ac:dyDescent="0.25">
      <c r="A36" s="117">
        <v>2</v>
      </c>
      <c r="B36" s="28" t="s">
        <v>16</v>
      </c>
      <c r="C36" s="64">
        <f>SUM(C37:C38)</f>
        <v>0</v>
      </c>
      <c r="D36" s="64">
        <f t="shared" ref="D36:F36" si="9">SUM(D37:D38)</f>
        <v>0</v>
      </c>
      <c r="E36" s="64">
        <f t="shared" si="9"/>
        <v>0</v>
      </c>
      <c r="F36" s="64">
        <f t="shared" si="9"/>
        <v>0</v>
      </c>
      <c r="G36" s="64">
        <f t="shared" ref="G36" si="10">SUM(G37:G38)</f>
        <v>0</v>
      </c>
    </row>
    <row r="37" spans="1:7" ht="39.950000000000003" customHeight="1" x14ac:dyDescent="0.25">
      <c r="A37" s="29"/>
      <c r="B37" s="10" t="s">
        <v>25</v>
      </c>
      <c r="C37" s="42"/>
      <c r="D37" s="42"/>
      <c r="E37" s="42"/>
      <c r="F37" s="42"/>
      <c r="G37" s="74">
        <f>SUM(C37:F37)</f>
        <v>0</v>
      </c>
    </row>
    <row r="38" spans="1:7" ht="39.950000000000003" customHeight="1" thickBot="1" x14ac:dyDescent="0.3">
      <c r="A38" s="27"/>
      <c r="B38" s="25" t="s">
        <v>14</v>
      </c>
      <c r="C38" s="42"/>
      <c r="D38" s="42"/>
      <c r="E38" s="42"/>
      <c r="F38" s="42"/>
      <c r="G38" s="74">
        <f>SUM(C38:F38)</f>
        <v>0</v>
      </c>
    </row>
    <row r="39" spans="1:7" ht="20.100000000000001" customHeight="1" x14ac:dyDescent="0.25">
      <c r="A39" s="117" t="s">
        <v>33</v>
      </c>
      <c r="B39" s="28" t="s">
        <v>17</v>
      </c>
      <c r="C39" s="64">
        <f>SUM(C40:C41)</f>
        <v>764.73</v>
      </c>
      <c r="D39" s="64">
        <f t="shared" ref="D39:F39" si="11">SUM(D40:D41)</f>
        <v>764.73</v>
      </c>
      <c r="E39" s="64">
        <f t="shared" si="11"/>
        <v>764.73</v>
      </c>
      <c r="F39" s="64">
        <f t="shared" si="11"/>
        <v>764.73</v>
      </c>
      <c r="G39" s="64">
        <f t="shared" ref="G39" si="12">SUM(G40:G41)</f>
        <v>3058.92</v>
      </c>
    </row>
    <row r="40" spans="1:7" ht="20.100000000000001" customHeight="1" x14ac:dyDescent="0.25">
      <c r="A40" s="46"/>
      <c r="B40" s="10" t="s">
        <v>45</v>
      </c>
      <c r="C40" s="42">
        <f t="shared" ref="C40:F41" si="13">C21</f>
        <v>242.73000000000002</v>
      </c>
      <c r="D40" s="42">
        <f t="shared" si="13"/>
        <v>242.73000000000002</v>
      </c>
      <c r="E40" s="42">
        <f t="shared" si="13"/>
        <v>242.73000000000002</v>
      </c>
      <c r="F40" s="42">
        <f t="shared" si="13"/>
        <v>242.73000000000002</v>
      </c>
      <c r="G40" s="74">
        <f>SUM(C40:F40)</f>
        <v>970.92000000000007</v>
      </c>
    </row>
    <row r="41" spans="1:7" s="4" customFormat="1" ht="20.100000000000001" customHeight="1" thickBot="1" x14ac:dyDescent="0.3">
      <c r="A41" s="56"/>
      <c r="B41" s="25" t="s">
        <v>18</v>
      </c>
      <c r="C41" s="57">
        <f t="shared" si="13"/>
        <v>522</v>
      </c>
      <c r="D41" s="57">
        <f t="shared" si="13"/>
        <v>522</v>
      </c>
      <c r="E41" s="57">
        <f t="shared" si="13"/>
        <v>522</v>
      </c>
      <c r="F41" s="57">
        <f t="shared" si="13"/>
        <v>522</v>
      </c>
      <c r="G41" s="74">
        <f>SUM(C41:F41)</f>
        <v>2088</v>
      </c>
    </row>
    <row r="42" spans="1:7" ht="20.100000000000001" customHeight="1" x14ac:dyDescent="0.25">
      <c r="A42" s="117" t="s">
        <v>9</v>
      </c>
      <c r="B42" s="28" t="s">
        <v>38</v>
      </c>
      <c r="C42" s="64">
        <f>SUM(C43:C58)</f>
        <v>8952.3660000000018</v>
      </c>
      <c r="D42" s="64">
        <f>SUM(D43:D58)</f>
        <v>8952.3660000000018</v>
      </c>
      <c r="E42" s="64">
        <f>SUM(E43:E58)</f>
        <v>8952.3660000000018</v>
      </c>
      <c r="F42" s="64">
        <f>SUM(F43:F58)</f>
        <v>8952.3660000000018</v>
      </c>
      <c r="G42" s="66">
        <f t="shared" ref="G42:G51" si="14">SUM(C42:F42)</f>
        <v>35809.464000000007</v>
      </c>
    </row>
    <row r="43" spans="1:7" ht="20.100000000000001" customHeight="1" x14ac:dyDescent="0.25">
      <c r="A43" s="58"/>
      <c r="B43" s="49" t="s">
        <v>43</v>
      </c>
      <c r="C43" s="42">
        <f>C24</f>
        <v>8952.3660000000018</v>
      </c>
      <c r="D43" s="42">
        <f>D24</f>
        <v>8952.3660000000018</v>
      </c>
      <c r="E43" s="42">
        <f>E24</f>
        <v>8952.3660000000018</v>
      </c>
      <c r="F43" s="42">
        <f>F24</f>
        <v>8952.3660000000018</v>
      </c>
      <c r="G43" s="74">
        <f t="shared" si="14"/>
        <v>35809.464000000007</v>
      </c>
    </row>
    <row r="44" spans="1:7" ht="20.100000000000001" customHeight="1" x14ac:dyDescent="0.25">
      <c r="A44" s="47"/>
      <c r="B44" s="49" t="s">
        <v>28</v>
      </c>
      <c r="C44" s="42"/>
      <c r="D44" s="42"/>
      <c r="E44" s="42"/>
      <c r="F44" s="42"/>
      <c r="G44" s="74">
        <f>SUM(C44:F44)</f>
        <v>0</v>
      </c>
    </row>
    <row r="45" spans="1:7" ht="20.100000000000001" customHeight="1" x14ac:dyDescent="0.25">
      <c r="A45" s="47"/>
      <c r="B45" s="49" t="s">
        <v>36</v>
      </c>
      <c r="C45" s="42"/>
      <c r="D45" s="42"/>
      <c r="E45" s="42"/>
      <c r="F45" s="42"/>
      <c r="G45" s="74">
        <f t="shared" si="14"/>
        <v>0</v>
      </c>
    </row>
    <row r="46" spans="1:7" ht="20.100000000000001" customHeight="1" x14ac:dyDescent="0.25">
      <c r="A46" s="47"/>
      <c r="B46" s="49" t="s">
        <v>34</v>
      </c>
      <c r="C46" s="42"/>
      <c r="D46" s="42"/>
      <c r="E46" s="42"/>
      <c r="F46" s="42"/>
      <c r="G46" s="74">
        <f t="shared" si="14"/>
        <v>0</v>
      </c>
    </row>
    <row r="47" spans="1:7" ht="20.100000000000001" customHeight="1" x14ac:dyDescent="0.25">
      <c r="A47" s="46"/>
      <c r="B47" s="49" t="s">
        <v>35</v>
      </c>
      <c r="C47" s="42"/>
      <c r="D47" s="42"/>
      <c r="E47" s="42"/>
      <c r="F47" s="42"/>
      <c r="G47" s="74">
        <f t="shared" si="14"/>
        <v>0</v>
      </c>
    </row>
    <row r="48" spans="1:7" ht="20.100000000000001" customHeight="1" x14ac:dyDescent="0.25">
      <c r="A48" s="58"/>
      <c r="B48" s="10" t="s">
        <v>59</v>
      </c>
      <c r="C48" s="42"/>
      <c r="D48" s="42"/>
      <c r="E48" s="42"/>
      <c r="F48" s="42"/>
      <c r="G48" s="74">
        <f t="shared" si="14"/>
        <v>0</v>
      </c>
    </row>
    <row r="49" spans="1:14" ht="39" customHeight="1" x14ac:dyDescent="0.25">
      <c r="A49" s="58"/>
      <c r="B49" s="49" t="s">
        <v>37</v>
      </c>
      <c r="C49" s="42"/>
      <c r="D49" s="42"/>
      <c r="E49" s="42"/>
      <c r="F49" s="42"/>
      <c r="G49" s="74">
        <f t="shared" si="14"/>
        <v>0</v>
      </c>
      <c r="H49" s="65"/>
    </row>
    <row r="50" spans="1:14" ht="20.100000000000001" customHeight="1" x14ac:dyDescent="0.25">
      <c r="A50" s="46"/>
      <c r="B50" s="49" t="s">
        <v>29</v>
      </c>
      <c r="C50" s="42"/>
      <c r="D50" s="42"/>
      <c r="E50" s="42"/>
      <c r="F50" s="42"/>
      <c r="G50" s="74">
        <f t="shared" si="14"/>
        <v>0</v>
      </c>
    </row>
    <row r="51" spans="1:14" s="4" customFormat="1" ht="20.100000000000001" customHeight="1" x14ac:dyDescent="0.25">
      <c r="A51" s="48"/>
      <c r="B51" s="49" t="s">
        <v>40</v>
      </c>
      <c r="C51" s="42"/>
      <c r="D51" s="42"/>
      <c r="E51" s="42"/>
      <c r="F51" s="42"/>
      <c r="G51" s="74">
        <f t="shared" si="14"/>
        <v>0</v>
      </c>
    </row>
    <row r="52" spans="1:14" ht="20.100000000000001" customHeight="1" x14ac:dyDescent="0.25">
      <c r="A52" s="59"/>
      <c r="B52" s="49" t="s">
        <v>41</v>
      </c>
      <c r="C52" s="68"/>
      <c r="D52" s="68"/>
      <c r="E52" s="68"/>
      <c r="F52" s="68"/>
      <c r="G52" s="75">
        <f t="shared" ref="G52:G57" si="15">SUM(C52:F52)</f>
        <v>0</v>
      </c>
      <c r="H52" s="4"/>
      <c r="I52" s="4"/>
      <c r="J52" s="4"/>
      <c r="K52" s="4"/>
      <c r="L52" s="4"/>
      <c r="M52" s="4"/>
      <c r="N52" s="4"/>
    </row>
    <row r="53" spans="1:14" ht="20.100000000000001" customHeight="1" x14ac:dyDescent="0.25">
      <c r="A53" s="61"/>
      <c r="B53" s="51" t="s">
        <v>44</v>
      </c>
      <c r="C53" s="42"/>
      <c r="D53" s="42"/>
      <c r="E53" s="42"/>
      <c r="F53" s="42"/>
      <c r="G53" s="74">
        <f t="shared" si="15"/>
        <v>0</v>
      </c>
    </row>
    <row r="54" spans="1:14" ht="20.100000000000001" customHeight="1" x14ac:dyDescent="0.25">
      <c r="A54" s="61"/>
      <c r="B54" s="49" t="s">
        <v>30</v>
      </c>
      <c r="C54" s="42"/>
      <c r="D54" s="42"/>
      <c r="E54" s="42"/>
      <c r="F54" s="42"/>
      <c r="G54" s="74">
        <f t="shared" si="15"/>
        <v>0</v>
      </c>
    </row>
    <row r="55" spans="1:14" ht="41.25" customHeight="1" x14ac:dyDescent="0.25">
      <c r="A55" s="61"/>
      <c r="B55" s="49" t="s">
        <v>31</v>
      </c>
      <c r="C55" s="42"/>
      <c r="D55" s="42"/>
      <c r="E55" s="42"/>
      <c r="F55" s="42"/>
      <c r="G55" s="74">
        <f t="shared" si="15"/>
        <v>0</v>
      </c>
    </row>
    <row r="56" spans="1:14" ht="39" customHeight="1" x14ac:dyDescent="0.25">
      <c r="A56" s="62"/>
      <c r="B56" s="81" t="s">
        <v>50</v>
      </c>
      <c r="C56" s="68"/>
      <c r="D56" s="68"/>
      <c r="E56" s="68"/>
      <c r="F56" s="68"/>
      <c r="G56" s="82">
        <f t="shared" si="15"/>
        <v>0</v>
      </c>
    </row>
    <row r="57" spans="1:14" ht="60" customHeight="1" x14ac:dyDescent="0.25">
      <c r="A57" s="60"/>
      <c r="B57" s="51" t="s">
        <v>53</v>
      </c>
      <c r="C57" s="68"/>
      <c r="D57" s="68"/>
      <c r="E57" s="68"/>
      <c r="F57" s="68"/>
      <c r="G57" s="82">
        <f t="shared" si="15"/>
        <v>0</v>
      </c>
    </row>
    <row r="58" spans="1:14" ht="20.100000000000001" customHeight="1" thickBot="1" x14ac:dyDescent="0.3">
      <c r="A58" s="63"/>
      <c r="B58" s="50" t="s">
        <v>32</v>
      </c>
      <c r="C58" s="57"/>
      <c r="D58" s="57"/>
      <c r="E58" s="57"/>
      <c r="F58" s="57"/>
      <c r="G58" s="76">
        <f>SUM(C58:F58)</f>
        <v>0</v>
      </c>
    </row>
    <row r="59" spans="1:14" ht="20.100000000000001" customHeight="1" outlineLevel="1" thickBot="1" x14ac:dyDescent="0.3">
      <c r="A59" s="229" t="s">
        <v>42</v>
      </c>
      <c r="B59" s="230"/>
      <c r="C59" s="38">
        <f>C31+C36+C39+C42</f>
        <v>12298.017997370043</v>
      </c>
      <c r="D59" s="38">
        <f>D31+D36+D39+D42</f>
        <v>12253.672957370043</v>
      </c>
      <c r="E59" s="38">
        <f>E31+E36+E39+E42</f>
        <v>12268.221047370043</v>
      </c>
      <c r="F59" s="38">
        <f>F31+F36+F39+F42</f>
        <v>12474.697387370043</v>
      </c>
      <c r="G59" s="39">
        <f>G31+G36+G39+G42</f>
        <v>49294.609389480174</v>
      </c>
    </row>
    <row r="60" spans="1:14" ht="26.1" customHeight="1" outlineLevel="1" x14ac:dyDescent="0.25">
      <c r="A60" s="115"/>
      <c r="B60" s="72"/>
      <c r="C60" s="73">
        <f>C29-C59</f>
        <v>3032.9457466299591</v>
      </c>
      <c r="D60" s="73">
        <f>D29-D59</f>
        <v>2954.9972266299592</v>
      </c>
      <c r="E60" s="73">
        <f>E29-E59</f>
        <v>2971.2768316299589</v>
      </c>
      <c r="F60" s="73">
        <f>F29-F59</f>
        <v>3315.6301216299598</v>
      </c>
      <c r="G60" s="73">
        <f>G29-G59</f>
        <v>12274.849926519833</v>
      </c>
    </row>
    <row r="61" spans="1:14" ht="26.1" customHeight="1" outlineLevel="1" x14ac:dyDescent="0.25">
      <c r="A61" s="115"/>
      <c r="B61" s="72"/>
      <c r="C61" s="73"/>
      <c r="D61" s="73"/>
      <c r="E61" s="73"/>
      <c r="F61" s="73"/>
      <c r="G61" s="80" t="e">
        <f>G60/#REF!/12</f>
        <v>#REF!</v>
      </c>
    </row>
    <row r="62" spans="1:14" ht="39.75" hidden="1" customHeight="1" x14ac:dyDescent="0.25">
      <c r="A62" s="69"/>
      <c r="B62" s="83"/>
      <c r="C62" s="116"/>
      <c r="D62" s="116"/>
      <c r="E62" s="116"/>
      <c r="F62" s="116"/>
      <c r="G62" s="116"/>
      <c r="H62" s="116"/>
      <c r="I62" s="116"/>
      <c r="J62" s="116"/>
      <c r="K62" s="116"/>
      <c r="L62" s="116"/>
    </row>
    <row r="63" spans="1:14" hidden="1" x14ac:dyDescent="0.25">
      <c r="A63" s="69"/>
      <c r="C63" s="67">
        <f>C16*1.2/100</f>
        <v>7.0469999999999997</v>
      </c>
      <c r="D63" s="67">
        <f>D16*1.2/100</f>
        <v>7.0469999999999997</v>
      </c>
      <c r="E63" s="67">
        <f>E16*1.2/100</f>
        <v>7.0787325599999997</v>
      </c>
      <c r="F63" s="67">
        <f>F16*1.2/100</f>
        <v>7.1421976799999989</v>
      </c>
    </row>
    <row r="64" spans="1:14" hidden="1" x14ac:dyDescent="0.25">
      <c r="A64" s="70"/>
      <c r="C64" s="67">
        <f>(C16-C63)*0.5/100</f>
        <v>2.9010149999999997</v>
      </c>
      <c r="D64" s="67">
        <f>(D16-D63)*0.5/100</f>
        <v>2.9010149999999997</v>
      </c>
      <c r="E64" s="67">
        <f>(E16-E63)*0.5/100</f>
        <v>2.9140782371999996</v>
      </c>
      <c r="F64" s="67">
        <f>(F16-F63)*0.5/100</f>
        <v>2.9402047115999999</v>
      </c>
    </row>
    <row r="65" spans="1:15" hidden="1" x14ac:dyDescent="0.25">
      <c r="C65" s="3">
        <f>C9*1.2/100</f>
        <v>41.25953692800001</v>
      </c>
      <c r="D65" s="3">
        <f>D9*1.2/100</f>
        <v>39.792014208000005</v>
      </c>
      <c r="E65" s="3">
        <f>E9*1.2/100</f>
        <v>40.130213987999994</v>
      </c>
      <c r="F65" s="3">
        <f>F9*1.2/100</f>
        <v>46.676704427999994</v>
      </c>
    </row>
    <row r="66" spans="1:15" s="3" customFormat="1" hidden="1" x14ac:dyDescent="0.25">
      <c r="A66" s="2"/>
      <c r="B66" s="2"/>
      <c r="C66" s="3">
        <f>(C9-C65)*4/100</f>
        <v>135.88140828288002</v>
      </c>
      <c r="D66" s="3">
        <f>(D9-D65)*4/100</f>
        <v>131.04836679168002</v>
      </c>
      <c r="E66" s="3">
        <f>(E9-E65)*4/100</f>
        <v>132.16217140047999</v>
      </c>
      <c r="F66" s="3">
        <f>(F9-F65)*4/100</f>
        <v>153.72194658287998</v>
      </c>
      <c r="H66" s="2"/>
      <c r="I66" s="2"/>
      <c r="J66" s="2"/>
      <c r="K66" s="2"/>
      <c r="L66" s="2"/>
      <c r="M66" s="2"/>
      <c r="N66" s="2"/>
      <c r="O66" s="2"/>
    </row>
    <row r="67" spans="1:15" s="3" customFormat="1" hidden="1" x14ac:dyDescent="0.25">
      <c r="A67" s="2"/>
      <c r="B67" s="2"/>
      <c r="C67" s="3">
        <f>SUM(C63:C66)</f>
        <v>187.08896021088003</v>
      </c>
      <c r="D67" s="3">
        <f t="shared" ref="D67:F67" si="16">SUM(D63:D66)</f>
        <v>180.78839599968003</v>
      </c>
      <c r="E67" s="3">
        <f t="shared" si="16"/>
        <v>182.28519618567998</v>
      </c>
      <c r="F67" s="3">
        <f t="shared" si="16"/>
        <v>210.48105340247997</v>
      </c>
      <c r="H67" s="2"/>
      <c r="I67" s="2"/>
      <c r="J67" s="2"/>
      <c r="K67" s="2"/>
      <c r="L67" s="2"/>
      <c r="M67" s="2"/>
      <c r="N67" s="2"/>
      <c r="O67" s="2"/>
    </row>
  </sheetData>
  <dataConsolidate/>
  <mergeCells count="19">
    <mergeCell ref="A1:C1"/>
    <mergeCell ref="A2:G2"/>
    <mergeCell ref="A3:G3"/>
    <mergeCell ref="A4:A6"/>
    <mergeCell ref="B4:B6"/>
    <mergeCell ref="C5:C6"/>
    <mergeCell ref="D5:D6"/>
    <mergeCell ref="E5:E6"/>
    <mergeCell ref="F5:F6"/>
    <mergeCell ref="G5:G6"/>
    <mergeCell ref="O8:S8"/>
    <mergeCell ref="U8:Y8"/>
    <mergeCell ref="Z10:Z12"/>
    <mergeCell ref="H28:AA28"/>
    <mergeCell ref="A59:B59"/>
    <mergeCell ref="A8:B8"/>
    <mergeCell ref="A29:B29"/>
    <mergeCell ref="A30:B30"/>
    <mergeCell ref="I8:M8"/>
  </mergeCells>
  <pageMargins left="0.70866141732283472" right="0.70866141732283472" top="0.74803149606299213" bottom="0.74803149606299213" header="0.31496062992125984" footer="0.31496062992125984"/>
  <pageSetup paperSize="9" scale="4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DC105-0249-4E87-B031-66C0F86CBA28}">
  <sheetPr>
    <tabColor rgb="FFFFC000"/>
    <pageSetUpPr fitToPage="1"/>
  </sheetPr>
  <dimension ref="A1:AI67"/>
  <sheetViews>
    <sheetView showGridLines="0" view="pageBreakPreview" topLeftCell="A4" zoomScale="60" zoomScaleNormal="70" workbookViewId="0">
      <selection activeCell="K21" sqref="K21"/>
    </sheetView>
  </sheetViews>
  <sheetFormatPr defaultColWidth="10.140625" defaultRowHeight="18.75" outlineLevelRow="1" x14ac:dyDescent="0.25"/>
  <cols>
    <col min="1" max="1" width="8" style="2" customWidth="1"/>
    <col min="2" max="2" width="84.7109375" style="2" customWidth="1"/>
    <col min="3" max="7" width="16.7109375" style="3" customWidth="1"/>
    <col min="8" max="8" width="10.28515625" style="2" bestFit="1" customWidth="1"/>
    <col min="9" max="9" width="45.7109375" style="2" bestFit="1" customWidth="1"/>
    <col min="10" max="10" width="11.7109375" style="2" bestFit="1" customWidth="1"/>
    <col min="11" max="12" width="29.85546875" style="2" bestFit="1" customWidth="1"/>
    <col min="13" max="13" width="10.42578125" style="2" bestFit="1" customWidth="1"/>
    <col min="14" max="16384" width="10.140625" style="2"/>
  </cols>
  <sheetData>
    <row r="1" spans="1:26" x14ac:dyDescent="0.25">
      <c r="A1" s="200"/>
      <c r="B1" s="200"/>
      <c r="C1" s="200"/>
      <c r="D1" s="120"/>
      <c r="E1" s="120"/>
      <c r="F1" s="120"/>
      <c r="G1" s="120"/>
      <c r="I1" s="102" t="s">
        <v>63</v>
      </c>
      <c r="J1" s="101">
        <v>5286.1</v>
      </c>
    </row>
    <row r="2" spans="1:26" x14ac:dyDescent="0.25">
      <c r="A2" s="200"/>
      <c r="B2" s="200"/>
      <c r="C2" s="200"/>
      <c r="D2" s="200"/>
      <c r="E2" s="200"/>
      <c r="F2" s="200"/>
      <c r="G2" s="200"/>
      <c r="I2" s="102"/>
      <c r="J2" s="101"/>
      <c r="K2" s="120"/>
    </row>
    <row r="3" spans="1:26" ht="19.5" thickBot="1" x14ac:dyDescent="0.3">
      <c r="A3" s="201"/>
      <c r="B3" s="201"/>
      <c r="C3" s="201"/>
      <c r="D3" s="201"/>
      <c r="E3" s="201"/>
      <c r="F3" s="201"/>
      <c r="G3" s="201"/>
      <c r="I3" s="7"/>
      <c r="J3" s="6"/>
      <c r="K3" s="121"/>
    </row>
    <row r="4" spans="1:26" x14ac:dyDescent="0.25">
      <c r="A4" s="207" t="s">
        <v>0</v>
      </c>
      <c r="B4" s="209" t="s">
        <v>1</v>
      </c>
      <c r="C4" s="119"/>
      <c r="D4" s="119"/>
      <c r="E4" s="119"/>
      <c r="F4" s="119"/>
      <c r="G4" s="14"/>
      <c r="I4" s="4" t="s">
        <v>64</v>
      </c>
      <c r="J4" s="4">
        <v>35</v>
      </c>
    </row>
    <row r="5" spans="1:26" ht="18" customHeight="1" x14ac:dyDescent="0.25">
      <c r="A5" s="208"/>
      <c r="B5" s="210"/>
      <c r="C5" s="203" t="s">
        <v>19</v>
      </c>
      <c r="D5" s="203" t="s">
        <v>20</v>
      </c>
      <c r="E5" s="203" t="s">
        <v>21</v>
      </c>
      <c r="F5" s="203" t="s">
        <v>22</v>
      </c>
      <c r="G5" s="202" t="s">
        <v>23</v>
      </c>
      <c r="I5" s="4" t="s">
        <v>65</v>
      </c>
      <c r="J5" s="4">
        <v>75</v>
      </c>
    </row>
    <row r="6" spans="1:26" x14ac:dyDescent="0.25">
      <c r="A6" s="208"/>
      <c r="B6" s="210"/>
      <c r="C6" s="203"/>
      <c r="D6" s="203"/>
      <c r="E6" s="203"/>
      <c r="F6" s="203"/>
      <c r="G6" s="202"/>
      <c r="I6" s="4"/>
      <c r="J6" s="4"/>
    </row>
    <row r="7" spans="1:26" ht="19.5" thickBot="1" x14ac:dyDescent="0.3">
      <c r="A7" s="122">
        <v>1</v>
      </c>
      <c r="B7" s="16">
        <v>2</v>
      </c>
      <c r="C7" s="17">
        <v>3</v>
      </c>
      <c r="D7" s="17">
        <v>4</v>
      </c>
      <c r="E7" s="17">
        <v>5</v>
      </c>
      <c r="F7" s="17">
        <v>5</v>
      </c>
      <c r="G7" s="18">
        <v>7</v>
      </c>
      <c r="I7" s="2" t="s">
        <v>87</v>
      </c>
    </row>
    <row r="8" spans="1:26" ht="26.1" customHeight="1" thickBot="1" x14ac:dyDescent="0.3">
      <c r="A8" s="206" t="s">
        <v>2</v>
      </c>
      <c r="B8" s="206"/>
      <c r="C8" s="19" t="s">
        <v>8</v>
      </c>
      <c r="D8" s="19" t="s">
        <v>8</v>
      </c>
      <c r="E8" s="19" t="s">
        <v>8</v>
      </c>
      <c r="F8" s="19" t="s">
        <v>8</v>
      </c>
      <c r="G8" s="19" t="s">
        <v>8</v>
      </c>
      <c r="I8" s="225" t="s">
        <v>88</v>
      </c>
      <c r="J8" s="225"/>
      <c r="K8" s="225"/>
      <c r="L8" s="225"/>
      <c r="M8" s="225"/>
      <c r="O8" s="225" t="s">
        <v>89</v>
      </c>
      <c r="P8" s="225"/>
      <c r="Q8" s="225"/>
      <c r="R8" s="225"/>
      <c r="S8" s="225"/>
      <c r="U8" s="225" t="s">
        <v>90</v>
      </c>
      <c r="V8" s="225"/>
      <c r="W8" s="225"/>
      <c r="X8" s="225"/>
      <c r="Y8" s="225"/>
    </row>
    <row r="9" spans="1:26" ht="20.100000000000001" customHeight="1" x14ac:dyDescent="0.25">
      <c r="A9" s="117">
        <v>1</v>
      </c>
      <c r="B9" s="21" t="s">
        <v>15</v>
      </c>
      <c r="C9" s="22">
        <f>SUM(C10:C15)</f>
        <v>3414.9321600000003</v>
      </c>
      <c r="D9" s="22">
        <f>SUM(D10:D15)</f>
        <v>3299.9569200000001</v>
      </c>
      <c r="E9" s="22">
        <f>SUM(E10:E15)</f>
        <v>3423.2179250000004</v>
      </c>
      <c r="F9" s="22">
        <f>SUM(F10:F15)</f>
        <v>4129.6408950000005</v>
      </c>
      <c r="G9" s="8">
        <f>SUM(G10:G15)</f>
        <v>14267.747900000002</v>
      </c>
      <c r="I9" s="123" t="s">
        <v>91</v>
      </c>
      <c r="J9" s="123" t="s">
        <v>92</v>
      </c>
      <c r="K9" s="140" t="s">
        <v>93</v>
      </c>
      <c r="L9" s="140" t="s">
        <v>94</v>
      </c>
      <c r="M9" s="140" t="s">
        <v>62</v>
      </c>
      <c r="N9" s="123"/>
      <c r="O9" s="123" t="s">
        <v>67</v>
      </c>
      <c r="P9" s="123" t="s">
        <v>92</v>
      </c>
      <c r="Q9" s="123" t="s">
        <v>61</v>
      </c>
      <c r="R9" s="123" t="s">
        <v>94</v>
      </c>
      <c r="S9" s="140" t="s">
        <v>62</v>
      </c>
      <c r="T9" s="123"/>
      <c r="U9" s="123" t="s">
        <v>67</v>
      </c>
      <c r="V9" s="123" t="s">
        <v>92</v>
      </c>
      <c r="W9" s="123" t="s">
        <v>61</v>
      </c>
      <c r="X9" s="123" t="s">
        <v>94</v>
      </c>
      <c r="Y9" s="140" t="s">
        <v>62</v>
      </c>
    </row>
    <row r="10" spans="1:26" ht="20.100000000000001" customHeight="1" x14ac:dyDescent="0.3">
      <c r="A10" s="118"/>
      <c r="B10" s="10" t="s">
        <v>3</v>
      </c>
      <c r="C10" s="12">
        <f>SUM(I10*3)</f>
        <v>2096.4672600000004</v>
      </c>
      <c r="D10" s="12">
        <f>SUM(I10*2+O10*1)</f>
        <v>2052.0640200000003</v>
      </c>
      <c r="E10" s="12">
        <f>SUM(O10*2)+U10*1</f>
        <v>1963.2575400000001</v>
      </c>
      <c r="F10" s="12">
        <f>SUM(U10*3)</f>
        <v>1963.2575400000001</v>
      </c>
      <c r="G10" s="77">
        <f>SUM(C10:F10)</f>
        <v>8075.0463600000021</v>
      </c>
      <c r="H10" s="141" t="s">
        <v>95</v>
      </c>
      <c r="I10" s="142">
        <f>SUM(M10*K10)</f>
        <v>698.82242000000008</v>
      </c>
      <c r="J10" s="142"/>
      <c r="K10" s="142">
        <v>0.13220000000000001</v>
      </c>
      <c r="L10" s="142"/>
      <c r="M10" s="143">
        <f>SUM(J1)</f>
        <v>5286.1</v>
      </c>
      <c r="N10" s="144"/>
      <c r="O10" s="142">
        <f>SUM(S10*Q10)</f>
        <v>654.41917999999998</v>
      </c>
      <c r="P10" s="142" t="s">
        <v>96</v>
      </c>
      <c r="Q10" s="142">
        <v>0.12379999999999999</v>
      </c>
      <c r="R10" s="142"/>
      <c r="S10" s="143">
        <f>SUM(J1)</f>
        <v>5286.1</v>
      </c>
      <c r="T10" s="144"/>
      <c r="U10" s="142">
        <f>SUM(Y10*W10)</f>
        <v>654.41917999999998</v>
      </c>
      <c r="V10" s="142" t="s">
        <v>96</v>
      </c>
      <c r="W10" s="142">
        <v>0.12379999999999999</v>
      </c>
      <c r="X10" s="142"/>
      <c r="Y10" s="143">
        <f>SUM(J1)</f>
        <v>5286.1</v>
      </c>
      <c r="Z10" s="226"/>
    </row>
    <row r="11" spans="1:26" ht="20.100000000000001" customHeight="1" x14ac:dyDescent="0.3">
      <c r="A11" s="118"/>
      <c r="B11" s="10" t="s">
        <v>3</v>
      </c>
      <c r="C11" s="12"/>
      <c r="D11" s="12"/>
      <c r="E11" s="12"/>
      <c r="F11" s="12"/>
      <c r="G11" s="77">
        <f t="shared" ref="G11:G14" si="0">SUM(C11:F11)</f>
        <v>0</v>
      </c>
      <c r="H11" s="141" t="s">
        <v>97</v>
      </c>
      <c r="I11" s="142"/>
      <c r="J11" s="142"/>
      <c r="K11" s="142"/>
      <c r="L11" s="142">
        <v>0.1419</v>
      </c>
      <c r="M11" s="142"/>
      <c r="N11" s="144"/>
      <c r="O11" s="142"/>
      <c r="P11" s="142"/>
      <c r="Q11" s="142"/>
      <c r="R11" s="142">
        <v>0.13350000000000001</v>
      </c>
      <c r="S11" s="142"/>
      <c r="T11" s="144"/>
      <c r="U11" s="142"/>
      <c r="V11" s="142"/>
      <c r="W11" s="142"/>
      <c r="X11" s="142">
        <v>0.13350000000000001</v>
      </c>
      <c r="Y11" s="142"/>
      <c r="Z11" s="226"/>
    </row>
    <row r="12" spans="1:26" ht="20.100000000000001" customHeight="1" x14ac:dyDescent="0.3">
      <c r="A12" s="118"/>
      <c r="B12" s="10" t="s">
        <v>60</v>
      </c>
      <c r="C12" s="12"/>
      <c r="D12" s="12"/>
      <c r="E12" s="12"/>
      <c r="F12" s="12"/>
      <c r="G12" s="77">
        <f t="shared" si="0"/>
        <v>0</v>
      </c>
      <c r="H12" s="141"/>
      <c r="I12" s="142"/>
      <c r="J12" s="142"/>
      <c r="K12" s="142"/>
      <c r="L12" s="142"/>
      <c r="M12" s="142"/>
      <c r="N12" s="144"/>
      <c r="O12" s="142"/>
      <c r="P12" s="142"/>
      <c r="Q12" s="142"/>
      <c r="R12" s="142"/>
      <c r="S12" s="142"/>
      <c r="T12" s="144"/>
      <c r="U12" s="142"/>
      <c r="V12" s="142"/>
      <c r="W12" s="142"/>
      <c r="X12" s="142"/>
      <c r="Y12" s="142"/>
      <c r="Z12" s="226"/>
    </row>
    <row r="13" spans="1:26" ht="20.100000000000001" customHeight="1" x14ac:dyDescent="0.3">
      <c r="A13" s="118"/>
      <c r="B13" s="10" t="s">
        <v>10</v>
      </c>
      <c r="C13" s="12">
        <f>SUM(I13*3)</f>
        <v>249.75</v>
      </c>
      <c r="D13" s="12">
        <f>SUM(I13*2+O13)</f>
        <v>246.375</v>
      </c>
      <c r="E13" s="12">
        <f>SUM(O13*2+U13)</f>
        <v>374.89427000000001</v>
      </c>
      <c r="F13" s="12">
        <f>SUM(U13*3)</f>
        <v>645.43281000000002</v>
      </c>
      <c r="G13" s="77">
        <f>SUM(C13:F13)</f>
        <v>1516.45208</v>
      </c>
      <c r="H13" s="141" t="s">
        <v>98</v>
      </c>
      <c r="I13" s="142">
        <f>SUM(J5*1.5*K13)</f>
        <v>83.25</v>
      </c>
      <c r="J13" s="142" t="s">
        <v>96</v>
      </c>
      <c r="K13" s="142">
        <v>0.74</v>
      </c>
      <c r="L13" s="142"/>
      <c r="M13" s="142"/>
      <c r="N13" s="145"/>
      <c r="O13" s="142">
        <f>SUM(J5*1.5*Q13)</f>
        <v>79.875</v>
      </c>
      <c r="P13" s="142" t="s">
        <v>96</v>
      </c>
      <c r="Q13" s="142">
        <v>0.71</v>
      </c>
      <c r="R13" s="142"/>
      <c r="S13" s="142"/>
      <c r="T13" s="145"/>
      <c r="U13" s="142">
        <f>SUM(W13*Y13)</f>
        <v>215.14427000000001</v>
      </c>
      <c r="V13" s="142" t="s">
        <v>96</v>
      </c>
      <c r="W13" s="142">
        <v>4.07E-2</v>
      </c>
      <c r="X13" s="142"/>
      <c r="Y13" s="143">
        <f>SUM(J1)</f>
        <v>5286.1</v>
      </c>
      <c r="Z13" s="3"/>
    </row>
    <row r="14" spans="1:26" ht="20.100000000000001" customHeight="1" outlineLevel="1" x14ac:dyDescent="0.3">
      <c r="A14" s="24"/>
      <c r="B14" s="10" t="s">
        <v>11</v>
      </c>
      <c r="C14" s="12">
        <f>SUM(I14*3)</f>
        <v>532.12500000000011</v>
      </c>
      <c r="D14" s="12">
        <f>SUM(I14*2+O14)</f>
        <v>470.62500000000006</v>
      </c>
      <c r="E14" s="12">
        <f>SUM(O14*2+U14)</f>
        <v>565.56721500000003</v>
      </c>
      <c r="F14" s="12">
        <f>SUM(U14*3)</f>
        <v>1001.4516450000001</v>
      </c>
      <c r="G14" s="77">
        <f t="shared" si="0"/>
        <v>2569.7688600000001</v>
      </c>
      <c r="H14" s="141" t="s">
        <v>11</v>
      </c>
      <c r="I14" s="142">
        <f>SUM((K14+L14/2))*J5</f>
        <v>177.37500000000003</v>
      </c>
      <c r="J14" s="142" t="s">
        <v>96</v>
      </c>
      <c r="K14" s="142">
        <v>1.5</v>
      </c>
      <c r="L14" s="142">
        <v>1.73</v>
      </c>
      <c r="M14" s="142"/>
      <c r="N14" s="145"/>
      <c r="O14" s="142">
        <f>SUM((Q14+R14))/2*J5</f>
        <v>115.875</v>
      </c>
      <c r="P14" s="142" t="s">
        <v>96</v>
      </c>
      <c r="Q14" s="142">
        <v>1.43</v>
      </c>
      <c r="R14" s="142">
        <v>1.66</v>
      </c>
      <c r="S14" s="142"/>
      <c r="T14" s="145"/>
      <c r="U14" s="142">
        <f>SUM((W14+X14))/2*Y14</f>
        <v>333.81721500000003</v>
      </c>
      <c r="V14" s="142" t="s">
        <v>96</v>
      </c>
      <c r="W14" s="142">
        <v>5.8400000000000001E-2</v>
      </c>
      <c r="X14" s="142">
        <v>6.7900000000000002E-2</v>
      </c>
      <c r="Y14" s="142">
        <f>SUM(J1)</f>
        <v>5286.1</v>
      </c>
      <c r="Z14" s="3"/>
    </row>
    <row r="15" spans="1:26" ht="20.100000000000001" customHeight="1" outlineLevel="1" thickBot="1" x14ac:dyDescent="0.35">
      <c r="A15" s="24"/>
      <c r="B15" s="10" t="s">
        <v>12</v>
      </c>
      <c r="C15" s="9">
        <f>SUM(I15*3)</f>
        <v>536.58989999999994</v>
      </c>
      <c r="D15" s="9">
        <f>SUM(I15*2+O15)</f>
        <v>530.89289999999994</v>
      </c>
      <c r="E15" s="9">
        <f>SUM(O15*2+U15)</f>
        <v>519.49890000000005</v>
      </c>
      <c r="F15" s="9">
        <f>SUM(U15*3)</f>
        <v>519.49890000000005</v>
      </c>
      <c r="G15" s="77">
        <f t="shared" ref="G15" si="1">SUM(C15:F15)</f>
        <v>2106.4805999999999</v>
      </c>
      <c r="H15" s="141" t="s">
        <v>99</v>
      </c>
      <c r="I15" s="142">
        <f>SUM(J15*((K15+L15))/2)*M15</f>
        <v>178.86329999999998</v>
      </c>
      <c r="J15" s="142">
        <v>0.24</v>
      </c>
      <c r="K15" s="142">
        <v>9.2583000000000002</v>
      </c>
      <c r="L15" s="142">
        <v>10.615399999999999</v>
      </c>
      <c r="M15" s="142">
        <f>SUM(J5)</f>
        <v>75</v>
      </c>
      <c r="N15" s="145"/>
      <c r="O15" s="142">
        <f>SUM(P15*((Q15+R15)/2)*S15)</f>
        <v>173.16630000000001</v>
      </c>
      <c r="P15" s="142">
        <v>0.24</v>
      </c>
      <c r="Q15" s="142">
        <v>8.9418000000000006</v>
      </c>
      <c r="R15" s="142">
        <v>10.2989</v>
      </c>
      <c r="S15" s="142">
        <f>SUM(J5)</f>
        <v>75</v>
      </c>
      <c r="T15" s="145"/>
      <c r="U15" s="142">
        <f>SUM(V15*((W15+X15)/2)*Y15)</f>
        <v>173.16630000000001</v>
      </c>
      <c r="V15" s="142">
        <v>0.24</v>
      </c>
      <c r="W15" s="142">
        <v>8.9418000000000006</v>
      </c>
      <c r="X15" s="142">
        <v>10.2989</v>
      </c>
      <c r="Y15" s="142">
        <f>SUM(J5)</f>
        <v>75</v>
      </c>
    </row>
    <row r="16" spans="1:26" ht="20.100000000000001" customHeight="1" x14ac:dyDescent="0.3">
      <c r="A16" s="117">
        <v>2</v>
      </c>
      <c r="B16" s="28" t="s">
        <v>16</v>
      </c>
      <c r="C16" s="35">
        <f>SUM(C17:C19)</f>
        <v>506.25</v>
      </c>
      <c r="D16" s="35">
        <f t="shared" ref="D16:F16" si="2">SUM(D17:D19)</f>
        <v>506.25</v>
      </c>
      <c r="E16" s="35">
        <f t="shared" si="2"/>
        <v>531.03978000000006</v>
      </c>
      <c r="F16" s="35">
        <f t="shared" si="2"/>
        <v>580.61934000000008</v>
      </c>
      <c r="G16" s="35">
        <f>SUM(G17:G19)</f>
        <v>2124.1591200000003</v>
      </c>
      <c r="H16" s="141"/>
      <c r="I16" s="142"/>
      <c r="J16" s="142"/>
      <c r="K16" s="142"/>
      <c r="L16" s="142"/>
      <c r="M16" s="142"/>
      <c r="O16" s="142"/>
      <c r="P16" s="142"/>
      <c r="Q16" s="142"/>
      <c r="R16" s="142"/>
      <c r="S16" s="142"/>
      <c r="U16" s="142"/>
      <c r="V16" s="142"/>
      <c r="W16" s="142"/>
      <c r="X16" s="142"/>
      <c r="Y16" s="142"/>
    </row>
    <row r="17" spans="1:35" ht="39" customHeight="1" outlineLevel="1" x14ac:dyDescent="0.3">
      <c r="A17" s="29"/>
      <c r="B17" s="10" t="s">
        <v>25</v>
      </c>
      <c r="C17" s="12">
        <f>SUM(I17*3)</f>
        <v>239.625</v>
      </c>
      <c r="D17" s="12">
        <f>SUM(I17*2+O17)</f>
        <v>239.625</v>
      </c>
      <c r="E17" s="12">
        <f>SUM(O17*2+U17)</f>
        <v>264.41478000000001</v>
      </c>
      <c r="F17" s="12">
        <f>SUM(U17*3)</f>
        <v>313.99434000000008</v>
      </c>
      <c r="G17" s="77">
        <f t="shared" ref="G17:G18" si="3">SUM(C17:F17)</f>
        <v>1057.6591200000003</v>
      </c>
      <c r="H17" s="146" t="s">
        <v>100</v>
      </c>
      <c r="I17" s="142">
        <f>SUM(K17*M17)*1.5</f>
        <v>79.875</v>
      </c>
      <c r="J17" s="142" t="s">
        <v>101</v>
      </c>
      <c r="K17" s="142">
        <v>0.71</v>
      </c>
      <c r="L17" s="142"/>
      <c r="M17" s="142">
        <f>SUM(J5)</f>
        <v>75</v>
      </c>
      <c r="N17" s="145"/>
      <c r="O17" s="142">
        <f>SUM(Q17*S17*1.5)</f>
        <v>79.875</v>
      </c>
      <c r="P17" s="142" t="s">
        <v>101</v>
      </c>
      <c r="Q17" s="142">
        <v>0.71</v>
      </c>
      <c r="R17" s="142"/>
      <c r="S17" s="142">
        <f>SUM(J5)</f>
        <v>75</v>
      </c>
      <c r="T17" s="145"/>
      <c r="U17" s="142">
        <f>SUM(W17*Y17)</f>
        <v>104.66478000000002</v>
      </c>
      <c r="V17" s="142" t="s">
        <v>101</v>
      </c>
      <c r="W17" s="142">
        <v>1.9800000000000002E-2</v>
      </c>
      <c r="X17" s="142"/>
      <c r="Y17" s="142">
        <f>SUM(J1)</f>
        <v>5286.1</v>
      </c>
    </row>
    <row r="18" spans="1:35" ht="40.5" customHeight="1" outlineLevel="1" x14ac:dyDescent="0.3">
      <c r="A18" s="29"/>
      <c r="B18" s="10" t="s">
        <v>14</v>
      </c>
      <c r="C18" s="12">
        <f>SUM(I18*3)</f>
        <v>266.625</v>
      </c>
      <c r="D18" s="12">
        <f>SUM(I18*2+O18)</f>
        <v>266.625</v>
      </c>
      <c r="E18" s="12">
        <f>SUM(O18*2+U18)</f>
        <v>266.625</v>
      </c>
      <c r="F18" s="12">
        <f>SUM(U18*3)</f>
        <v>266.625</v>
      </c>
      <c r="G18" s="77">
        <f t="shared" si="3"/>
        <v>1066.5</v>
      </c>
      <c r="H18" s="146" t="s">
        <v>102</v>
      </c>
      <c r="I18" s="142">
        <f>SUM(K18*M18)*1.5</f>
        <v>88.875</v>
      </c>
      <c r="J18" s="142" t="s">
        <v>101</v>
      </c>
      <c r="K18" s="142">
        <v>0.79</v>
      </c>
      <c r="L18" s="142"/>
      <c r="M18" s="142">
        <f>SUM(J5)</f>
        <v>75</v>
      </c>
      <c r="N18" s="145"/>
      <c r="O18" s="142">
        <f>SUM(Q18*S18)*1.5</f>
        <v>88.875</v>
      </c>
      <c r="P18" s="142" t="s">
        <v>101</v>
      </c>
      <c r="Q18" s="142">
        <v>0.79</v>
      </c>
      <c r="R18" s="142"/>
      <c r="S18" s="142">
        <f>SUM(J5)</f>
        <v>75</v>
      </c>
      <c r="T18" s="145"/>
      <c r="U18" s="142">
        <f>SUM(W18*Y18)*1.5</f>
        <v>88.875</v>
      </c>
      <c r="V18" s="142" t="s">
        <v>101</v>
      </c>
      <c r="W18" s="142">
        <v>0.79</v>
      </c>
      <c r="X18" s="142"/>
      <c r="Y18" s="142">
        <f>SUM(J5)</f>
        <v>75</v>
      </c>
    </row>
    <row r="19" spans="1:35" ht="40.5" customHeight="1" outlineLevel="1" thickBot="1" x14ac:dyDescent="0.3">
      <c r="A19" s="124"/>
      <c r="B19" s="125" t="s">
        <v>75</v>
      </c>
      <c r="C19" s="126"/>
      <c r="D19" s="126"/>
      <c r="E19" s="126"/>
      <c r="F19" s="126"/>
      <c r="G19" s="127"/>
      <c r="H19" s="141"/>
      <c r="I19" s="144"/>
      <c r="J19" s="144"/>
      <c r="K19" s="144"/>
      <c r="L19" s="144"/>
      <c r="M19" s="145"/>
      <c r="N19" s="145"/>
      <c r="O19" s="144"/>
      <c r="P19" s="144"/>
      <c r="Q19" s="144"/>
      <c r="R19" s="144"/>
      <c r="S19" s="145"/>
      <c r="T19" s="145"/>
      <c r="U19" s="144"/>
      <c r="V19" s="144"/>
      <c r="W19" s="144"/>
      <c r="X19" s="144"/>
      <c r="Y19" s="145"/>
    </row>
    <row r="20" spans="1:35" ht="20.100000000000001" customHeight="1" outlineLevel="1" thickBot="1" x14ac:dyDescent="0.3">
      <c r="A20" s="117">
        <v>3</v>
      </c>
      <c r="B20" s="28" t="s">
        <v>17</v>
      </c>
      <c r="C20" s="22">
        <f>SUM(C21:C22)</f>
        <v>659.25</v>
      </c>
      <c r="D20" s="22">
        <f t="shared" ref="D20:F20" si="4">SUM(D21:D22)</f>
        <v>659.25</v>
      </c>
      <c r="E20" s="22">
        <f t="shared" si="4"/>
        <v>659.25</v>
      </c>
      <c r="F20" s="22">
        <f t="shared" si="4"/>
        <v>659.25</v>
      </c>
      <c r="G20" s="8">
        <f>SUM(G21:G22)</f>
        <v>2637</v>
      </c>
      <c r="H20" s="141"/>
      <c r="I20" s="123" t="s">
        <v>66</v>
      </c>
      <c r="J20" s="123"/>
      <c r="K20" s="123" t="s">
        <v>61</v>
      </c>
      <c r="L20" s="123"/>
      <c r="M20" s="123" t="s">
        <v>67</v>
      </c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</row>
    <row r="21" spans="1:35" ht="20.100000000000001" customHeight="1" outlineLevel="1" x14ac:dyDescent="0.3">
      <c r="A21" s="29"/>
      <c r="B21" s="10" t="s">
        <v>45</v>
      </c>
      <c r="C21" s="11">
        <f>SUM(M21)*3</f>
        <v>209.25</v>
      </c>
      <c r="D21" s="11">
        <f>SUM(M21*3)</f>
        <v>209.25</v>
      </c>
      <c r="E21" s="11">
        <f>SUM(M21*3)</f>
        <v>209.25</v>
      </c>
      <c r="F21" s="11">
        <f>SUM(M21*3)</f>
        <v>209.25</v>
      </c>
      <c r="G21" s="78">
        <f>SUM(C21:F21)</f>
        <v>837</v>
      </c>
      <c r="H21" s="141" t="s">
        <v>103</v>
      </c>
      <c r="I21" s="109">
        <f>SUM(J5)</f>
        <v>75</v>
      </c>
      <c r="J21" s="110"/>
      <c r="K21" s="110">
        <v>0.93</v>
      </c>
      <c r="L21" s="110"/>
      <c r="M21" s="111">
        <f>I21*K21</f>
        <v>69.75</v>
      </c>
      <c r="N21" s="123"/>
      <c r="O21" s="109"/>
      <c r="P21" s="110"/>
      <c r="Q21" s="110"/>
      <c r="R21" s="110"/>
      <c r="S21" s="111"/>
      <c r="T21" s="123"/>
      <c r="U21" s="109"/>
      <c r="V21" s="110"/>
      <c r="W21" s="110"/>
      <c r="X21" s="110"/>
      <c r="Y21" s="111"/>
    </row>
    <row r="22" spans="1:35" ht="20.100000000000001" customHeight="1" outlineLevel="1" thickBot="1" x14ac:dyDescent="0.3">
      <c r="A22" s="27"/>
      <c r="B22" s="25" t="s">
        <v>18</v>
      </c>
      <c r="C22" s="26">
        <f>SUM(M22)*3</f>
        <v>450</v>
      </c>
      <c r="D22" s="26">
        <f>SUM(M22*3)</f>
        <v>450</v>
      </c>
      <c r="E22" s="26">
        <f>SUM(M22*3)</f>
        <v>450</v>
      </c>
      <c r="F22" s="26">
        <f>SUM(M22*3)</f>
        <v>450</v>
      </c>
      <c r="G22" s="79">
        <f>SUM(C22:F22)</f>
        <v>1800</v>
      </c>
      <c r="H22" s="146" t="s">
        <v>104</v>
      </c>
      <c r="I22" s="112">
        <f>SUM(J5)</f>
        <v>75</v>
      </c>
      <c r="J22" s="113"/>
      <c r="K22" s="113">
        <v>2</v>
      </c>
      <c r="L22" s="113"/>
      <c r="M22" s="114">
        <f>I22*K22</f>
        <v>150</v>
      </c>
      <c r="N22" s="123"/>
      <c r="O22" s="112"/>
      <c r="P22" s="113"/>
      <c r="Q22" s="113"/>
      <c r="R22" s="113"/>
      <c r="S22" s="114"/>
      <c r="T22" s="123"/>
      <c r="U22" s="112"/>
      <c r="V22" s="113"/>
      <c r="W22" s="113"/>
      <c r="X22" s="113"/>
      <c r="Y22" s="114"/>
    </row>
    <row r="23" spans="1:35" ht="20.100000000000001" customHeight="1" thickBot="1" x14ac:dyDescent="0.3">
      <c r="A23" s="31" t="s">
        <v>9</v>
      </c>
      <c r="B23" s="28" t="s">
        <v>27</v>
      </c>
      <c r="C23" s="22">
        <f>SUM(C24:C25)</f>
        <v>11576.559000000001</v>
      </c>
      <c r="D23" s="22">
        <f t="shared" ref="D23:F23" si="5">SUM(D24:D25)</f>
        <v>11576.559000000001</v>
      </c>
      <c r="E23" s="22">
        <f t="shared" si="5"/>
        <v>11576.559000000001</v>
      </c>
      <c r="F23" s="22">
        <f t="shared" si="5"/>
        <v>11576.559000000001</v>
      </c>
      <c r="G23" s="8">
        <f>SUM(G24:G25)</f>
        <v>46306.236000000004</v>
      </c>
      <c r="H23" s="147"/>
      <c r="I23" s="123" t="s">
        <v>68</v>
      </c>
      <c r="J23" s="123"/>
      <c r="K23" s="123" t="s">
        <v>61</v>
      </c>
      <c r="L23" s="123"/>
      <c r="M23" s="123" t="s">
        <v>67</v>
      </c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</row>
    <row r="24" spans="1:35" ht="20.100000000000001" customHeight="1" outlineLevel="1" thickBot="1" x14ac:dyDescent="0.3">
      <c r="A24" s="32"/>
      <c r="B24" s="10" t="s">
        <v>26</v>
      </c>
      <c r="C24" s="9">
        <f>SUM(M24)*3</f>
        <v>9832.1460000000006</v>
      </c>
      <c r="D24" s="9">
        <f>SUM(M24*3)</f>
        <v>9832.1460000000006</v>
      </c>
      <c r="E24" s="9">
        <f>SUM(M24*3)</f>
        <v>9832.1460000000006</v>
      </c>
      <c r="F24" s="9">
        <f>SUM(M24*3)</f>
        <v>9832.1460000000006</v>
      </c>
      <c r="G24" s="78">
        <f t="shared" ref="G24:G29" si="6">SUM(C24:F24)</f>
        <v>39328.584000000003</v>
      </c>
      <c r="H24" s="148" t="s">
        <v>105</v>
      </c>
      <c r="I24" s="103">
        <f>SUM(J1)</f>
        <v>5286.1</v>
      </c>
      <c r="J24" s="104"/>
      <c r="K24" s="110">
        <v>0.62</v>
      </c>
      <c r="L24" s="110"/>
      <c r="M24" s="105">
        <f>SUM(I24*K24)</f>
        <v>3277.3820000000001</v>
      </c>
      <c r="N24" s="144"/>
      <c r="O24" s="103"/>
      <c r="P24" s="104"/>
      <c r="Q24" s="110"/>
      <c r="R24" s="110"/>
      <c r="S24" s="105"/>
      <c r="T24" s="144"/>
      <c r="U24" s="103"/>
      <c r="V24" s="104"/>
      <c r="W24" s="110"/>
      <c r="X24" s="110"/>
      <c r="Y24" s="105"/>
    </row>
    <row r="25" spans="1:35" ht="20.100000000000001" customHeight="1" outlineLevel="1" thickBot="1" x14ac:dyDescent="0.3">
      <c r="A25" s="33"/>
      <c r="B25" s="25" t="s">
        <v>57</v>
      </c>
      <c r="C25" s="26">
        <f>SUM(M25)*3</f>
        <v>1744.413</v>
      </c>
      <c r="D25" s="26">
        <f>SUM(M25*3)</f>
        <v>1744.413</v>
      </c>
      <c r="E25" s="26">
        <f>SUM(M25*3)</f>
        <v>1744.413</v>
      </c>
      <c r="F25" s="26">
        <f>SUM(M25*3)</f>
        <v>1744.413</v>
      </c>
      <c r="G25" s="79">
        <f t="shared" si="6"/>
        <v>6977.652</v>
      </c>
      <c r="H25" s="148" t="s">
        <v>106</v>
      </c>
      <c r="I25" s="106">
        <f>SUM(J1)</f>
        <v>5286.1</v>
      </c>
      <c r="J25" s="108"/>
      <c r="K25" s="113">
        <v>0.11</v>
      </c>
      <c r="L25" s="113"/>
      <c r="M25" s="105">
        <f>SUM(I25*K25)</f>
        <v>581.471</v>
      </c>
      <c r="N25" s="144"/>
      <c r="O25" s="106"/>
      <c r="P25" s="108"/>
      <c r="Q25" s="113"/>
      <c r="R25" s="113"/>
      <c r="S25" s="107"/>
      <c r="T25" s="144"/>
      <c r="U25" s="106"/>
      <c r="V25" s="108"/>
      <c r="W25" s="113"/>
      <c r="X25" s="113"/>
      <c r="Y25" s="107"/>
    </row>
    <row r="26" spans="1:35" ht="20.100000000000001" customHeight="1" outlineLevel="1" x14ac:dyDescent="0.25">
      <c r="A26" s="34" t="s">
        <v>7</v>
      </c>
      <c r="B26" s="36" t="s">
        <v>4</v>
      </c>
      <c r="C26" s="30">
        <f>SUM(C27:C28)</f>
        <v>0</v>
      </c>
      <c r="D26" s="30">
        <f t="shared" ref="D26:F26" si="7">SUM(D27:D28)</f>
        <v>0</v>
      </c>
      <c r="E26" s="30">
        <f t="shared" si="7"/>
        <v>0</v>
      </c>
      <c r="F26" s="30">
        <f t="shared" si="7"/>
        <v>0</v>
      </c>
      <c r="G26" s="37">
        <f t="shared" si="6"/>
        <v>0</v>
      </c>
    </row>
    <row r="27" spans="1:35" s="1" customFormat="1" ht="20.100000000000001" customHeight="1" outlineLevel="1" x14ac:dyDescent="0.25">
      <c r="A27" s="32"/>
      <c r="B27" s="10" t="s">
        <v>5</v>
      </c>
      <c r="C27" s="9"/>
      <c r="D27" s="9"/>
      <c r="E27" s="9"/>
      <c r="F27" s="9"/>
      <c r="G27" s="78">
        <f t="shared" si="6"/>
        <v>0</v>
      </c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</row>
    <row r="28" spans="1:35" s="1" customFormat="1" ht="20.100000000000001" customHeight="1" outlineLevel="1" thickBot="1" x14ac:dyDescent="0.3">
      <c r="A28" s="33"/>
      <c r="B28" s="25" t="s">
        <v>24</v>
      </c>
      <c r="C28" s="26"/>
      <c r="D28" s="26"/>
      <c r="E28" s="26"/>
      <c r="F28" s="26"/>
      <c r="G28" s="79">
        <f t="shared" si="6"/>
        <v>0</v>
      </c>
      <c r="H28" s="227"/>
      <c r="I28" s="228"/>
      <c r="J28" s="228"/>
      <c r="K28" s="228"/>
      <c r="L28" s="228"/>
      <c r="M28" s="228"/>
      <c r="N28" s="228"/>
      <c r="O28" s="228"/>
      <c r="P28" s="228"/>
      <c r="Q28" s="228"/>
      <c r="R28" s="228"/>
      <c r="S28" s="228"/>
      <c r="T28" s="228"/>
      <c r="U28" s="228"/>
      <c r="V28" s="228"/>
      <c r="W28" s="228"/>
      <c r="X28" s="228"/>
      <c r="Y28" s="228"/>
      <c r="Z28" s="228"/>
      <c r="AA28" s="228"/>
      <c r="AB28" s="149"/>
      <c r="AC28" s="149"/>
      <c r="AD28" s="149"/>
      <c r="AE28" s="149"/>
      <c r="AF28" s="149"/>
      <c r="AG28" s="149"/>
      <c r="AH28" s="149"/>
      <c r="AI28" s="149"/>
    </row>
    <row r="29" spans="1:35" ht="26.1" customHeight="1" outlineLevel="1" thickBot="1" x14ac:dyDescent="0.3">
      <c r="A29" s="213" t="s">
        <v>6</v>
      </c>
      <c r="B29" s="214"/>
      <c r="C29" s="52">
        <f>C9+C16+C20+C23+C26</f>
        <v>16156.991160000001</v>
      </c>
      <c r="D29" s="52">
        <f>D9+D16+D20+D23+D26</f>
        <v>16042.015920000002</v>
      </c>
      <c r="E29" s="52">
        <f>E9+E16+E20+E23+E26</f>
        <v>16190.066705000001</v>
      </c>
      <c r="F29" s="52">
        <f>F9+F16+F20+F23+F26</f>
        <v>16946.069235000003</v>
      </c>
      <c r="G29" s="53">
        <f t="shared" si="6"/>
        <v>65335.143020000003</v>
      </c>
    </row>
    <row r="30" spans="1:35" ht="26.1" customHeight="1" thickBot="1" x14ac:dyDescent="0.3">
      <c r="A30" s="211" t="s">
        <v>39</v>
      </c>
      <c r="B30" s="212"/>
      <c r="C30" s="54" t="s">
        <v>8</v>
      </c>
      <c r="D30" s="54" t="s">
        <v>8</v>
      </c>
      <c r="E30" s="54" t="s">
        <v>8</v>
      </c>
      <c r="F30" s="54" t="s">
        <v>8</v>
      </c>
      <c r="G30" s="55" t="s">
        <v>8</v>
      </c>
    </row>
    <row r="31" spans="1:35" ht="20.100000000000001" customHeight="1" x14ac:dyDescent="0.25">
      <c r="A31" s="117">
        <v>1</v>
      </c>
      <c r="B31" s="21" t="s">
        <v>15</v>
      </c>
      <c r="C31" s="64">
        <f>SUM(C32:C35)</f>
        <v>2728.5537973700416</v>
      </c>
      <c r="D31" s="64">
        <f>SUM(D32:D35)</f>
        <v>2680.7755573700415</v>
      </c>
      <c r="E31" s="64">
        <f>SUM(E32:E35)</f>
        <v>2720.4883473700415</v>
      </c>
      <c r="F31" s="64">
        <f>SUM(F32:F35)</f>
        <v>2991.0268873700411</v>
      </c>
      <c r="G31" s="64">
        <f>SUM(G32:G35)</f>
        <v>11120.844589480168</v>
      </c>
    </row>
    <row r="32" spans="1:35" ht="20.100000000000001" customHeight="1" x14ac:dyDescent="0.25">
      <c r="A32" s="46"/>
      <c r="B32" s="10" t="s">
        <v>3</v>
      </c>
      <c r="C32" s="42">
        <f>C10</f>
        <v>2096.4672600000004</v>
      </c>
      <c r="D32" s="42">
        <f>D10</f>
        <v>2052.0640200000003</v>
      </c>
      <c r="E32" s="42">
        <f>E10</f>
        <v>1963.2575400000001</v>
      </c>
      <c r="F32" s="42">
        <f>F10</f>
        <v>1963.2575400000001</v>
      </c>
      <c r="G32" s="74">
        <f>SUM(C32:F32)</f>
        <v>8075.0463600000021</v>
      </c>
    </row>
    <row r="33" spans="1:7" ht="20.100000000000001" customHeight="1" x14ac:dyDescent="0.25">
      <c r="A33" s="46"/>
      <c r="B33" s="10" t="s">
        <v>10</v>
      </c>
      <c r="C33" s="42">
        <f t="shared" ref="C33:F33" si="8">C13</f>
        <v>249.75</v>
      </c>
      <c r="D33" s="42">
        <f t="shared" si="8"/>
        <v>246.375</v>
      </c>
      <c r="E33" s="42">
        <f t="shared" si="8"/>
        <v>374.89427000000001</v>
      </c>
      <c r="F33" s="42">
        <f t="shared" si="8"/>
        <v>645.43281000000002</v>
      </c>
      <c r="G33" s="74">
        <f>SUM(C33:F33)</f>
        <v>1516.45208</v>
      </c>
    </row>
    <row r="34" spans="1:7" ht="57.75" customHeight="1" x14ac:dyDescent="0.25">
      <c r="A34" s="46"/>
      <c r="B34" s="10" t="s">
        <v>46</v>
      </c>
      <c r="C34" s="42">
        <f>[1]Лист15!D6</f>
        <v>382.33653737004119</v>
      </c>
      <c r="D34" s="42">
        <f>C34</f>
        <v>382.33653737004119</v>
      </c>
      <c r="E34" s="42">
        <f>C34</f>
        <v>382.33653737004119</v>
      </c>
      <c r="F34" s="42">
        <f>C34</f>
        <v>382.33653737004119</v>
      </c>
      <c r="G34" s="74">
        <f>SUM(C34:F34)</f>
        <v>1529.3461494801647</v>
      </c>
    </row>
    <row r="35" spans="1:7" ht="20.100000000000001" customHeight="1" thickBot="1" x14ac:dyDescent="0.3">
      <c r="A35" s="46"/>
      <c r="B35" s="10" t="s">
        <v>12</v>
      </c>
      <c r="C35" s="42"/>
      <c r="D35" s="42"/>
      <c r="E35" s="42"/>
      <c r="F35" s="42"/>
      <c r="G35" s="74">
        <f>SUM(C35:F35)</f>
        <v>0</v>
      </c>
    </row>
    <row r="36" spans="1:7" ht="20.100000000000001" customHeight="1" x14ac:dyDescent="0.25">
      <c r="A36" s="117">
        <v>2</v>
      </c>
      <c r="B36" s="28" t="s">
        <v>16</v>
      </c>
      <c r="C36" s="64">
        <f>SUM(C37:C38)</f>
        <v>0</v>
      </c>
      <c r="D36" s="64">
        <f t="shared" ref="D36:F36" si="9">SUM(D37:D38)</f>
        <v>0</v>
      </c>
      <c r="E36" s="64">
        <f t="shared" si="9"/>
        <v>0</v>
      </c>
      <c r="F36" s="64">
        <f t="shared" si="9"/>
        <v>0</v>
      </c>
      <c r="G36" s="64">
        <f t="shared" ref="G36" si="10">SUM(G37:G38)</f>
        <v>0</v>
      </c>
    </row>
    <row r="37" spans="1:7" ht="39.950000000000003" customHeight="1" x14ac:dyDescent="0.25">
      <c r="A37" s="29"/>
      <c r="B37" s="10" t="s">
        <v>25</v>
      </c>
      <c r="C37" s="42"/>
      <c r="D37" s="42"/>
      <c r="E37" s="42"/>
      <c r="F37" s="42"/>
      <c r="G37" s="74">
        <f>SUM(C37:F37)</f>
        <v>0</v>
      </c>
    </row>
    <row r="38" spans="1:7" ht="39.950000000000003" customHeight="1" thickBot="1" x14ac:dyDescent="0.3">
      <c r="A38" s="27"/>
      <c r="B38" s="25" t="s">
        <v>14</v>
      </c>
      <c r="C38" s="42"/>
      <c r="D38" s="42"/>
      <c r="E38" s="42"/>
      <c r="F38" s="42"/>
      <c r="G38" s="74">
        <f>SUM(C38:F38)</f>
        <v>0</v>
      </c>
    </row>
    <row r="39" spans="1:7" ht="20.100000000000001" customHeight="1" x14ac:dyDescent="0.25">
      <c r="A39" s="117" t="s">
        <v>33</v>
      </c>
      <c r="B39" s="28" t="s">
        <v>17</v>
      </c>
      <c r="C39" s="64">
        <f>SUM(C40:C41)</f>
        <v>659.25</v>
      </c>
      <c r="D39" s="64">
        <f t="shared" ref="D39:F39" si="11">SUM(D40:D41)</f>
        <v>659.25</v>
      </c>
      <c r="E39" s="64">
        <f t="shared" si="11"/>
        <v>659.25</v>
      </c>
      <c r="F39" s="64">
        <f t="shared" si="11"/>
        <v>659.25</v>
      </c>
      <c r="G39" s="64">
        <f t="shared" ref="G39" si="12">SUM(G40:G41)</f>
        <v>2637</v>
      </c>
    </row>
    <row r="40" spans="1:7" ht="20.100000000000001" customHeight="1" x14ac:dyDescent="0.25">
      <c r="A40" s="46"/>
      <c r="B40" s="10" t="s">
        <v>45</v>
      </c>
      <c r="C40" s="42">
        <f t="shared" ref="C40:F41" si="13">C21</f>
        <v>209.25</v>
      </c>
      <c r="D40" s="42">
        <f t="shared" si="13"/>
        <v>209.25</v>
      </c>
      <c r="E40" s="42">
        <f t="shared" si="13"/>
        <v>209.25</v>
      </c>
      <c r="F40" s="42">
        <f t="shared" si="13"/>
        <v>209.25</v>
      </c>
      <c r="G40" s="74">
        <f>SUM(C40:F40)</f>
        <v>837</v>
      </c>
    </row>
    <row r="41" spans="1:7" s="4" customFormat="1" ht="20.100000000000001" customHeight="1" thickBot="1" x14ac:dyDescent="0.3">
      <c r="A41" s="56"/>
      <c r="B41" s="25" t="s">
        <v>18</v>
      </c>
      <c r="C41" s="57">
        <f t="shared" si="13"/>
        <v>450</v>
      </c>
      <c r="D41" s="57">
        <f t="shared" si="13"/>
        <v>450</v>
      </c>
      <c r="E41" s="57">
        <f t="shared" si="13"/>
        <v>450</v>
      </c>
      <c r="F41" s="57">
        <f t="shared" si="13"/>
        <v>450</v>
      </c>
      <c r="G41" s="74">
        <f>SUM(C41:F41)</f>
        <v>1800</v>
      </c>
    </row>
    <row r="42" spans="1:7" ht="20.100000000000001" customHeight="1" x14ac:dyDescent="0.25">
      <c r="A42" s="117" t="s">
        <v>9</v>
      </c>
      <c r="B42" s="28" t="s">
        <v>38</v>
      </c>
      <c r="C42" s="64">
        <f>SUM(C43:C58)</f>
        <v>9832.1460000000006</v>
      </c>
      <c r="D42" s="64">
        <f>SUM(D43:D58)</f>
        <v>9832.1460000000006</v>
      </c>
      <c r="E42" s="64">
        <f>SUM(E43:E58)</f>
        <v>9832.1460000000006</v>
      </c>
      <c r="F42" s="64">
        <f>SUM(F43:F58)</f>
        <v>9832.1460000000006</v>
      </c>
      <c r="G42" s="66">
        <f t="shared" ref="G42:G51" si="14">SUM(C42:F42)</f>
        <v>39328.584000000003</v>
      </c>
    </row>
    <row r="43" spans="1:7" ht="20.100000000000001" customHeight="1" x14ac:dyDescent="0.25">
      <c r="A43" s="58"/>
      <c r="B43" s="49" t="s">
        <v>43</v>
      </c>
      <c r="C43" s="42">
        <f>C24</f>
        <v>9832.1460000000006</v>
      </c>
      <c r="D43" s="42">
        <f>D24</f>
        <v>9832.1460000000006</v>
      </c>
      <c r="E43" s="42">
        <f>E24</f>
        <v>9832.1460000000006</v>
      </c>
      <c r="F43" s="42">
        <f>F24</f>
        <v>9832.1460000000006</v>
      </c>
      <c r="G43" s="74">
        <f t="shared" si="14"/>
        <v>39328.584000000003</v>
      </c>
    </row>
    <row r="44" spans="1:7" ht="20.100000000000001" customHeight="1" x14ac:dyDescent="0.25">
      <c r="A44" s="47"/>
      <c r="B44" s="49" t="s">
        <v>28</v>
      </c>
      <c r="C44" s="42"/>
      <c r="D44" s="42"/>
      <c r="E44" s="42"/>
      <c r="F44" s="42"/>
      <c r="G44" s="74">
        <f>SUM(C44:F44)</f>
        <v>0</v>
      </c>
    </row>
    <row r="45" spans="1:7" ht="20.100000000000001" customHeight="1" x14ac:dyDescent="0.25">
      <c r="A45" s="47"/>
      <c r="B45" s="49" t="s">
        <v>36</v>
      </c>
      <c r="C45" s="42"/>
      <c r="D45" s="42"/>
      <c r="E45" s="42"/>
      <c r="F45" s="42"/>
      <c r="G45" s="74">
        <f t="shared" si="14"/>
        <v>0</v>
      </c>
    </row>
    <row r="46" spans="1:7" ht="20.100000000000001" customHeight="1" x14ac:dyDescent="0.25">
      <c r="A46" s="47"/>
      <c r="B46" s="49" t="s">
        <v>34</v>
      </c>
      <c r="C46" s="42"/>
      <c r="D46" s="42"/>
      <c r="E46" s="42"/>
      <c r="F46" s="42"/>
      <c r="G46" s="74">
        <f t="shared" si="14"/>
        <v>0</v>
      </c>
    </row>
    <row r="47" spans="1:7" ht="20.100000000000001" customHeight="1" x14ac:dyDescent="0.25">
      <c r="A47" s="46"/>
      <c r="B47" s="49" t="s">
        <v>35</v>
      </c>
      <c r="C47" s="42"/>
      <c r="D47" s="42"/>
      <c r="E47" s="42"/>
      <c r="F47" s="42"/>
      <c r="G47" s="74">
        <f t="shared" si="14"/>
        <v>0</v>
      </c>
    </row>
    <row r="48" spans="1:7" ht="20.100000000000001" customHeight="1" x14ac:dyDescent="0.25">
      <c r="A48" s="58"/>
      <c r="B48" s="10" t="s">
        <v>59</v>
      </c>
      <c r="C48" s="42"/>
      <c r="D48" s="42"/>
      <c r="E48" s="42"/>
      <c r="F48" s="42"/>
      <c r="G48" s="74">
        <f t="shared" si="14"/>
        <v>0</v>
      </c>
    </row>
    <row r="49" spans="1:14" ht="39" customHeight="1" x14ac:dyDescent="0.25">
      <c r="A49" s="58"/>
      <c r="B49" s="49" t="s">
        <v>37</v>
      </c>
      <c r="C49" s="42"/>
      <c r="D49" s="42"/>
      <c r="E49" s="42"/>
      <c r="F49" s="42"/>
      <c r="G49" s="74">
        <f t="shared" si="14"/>
        <v>0</v>
      </c>
      <c r="H49" s="65"/>
    </row>
    <row r="50" spans="1:14" ht="20.100000000000001" customHeight="1" x14ac:dyDescent="0.25">
      <c r="A50" s="46"/>
      <c r="B50" s="49" t="s">
        <v>29</v>
      </c>
      <c r="C50" s="42"/>
      <c r="D50" s="42"/>
      <c r="E50" s="42"/>
      <c r="F50" s="42"/>
      <c r="G50" s="74">
        <f t="shared" si="14"/>
        <v>0</v>
      </c>
    </row>
    <row r="51" spans="1:14" s="4" customFormat="1" ht="20.100000000000001" customHeight="1" x14ac:dyDescent="0.25">
      <c r="A51" s="48"/>
      <c r="B51" s="49" t="s">
        <v>40</v>
      </c>
      <c r="C51" s="42"/>
      <c r="D51" s="42"/>
      <c r="E51" s="42"/>
      <c r="F51" s="42"/>
      <c r="G51" s="74">
        <f t="shared" si="14"/>
        <v>0</v>
      </c>
    </row>
    <row r="52" spans="1:14" ht="20.100000000000001" customHeight="1" x14ac:dyDescent="0.25">
      <c r="A52" s="59"/>
      <c r="B52" s="49" t="s">
        <v>41</v>
      </c>
      <c r="C52" s="68"/>
      <c r="D52" s="68"/>
      <c r="E52" s="68"/>
      <c r="F52" s="68"/>
      <c r="G52" s="75">
        <f t="shared" ref="G52:G57" si="15">SUM(C52:F52)</f>
        <v>0</v>
      </c>
      <c r="H52" s="4"/>
      <c r="I52" s="4"/>
      <c r="J52" s="4"/>
      <c r="K52" s="4"/>
      <c r="L52" s="4"/>
      <c r="M52" s="4"/>
      <c r="N52" s="4"/>
    </row>
    <row r="53" spans="1:14" ht="20.100000000000001" customHeight="1" x14ac:dyDescent="0.25">
      <c r="A53" s="61"/>
      <c r="B53" s="51" t="s">
        <v>44</v>
      </c>
      <c r="C53" s="42"/>
      <c r="D53" s="42"/>
      <c r="E53" s="42"/>
      <c r="F53" s="42"/>
      <c r="G53" s="74">
        <f t="shared" si="15"/>
        <v>0</v>
      </c>
    </row>
    <row r="54" spans="1:14" ht="20.100000000000001" customHeight="1" x14ac:dyDescent="0.25">
      <c r="A54" s="61"/>
      <c r="B54" s="49" t="s">
        <v>30</v>
      </c>
      <c r="C54" s="42"/>
      <c r="D54" s="42"/>
      <c r="E54" s="42"/>
      <c r="F54" s="42"/>
      <c r="G54" s="74">
        <f t="shared" si="15"/>
        <v>0</v>
      </c>
    </row>
    <row r="55" spans="1:14" ht="41.25" customHeight="1" x14ac:dyDescent="0.25">
      <c r="A55" s="61"/>
      <c r="B55" s="49" t="s">
        <v>31</v>
      </c>
      <c r="C55" s="42"/>
      <c r="D55" s="42"/>
      <c r="E55" s="42"/>
      <c r="F55" s="42"/>
      <c r="G55" s="74">
        <f t="shared" si="15"/>
        <v>0</v>
      </c>
    </row>
    <row r="56" spans="1:14" ht="39" customHeight="1" x14ac:dyDescent="0.25">
      <c r="A56" s="62"/>
      <c r="B56" s="81" t="s">
        <v>50</v>
      </c>
      <c r="C56" s="68"/>
      <c r="D56" s="68"/>
      <c r="E56" s="68"/>
      <c r="F56" s="68"/>
      <c r="G56" s="82">
        <f t="shared" si="15"/>
        <v>0</v>
      </c>
    </row>
    <row r="57" spans="1:14" ht="60" customHeight="1" x14ac:dyDescent="0.25">
      <c r="A57" s="60"/>
      <c r="B57" s="51" t="s">
        <v>53</v>
      </c>
      <c r="C57" s="68"/>
      <c r="D57" s="68"/>
      <c r="E57" s="68"/>
      <c r="F57" s="68"/>
      <c r="G57" s="82">
        <f t="shared" si="15"/>
        <v>0</v>
      </c>
    </row>
    <row r="58" spans="1:14" ht="20.100000000000001" customHeight="1" thickBot="1" x14ac:dyDescent="0.3">
      <c r="A58" s="63"/>
      <c r="B58" s="50" t="s">
        <v>32</v>
      </c>
      <c r="C58" s="57"/>
      <c r="D58" s="57"/>
      <c r="E58" s="57"/>
      <c r="F58" s="57"/>
      <c r="G58" s="76">
        <f>SUM(C58:F58)</f>
        <v>0</v>
      </c>
    </row>
    <row r="59" spans="1:14" ht="20.100000000000001" customHeight="1" outlineLevel="1" thickBot="1" x14ac:dyDescent="0.3">
      <c r="A59" s="229" t="s">
        <v>42</v>
      </c>
      <c r="B59" s="230"/>
      <c r="C59" s="38">
        <f>C31+C36+C39+C42</f>
        <v>13219.949797370042</v>
      </c>
      <c r="D59" s="38">
        <f>D31+D36+D39+D42</f>
        <v>13172.171557370042</v>
      </c>
      <c r="E59" s="38">
        <f>E31+E36+E39+E42</f>
        <v>13211.884347370042</v>
      </c>
      <c r="F59" s="38">
        <f>F31+F36+F39+F42</f>
        <v>13482.422887370041</v>
      </c>
      <c r="G59" s="39">
        <f>G31+G36+G39+G42</f>
        <v>53086.428589480172</v>
      </c>
    </row>
    <row r="60" spans="1:14" ht="26.1" customHeight="1" outlineLevel="1" x14ac:dyDescent="0.25">
      <c r="A60" s="115"/>
      <c r="B60" s="72"/>
      <c r="C60" s="73">
        <f>C29-C59</f>
        <v>2937.0413626299596</v>
      </c>
      <c r="D60" s="73">
        <f>D29-D59</f>
        <v>2869.8443626299595</v>
      </c>
      <c r="E60" s="73">
        <f>E29-E59</f>
        <v>2978.1823576299594</v>
      </c>
      <c r="F60" s="73">
        <f>F29-F59</f>
        <v>3463.6463476299614</v>
      </c>
      <c r="G60" s="73">
        <f>G29-G59</f>
        <v>12248.714430519831</v>
      </c>
    </row>
    <row r="61" spans="1:14" ht="26.1" customHeight="1" outlineLevel="1" x14ac:dyDescent="0.25">
      <c r="A61" s="115"/>
      <c r="B61" s="72"/>
      <c r="C61" s="73"/>
      <c r="D61" s="73"/>
      <c r="E61" s="73"/>
      <c r="F61" s="73"/>
      <c r="G61" s="80" t="e">
        <f>G60/#REF!/12</f>
        <v>#REF!</v>
      </c>
    </row>
    <row r="62" spans="1:14" ht="39.75" hidden="1" customHeight="1" x14ac:dyDescent="0.25">
      <c r="A62" s="69"/>
      <c r="B62" s="83"/>
      <c r="C62" s="116"/>
      <c r="D62" s="116"/>
      <c r="E62" s="116"/>
      <c r="F62" s="116"/>
      <c r="G62" s="116"/>
      <c r="H62" s="116"/>
      <c r="I62" s="116"/>
      <c r="J62" s="116"/>
      <c r="K62" s="116"/>
      <c r="L62" s="116"/>
    </row>
    <row r="63" spans="1:14" hidden="1" x14ac:dyDescent="0.25">
      <c r="A63" s="69"/>
      <c r="C63" s="67">
        <f>C16*1.2/100</f>
        <v>6.0750000000000002</v>
      </c>
      <c r="D63" s="67">
        <f>D16*1.2/100</f>
        <v>6.0750000000000002</v>
      </c>
      <c r="E63" s="67">
        <f>E16*1.2/100</f>
        <v>6.3724773600000004</v>
      </c>
      <c r="F63" s="67">
        <f>F16*1.2/100</f>
        <v>6.9674320800000009</v>
      </c>
    </row>
    <row r="64" spans="1:14" hidden="1" x14ac:dyDescent="0.25">
      <c r="A64" s="70"/>
      <c r="C64" s="67">
        <f>(C16-C63)*0.5/100</f>
        <v>2.5008750000000002</v>
      </c>
      <c r="D64" s="67">
        <f>(D16-D63)*0.5/100</f>
        <v>2.5008750000000002</v>
      </c>
      <c r="E64" s="67">
        <f>(E16-E63)*0.5/100</f>
        <v>2.6233365132000004</v>
      </c>
      <c r="F64" s="67">
        <f>(F16-F63)*0.5/100</f>
        <v>2.8682595396000004</v>
      </c>
    </row>
    <row r="65" spans="1:15" hidden="1" x14ac:dyDescent="0.25">
      <c r="C65" s="3">
        <f>C9*1.2/100</f>
        <v>40.979185919999999</v>
      </c>
      <c r="D65" s="3">
        <f>D9*1.2/100</f>
        <v>39.599483040000003</v>
      </c>
      <c r="E65" s="3">
        <f>E9*1.2/100</f>
        <v>41.078615100000007</v>
      </c>
      <c r="F65" s="3">
        <f>F9*1.2/100</f>
        <v>49.555690740000003</v>
      </c>
    </row>
    <row r="66" spans="1:15" s="3" customFormat="1" hidden="1" x14ac:dyDescent="0.25">
      <c r="A66" s="2"/>
      <c r="B66" s="2"/>
      <c r="C66" s="3">
        <f>(C9-C65)*4/100</f>
        <v>134.95811896320001</v>
      </c>
      <c r="D66" s="3">
        <f>(D9-D65)*4/100</f>
        <v>130.41429747840002</v>
      </c>
      <c r="E66" s="3">
        <f>(E9-E65)*4/100</f>
        <v>135.28557239600002</v>
      </c>
      <c r="F66" s="3">
        <f>(F9-F65)*4/100</f>
        <v>163.20340817040002</v>
      </c>
      <c r="H66" s="2"/>
      <c r="I66" s="2"/>
      <c r="J66" s="2"/>
      <c r="K66" s="2"/>
      <c r="L66" s="2"/>
      <c r="M66" s="2"/>
      <c r="N66" s="2"/>
      <c r="O66" s="2"/>
    </row>
    <row r="67" spans="1:15" s="3" customFormat="1" hidden="1" x14ac:dyDescent="0.25">
      <c r="A67" s="2"/>
      <c r="B67" s="2"/>
      <c r="C67" s="3">
        <f>SUM(C63:C66)</f>
        <v>184.5131798832</v>
      </c>
      <c r="D67" s="3">
        <f t="shared" ref="D67:F67" si="16">SUM(D63:D66)</f>
        <v>178.58965551840004</v>
      </c>
      <c r="E67" s="3">
        <f t="shared" si="16"/>
        <v>185.36000136920003</v>
      </c>
      <c r="F67" s="3">
        <f t="shared" si="16"/>
        <v>222.59479053000001</v>
      </c>
      <c r="H67" s="2"/>
      <c r="I67" s="2"/>
      <c r="J67" s="2"/>
      <c r="K67" s="2"/>
      <c r="L67" s="2"/>
      <c r="M67" s="2"/>
      <c r="N67" s="2"/>
      <c r="O67" s="2"/>
    </row>
  </sheetData>
  <dataConsolidate/>
  <mergeCells count="19">
    <mergeCell ref="A1:C1"/>
    <mergeCell ref="A2:G2"/>
    <mergeCell ref="A3:G3"/>
    <mergeCell ref="A4:A6"/>
    <mergeCell ref="B4:B6"/>
    <mergeCell ref="C5:C6"/>
    <mergeCell ref="D5:D6"/>
    <mergeCell ref="E5:E6"/>
    <mergeCell ref="F5:F6"/>
    <mergeCell ref="G5:G6"/>
    <mergeCell ref="O8:S8"/>
    <mergeCell ref="U8:Y8"/>
    <mergeCell ref="Z10:Z12"/>
    <mergeCell ref="H28:AA28"/>
    <mergeCell ref="A59:B59"/>
    <mergeCell ref="A8:B8"/>
    <mergeCell ref="A29:B29"/>
    <mergeCell ref="A30:B30"/>
    <mergeCell ref="I8:M8"/>
  </mergeCells>
  <pageMargins left="0.70866141732283472" right="0.70866141732283472" top="0.74803149606299213" bottom="0.74803149606299213" header="0.31496062992125984" footer="0.31496062992125984"/>
  <pageSetup paperSize="9" scale="4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EAE0B-6F85-42E4-9058-A8E7D38C3210}">
  <sheetPr>
    <tabColor rgb="FFFFC000"/>
    <pageSetUpPr fitToPage="1"/>
  </sheetPr>
  <dimension ref="A1:AI61"/>
  <sheetViews>
    <sheetView showGridLines="0" view="pageBreakPreview" zoomScale="60" zoomScaleNormal="70" workbookViewId="0">
      <selection activeCell="K21" sqref="K21"/>
    </sheetView>
  </sheetViews>
  <sheetFormatPr defaultColWidth="10.140625" defaultRowHeight="18.75" outlineLevelRow="1" x14ac:dyDescent="0.25"/>
  <cols>
    <col min="1" max="1" width="8" style="2" customWidth="1"/>
    <col min="2" max="2" width="84.7109375" style="2" customWidth="1"/>
    <col min="3" max="7" width="16.7109375" style="3" customWidth="1"/>
    <col min="8" max="8" width="10.28515625" style="2" bestFit="1" customWidth="1"/>
    <col min="9" max="9" width="45.7109375" style="2" bestFit="1" customWidth="1"/>
    <col min="10" max="10" width="11.7109375" style="2" bestFit="1" customWidth="1"/>
    <col min="11" max="12" width="29.85546875" style="2" bestFit="1" customWidth="1"/>
    <col min="13" max="13" width="10.42578125" style="2" bestFit="1" customWidth="1"/>
    <col min="14" max="16384" width="10.140625" style="2"/>
  </cols>
  <sheetData>
    <row r="1" spans="1:26" x14ac:dyDescent="0.25">
      <c r="A1" s="200"/>
      <c r="B1" s="200"/>
      <c r="C1" s="200"/>
      <c r="D1" s="120"/>
      <c r="E1" s="120"/>
      <c r="F1" s="120"/>
      <c r="G1" s="120"/>
      <c r="I1" s="102" t="s">
        <v>63</v>
      </c>
      <c r="J1" s="101">
        <v>4816.3999999999996</v>
      </c>
    </row>
    <row r="2" spans="1:26" x14ac:dyDescent="0.25">
      <c r="A2" s="200"/>
      <c r="B2" s="200"/>
      <c r="C2" s="200"/>
      <c r="D2" s="200"/>
      <c r="E2" s="200"/>
      <c r="F2" s="200"/>
      <c r="G2" s="200"/>
      <c r="I2" s="102"/>
      <c r="J2" s="101"/>
      <c r="K2" s="120"/>
    </row>
    <row r="3" spans="1:26" ht="19.5" thickBot="1" x14ac:dyDescent="0.3">
      <c r="A3" s="201"/>
      <c r="B3" s="201"/>
      <c r="C3" s="201"/>
      <c r="D3" s="201"/>
      <c r="E3" s="201"/>
      <c r="F3" s="201"/>
      <c r="G3" s="201"/>
      <c r="I3" s="7"/>
      <c r="J3" s="6"/>
      <c r="K3" s="121"/>
    </row>
    <row r="4" spans="1:26" x14ac:dyDescent="0.25">
      <c r="A4" s="207" t="s">
        <v>0</v>
      </c>
      <c r="B4" s="209" t="s">
        <v>1</v>
      </c>
      <c r="C4" s="119"/>
      <c r="D4" s="119"/>
      <c r="E4" s="119"/>
      <c r="F4" s="119"/>
      <c r="G4" s="14"/>
      <c r="I4" s="4" t="s">
        <v>64</v>
      </c>
      <c r="J4" s="4">
        <v>51</v>
      </c>
    </row>
    <row r="5" spans="1:26" ht="18" customHeight="1" x14ac:dyDescent="0.25">
      <c r="A5" s="208"/>
      <c r="B5" s="210"/>
      <c r="C5" s="203" t="s">
        <v>19</v>
      </c>
      <c r="D5" s="203" t="s">
        <v>20</v>
      </c>
      <c r="E5" s="203" t="s">
        <v>21</v>
      </c>
      <c r="F5" s="203" t="s">
        <v>22</v>
      </c>
      <c r="G5" s="202" t="s">
        <v>23</v>
      </c>
      <c r="I5" s="4" t="s">
        <v>65</v>
      </c>
      <c r="J5" s="4">
        <v>87</v>
      </c>
    </row>
    <row r="6" spans="1:26" x14ac:dyDescent="0.25">
      <c r="A6" s="208"/>
      <c r="B6" s="210"/>
      <c r="C6" s="203"/>
      <c r="D6" s="203"/>
      <c r="E6" s="203"/>
      <c r="F6" s="203"/>
      <c r="G6" s="202"/>
      <c r="I6" s="4"/>
      <c r="J6" s="4"/>
    </row>
    <row r="7" spans="1:26" ht="19.5" thickBot="1" x14ac:dyDescent="0.3">
      <c r="A7" s="122">
        <v>1</v>
      </c>
      <c r="B7" s="16">
        <v>2</v>
      </c>
      <c r="C7" s="17">
        <v>3</v>
      </c>
      <c r="D7" s="17">
        <v>4</v>
      </c>
      <c r="E7" s="17">
        <v>5</v>
      </c>
      <c r="F7" s="17">
        <v>5</v>
      </c>
      <c r="G7" s="18">
        <v>7</v>
      </c>
      <c r="I7" s="2" t="s">
        <v>87</v>
      </c>
    </row>
    <row r="8" spans="1:26" ht="26.1" customHeight="1" thickBot="1" x14ac:dyDescent="0.3">
      <c r="A8" s="206" t="s">
        <v>2</v>
      </c>
      <c r="B8" s="206"/>
      <c r="C8" s="19" t="s">
        <v>8</v>
      </c>
      <c r="D8" s="19" t="s">
        <v>8</v>
      </c>
      <c r="E8" s="19" t="s">
        <v>8</v>
      </c>
      <c r="F8" s="19" t="s">
        <v>8</v>
      </c>
      <c r="G8" s="19" t="s">
        <v>8</v>
      </c>
      <c r="I8" s="225" t="s">
        <v>88</v>
      </c>
      <c r="J8" s="225"/>
      <c r="K8" s="225"/>
      <c r="L8" s="225"/>
      <c r="M8" s="225"/>
      <c r="O8" s="225" t="s">
        <v>89</v>
      </c>
      <c r="P8" s="225"/>
      <c r="Q8" s="225"/>
      <c r="R8" s="225"/>
      <c r="S8" s="225"/>
      <c r="U8" s="225" t="s">
        <v>90</v>
      </c>
      <c r="V8" s="225"/>
      <c r="W8" s="225"/>
      <c r="X8" s="225"/>
      <c r="Y8" s="225"/>
    </row>
    <row r="9" spans="1:26" ht="20.100000000000001" customHeight="1" x14ac:dyDescent="0.25">
      <c r="A9" s="117">
        <v>1</v>
      </c>
      <c r="B9" s="21" t="s">
        <v>15</v>
      </c>
      <c r="C9" s="22">
        <f>SUM(C10:C15)</f>
        <v>3439.6035240000001</v>
      </c>
      <c r="D9" s="22">
        <f>SUM(D10:D15)</f>
        <v>3317.282244</v>
      </c>
      <c r="E9" s="22">
        <f>SUM(E10:E15)</f>
        <v>3345.7528239999997</v>
      </c>
      <c r="F9" s="22">
        <f>SUM(F10:F15)</f>
        <v>3891.979104</v>
      </c>
      <c r="G9" s="8">
        <f>SUM(G10:G15)</f>
        <v>13994.617695999998</v>
      </c>
      <c r="I9" s="123" t="s">
        <v>91</v>
      </c>
      <c r="J9" s="123" t="s">
        <v>92</v>
      </c>
      <c r="K9" s="140" t="s">
        <v>93</v>
      </c>
      <c r="L9" s="140" t="s">
        <v>94</v>
      </c>
      <c r="M9" s="140" t="s">
        <v>62</v>
      </c>
      <c r="N9" s="123"/>
      <c r="O9" s="123" t="s">
        <v>67</v>
      </c>
      <c r="P9" s="123" t="s">
        <v>92</v>
      </c>
      <c r="Q9" s="123" t="s">
        <v>61</v>
      </c>
      <c r="R9" s="123" t="s">
        <v>94</v>
      </c>
      <c r="S9" s="140" t="s">
        <v>62</v>
      </c>
      <c r="T9" s="123"/>
      <c r="U9" s="123" t="s">
        <v>67</v>
      </c>
      <c r="V9" s="123" t="s">
        <v>92</v>
      </c>
      <c r="W9" s="123" t="s">
        <v>61</v>
      </c>
      <c r="X9" s="123" t="s">
        <v>94</v>
      </c>
      <c r="Y9" s="140" t="s">
        <v>62</v>
      </c>
    </row>
    <row r="10" spans="1:26" ht="20.100000000000001" customHeight="1" x14ac:dyDescent="0.3">
      <c r="A10" s="118"/>
      <c r="B10" s="10" t="s">
        <v>3</v>
      </c>
      <c r="C10" s="12">
        <f>SUM(I10*3)</f>
        <v>1910.18424</v>
      </c>
      <c r="D10" s="12">
        <f>SUM(I10*2+O10*1)</f>
        <v>1869.7264799999998</v>
      </c>
      <c r="E10" s="12">
        <f>SUM(O10*2)+U10*1</f>
        <v>1788.8109599999998</v>
      </c>
      <c r="F10" s="12">
        <f>SUM(U10*3)</f>
        <v>1788.8109599999998</v>
      </c>
      <c r="G10" s="77">
        <f>SUM(C10:F10)</f>
        <v>7357.5326399999994</v>
      </c>
      <c r="H10" s="141" t="s">
        <v>95</v>
      </c>
      <c r="I10" s="142">
        <f>SUM(M10*K10)</f>
        <v>636.72807999999998</v>
      </c>
      <c r="J10" s="142"/>
      <c r="K10" s="142">
        <v>0.13220000000000001</v>
      </c>
      <c r="L10" s="142"/>
      <c r="M10" s="143">
        <f>SUM(J1)</f>
        <v>4816.3999999999996</v>
      </c>
      <c r="N10" s="144"/>
      <c r="O10" s="142">
        <f>SUM(S10*Q10)</f>
        <v>596.27031999999997</v>
      </c>
      <c r="P10" s="142" t="s">
        <v>96</v>
      </c>
      <c r="Q10" s="142">
        <v>0.12379999999999999</v>
      </c>
      <c r="R10" s="142"/>
      <c r="S10" s="143">
        <f>SUM(J1)</f>
        <v>4816.3999999999996</v>
      </c>
      <c r="T10" s="144"/>
      <c r="U10" s="142">
        <f>SUM(Y10*W10)</f>
        <v>596.27031999999997</v>
      </c>
      <c r="V10" s="142" t="s">
        <v>96</v>
      </c>
      <c r="W10" s="142">
        <v>0.12379999999999999</v>
      </c>
      <c r="X10" s="142"/>
      <c r="Y10" s="143">
        <f>SUM(J1)</f>
        <v>4816.3999999999996</v>
      </c>
      <c r="Z10" s="226"/>
    </row>
    <row r="11" spans="1:26" ht="20.100000000000001" customHeight="1" x14ac:dyDescent="0.3">
      <c r="A11" s="118"/>
      <c r="B11" s="10" t="s">
        <v>3</v>
      </c>
      <c r="C11" s="12"/>
      <c r="D11" s="12"/>
      <c r="E11" s="12"/>
      <c r="F11" s="12"/>
      <c r="G11" s="77">
        <f t="shared" ref="G11:G14" si="0">SUM(C11:F11)</f>
        <v>0</v>
      </c>
      <c r="H11" s="141" t="s">
        <v>97</v>
      </c>
      <c r="I11" s="142"/>
      <c r="J11" s="142"/>
      <c r="K11" s="142"/>
      <c r="L11" s="142">
        <v>0.1419</v>
      </c>
      <c r="M11" s="142"/>
      <c r="N11" s="144"/>
      <c r="O11" s="142"/>
      <c r="P11" s="142"/>
      <c r="Q11" s="142"/>
      <c r="R11" s="142">
        <v>0.13350000000000001</v>
      </c>
      <c r="S11" s="142"/>
      <c r="T11" s="144"/>
      <c r="U11" s="142"/>
      <c r="V11" s="142"/>
      <c r="W11" s="142"/>
      <c r="X11" s="142">
        <v>0.13350000000000001</v>
      </c>
      <c r="Y11" s="142"/>
      <c r="Z11" s="226"/>
    </row>
    <row r="12" spans="1:26" ht="20.100000000000001" customHeight="1" x14ac:dyDescent="0.3">
      <c r="A12" s="118"/>
      <c r="B12" s="10" t="s">
        <v>60</v>
      </c>
      <c r="C12" s="12"/>
      <c r="D12" s="12"/>
      <c r="E12" s="12"/>
      <c r="F12" s="12"/>
      <c r="G12" s="77">
        <f t="shared" si="0"/>
        <v>0</v>
      </c>
      <c r="H12" s="141"/>
      <c r="I12" s="142"/>
      <c r="J12" s="142"/>
      <c r="K12" s="142"/>
      <c r="L12" s="142"/>
      <c r="M12" s="142"/>
      <c r="N12" s="144"/>
      <c r="O12" s="142"/>
      <c r="P12" s="142"/>
      <c r="Q12" s="142"/>
      <c r="R12" s="142"/>
      <c r="S12" s="142"/>
      <c r="T12" s="144"/>
      <c r="U12" s="142"/>
      <c r="V12" s="142"/>
      <c r="W12" s="142"/>
      <c r="X12" s="142"/>
      <c r="Y12" s="142"/>
      <c r="Z12" s="226"/>
    </row>
    <row r="13" spans="1:26" ht="20.100000000000001" customHeight="1" x14ac:dyDescent="0.3">
      <c r="A13" s="118"/>
      <c r="B13" s="10" t="s">
        <v>10</v>
      </c>
      <c r="C13" s="12">
        <f>SUM(I13*3)</f>
        <v>289.70999999999998</v>
      </c>
      <c r="D13" s="12">
        <f>SUM(I13*2+O13)</f>
        <v>285.79499999999996</v>
      </c>
      <c r="E13" s="12">
        <f>SUM(O13*2+U13)</f>
        <v>381.33748000000003</v>
      </c>
      <c r="F13" s="12">
        <f>SUM(U13*3)</f>
        <v>588.08244000000002</v>
      </c>
      <c r="G13" s="77">
        <f>SUM(C13:F13)</f>
        <v>1544.9249199999999</v>
      </c>
      <c r="H13" s="141" t="s">
        <v>98</v>
      </c>
      <c r="I13" s="142">
        <f>SUM(J5*1.5*K13)</f>
        <v>96.57</v>
      </c>
      <c r="J13" s="142" t="s">
        <v>96</v>
      </c>
      <c r="K13" s="142">
        <v>0.74</v>
      </c>
      <c r="L13" s="142"/>
      <c r="M13" s="142"/>
      <c r="N13" s="145"/>
      <c r="O13" s="142">
        <f>SUM(J5*1.5*Q13)</f>
        <v>92.655000000000001</v>
      </c>
      <c r="P13" s="142" t="s">
        <v>96</v>
      </c>
      <c r="Q13" s="142">
        <v>0.71</v>
      </c>
      <c r="R13" s="142"/>
      <c r="S13" s="142"/>
      <c r="T13" s="145"/>
      <c r="U13" s="142">
        <f>SUM(W13*Y13)</f>
        <v>196.02748</v>
      </c>
      <c r="V13" s="142" t="s">
        <v>96</v>
      </c>
      <c r="W13" s="142">
        <v>4.07E-2</v>
      </c>
      <c r="X13" s="142"/>
      <c r="Y13" s="143">
        <f>SUM(J1)</f>
        <v>4816.3999999999996</v>
      </c>
      <c r="Z13" s="3"/>
    </row>
    <row r="14" spans="1:26" ht="20.100000000000001" customHeight="1" outlineLevel="1" x14ac:dyDescent="0.3">
      <c r="A14" s="24"/>
      <c r="B14" s="10" t="s">
        <v>11</v>
      </c>
      <c r="C14" s="12">
        <f>SUM(I14*3)</f>
        <v>617.2650000000001</v>
      </c>
      <c r="D14" s="12">
        <f>SUM(I14*2+O14)</f>
        <v>545.92500000000007</v>
      </c>
      <c r="E14" s="12">
        <f>SUM(O14*2+U14)</f>
        <v>572.98565999999994</v>
      </c>
      <c r="F14" s="12">
        <f>SUM(U14*3)</f>
        <v>912.46697999999992</v>
      </c>
      <c r="G14" s="77">
        <f t="shared" si="0"/>
        <v>2648.64264</v>
      </c>
      <c r="H14" s="141" t="s">
        <v>11</v>
      </c>
      <c r="I14" s="142">
        <f>SUM((K14+L14/2))*J5</f>
        <v>205.75500000000002</v>
      </c>
      <c r="J14" s="142" t="s">
        <v>96</v>
      </c>
      <c r="K14" s="142">
        <v>1.5</v>
      </c>
      <c r="L14" s="142">
        <v>1.73</v>
      </c>
      <c r="M14" s="142"/>
      <c r="N14" s="145"/>
      <c r="O14" s="142">
        <f>SUM((Q14+R14))/2*J5</f>
        <v>134.41499999999999</v>
      </c>
      <c r="P14" s="142" t="s">
        <v>96</v>
      </c>
      <c r="Q14" s="142">
        <v>1.43</v>
      </c>
      <c r="R14" s="142">
        <v>1.66</v>
      </c>
      <c r="S14" s="142"/>
      <c r="T14" s="145"/>
      <c r="U14" s="142">
        <f>SUM((W14+X14))/2*Y14</f>
        <v>304.15565999999995</v>
      </c>
      <c r="V14" s="142" t="s">
        <v>96</v>
      </c>
      <c r="W14" s="142">
        <v>5.8400000000000001E-2</v>
      </c>
      <c r="X14" s="142">
        <v>6.7900000000000002E-2</v>
      </c>
      <c r="Y14" s="142">
        <f>SUM(J1)</f>
        <v>4816.3999999999996</v>
      </c>
      <c r="Z14" s="3"/>
    </row>
    <row r="15" spans="1:26" ht="20.100000000000001" customHeight="1" outlineLevel="1" thickBot="1" x14ac:dyDescent="0.35">
      <c r="A15" s="24"/>
      <c r="B15" s="10" t="s">
        <v>12</v>
      </c>
      <c r="C15" s="9">
        <f>SUM(I15*3)</f>
        <v>622.44428399999993</v>
      </c>
      <c r="D15" s="9">
        <f>SUM(I15*2+O15)</f>
        <v>615.83576399999993</v>
      </c>
      <c r="E15" s="9">
        <f>SUM(O15*2+U15)</f>
        <v>602.61872399999993</v>
      </c>
      <c r="F15" s="9">
        <f>SUM(U15*3)</f>
        <v>602.61872399999993</v>
      </c>
      <c r="G15" s="77">
        <f t="shared" ref="G15" si="1">SUM(C15:F15)</f>
        <v>2443.5174959999995</v>
      </c>
      <c r="H15" s="141" t="s">
        <v>99</v>
      </c>
      <c r="I15" s="142">
        <f>SUM(J15*((K15+L15))/2)*M15</f>
        <v>207.48142799999997</v>
      </c>
      <c r="J15" s="142">
        <v>0.24</v>
      </c>
      <c r="K15" s="142">
        <v>9.2583000000000002</v>
      </c>
      <c r="L15" s="142">
        <v>10.615399999999999</v>
      </c>
      <c r="M15" s="142">
        <f>SUM(J5)</f>
        <v>87</v>
      </c>
      <c r="N15" s="145"/>
      <c r="O15" s="142">
        <f>SUM(P15*((Q15+R15)/2)*S15)</f>
        <v>200.872908</v>
      </c>
      <c r="P15" s="142">
        <v>0.24</v>
      </c>
      <c r="Q15" s="142">
        <v>8.9418000000000006</v>
      </c>
      <c r="R15" s="142">
        <v>10.2989</v>
      </c>
      <c r="S15" s="142">
        <f>SUM(J5)</f>
        <v>87</v>
      </c>
      <c r="T15" s="145"/>
      <c r="U15" s="142">
        <f>SUM(V15*((W15+X15)/2)*Y15)</f>
        <v>200.872908</v>
      </c>
      <c r="V15" s="142">
        <v>0.24</v>
      </c>
      <c r="W15" s="142">
        <v>8.9418000000000006</v>
      </c>
      <c r="X15" s="142">
        <v>10.2989</v>
      </c>
      <c r="Y15" s="142">
        <f>SUM(J5)</f>
        <v>87</v>
      </c>
    </row>
    <row r="16" spans="1:26" ht="20.100000000000001" customHeight="1" x14ac:dyDescent="0.3">
      <c r="A16" s="117">
        <v>2</v>
      </c>
      <c r="B16" s="28" t="s">
        <v>16</v>
      </c>
      <c r="C16" s="35">
        <f>SUM(C17:C19)</f>
        <v>587.25</v>
      </c>
      <c r="D16" s="35">
        <f t="shared" ref="D16:F16" si="2">SUM(D17:D19)</f>
        <v>587.25</v>
      </c>
      <c r="E16" s="35">
        <f t="shared" si="2"/>
        <v>589.95971999999995</v>
      </c>
      <c r="F16" s="35">
        <f t="shared" si="2"/>
        <v>595.37915999999996</v>
      </c>
      <c r="G16" s="35">
        <f>SUM(G17:G19)</f>
        <v>2359.8388799999998</v>
      </c>
      <c r="H16" s="141"/>
      <c r="I16" s="142"/>
      <c r="J16" s="142"/>
      <c r="K16" s="142"/>
      <c r="L16" s="142"/>
      <c r="M16" s="142"/>
      <c r="O16" s="142"/>
      <c r="P16" s="142"/>
      <c r="Q16" s="142"/>
      <c r="R16" s="142"/>
      <c r="S16" s="142"/>
      <c r="U16" s="142"/>
      <c r="V16" s="142"/>
      <c r="W16" s="142"/>
      <c r="X16" s="142"/>
      <c r="Y16" s="142"/>
    </row>
    <row r="17" spans="1:35" ht="39" customHeight="1" outlineLevel="1" x14ac:dyDescent="0.3">
      <c r="A17" s="29"/>
      <c r="B17" s="10" t="s">
        <v>25</v>
      </c>
      <c r="C17" s="12">
        <f>SUM(I17*3)</f>
        <v>277.96500000000003</v>
      </c>
      <c r="D17" s="12">
        <f>SUM(I17*2+O17)</f>
        <v>277.96500000000003</v>
      </c>
      <c r="E17" s="12">
        <f>SUM(O17*2+U17)</f>
        <v>280.67471999999998</v>
      </c>
      <c r="F17" s="12">
        <f>SUM(U17*3)</f>
        <v>286.09415999999999</v>
      </c>
      <c r="G17" s="77">
        <f t="shared" ref="G17:G18" si="3">SUM(C17:F17)</f>
        <v>1122.6988799999999</v>
      </c>
      <c r="H17" s="146" t="s">
        <v>100</v>
      </c>
      <c r="I17" s="142">
        <f>SUM(K17*M17)*1.5</f>
        <v>92.655000000000001</v>
      </c>
      <c r="J17" s="142" t="s">
        <v>101</v>
      </c>
      <c r="K17" s="142">
        <v>0.71</v>
      </c>
      <c r="L17" s="142"/>
      <c r="M17" s="142">
        <f>SUM(J5)</f>
        <v>87</v>
      </c>
      <c r="N17" s="145"/>
      <c r="O17" s="142">
        <f>SUM(Q17*S17*1.5)</f>
        <v>92.655000000000001</v>
      </c>
      <c r="P17" s="142" t="s">
        <v>101</v>
      </c>
      <c r="Q17" s="142">
        <v>0.71</v>
      </c>
      <c r="R17" s="142"/>
      <c r="S17" s="142">
        <f>SUM(J5)</f>
        <v>87</v>
      </c>
      <c r="T17" s="145"/>
      <c r="U17" s="142">
        <f>SUM(W17*Y17)</f>
        <v>95.364720000000005</v>
      </c>
      <c r="V17" s="142" t="s">
        <v>101</v>
      </c>
      <c r="W17" s="142">
        <v>1.9800000000000002E-2</v>
      </c>
      <c r="X17" s="142"/>
      <c r="Y17" s="142">
        <f>SUM(J1)</f>
        <v>4816.3999999999996</v>
      </c>
    </row>
    <row r="18" spans="1:35" ht="40.5" customHeight="1" outlineLevel="1" x14ac:dyDescent="0.3">
      <c r="A18" s="29"/>
      <c r="B18" s="10" t="s">
        <v>14</v>
      </c>
      <c r="C18" s="12">
        <f>SUM(I18*3)</f>
        <v>309.28499999999997</v>
      </c>
      <c r="D18" s="12">
        <f>SUM(I18*2+O18)</f>
        <v>309.28499999999997</v>
      </c>
      <c r="E18" s="12">
        <f>SUM(O18*2+U18)</f>
        <v>309.28499999999997</v>
      </c>
      <c r="F18" s="12">
        <f>SUM(U18*3)</f>
        <v>309.28499999999997</v>
      </c>
      <c r="G18" s="77">
        <f t="shared" si="3"/>
        <v>1237.1399999999999</v>
      </c>
      <c r="H18" s="146" t="s">
        <v>102</v>
      </c>
      <c r="I18" s="142">
        <f>SUM(K18*M18)*1.5</f>
        <v>103.095</v>
      </c>
      <c r="J18" s="142" t="s">
        <v>101</v>
      </c>
      <c r="K18" s="142">
        <v>0.79</v>
      </c>
      <c r="L18" s="142"/>
      <c r="M18" s="142">
        <f>SUM(J5)</f>
        <v>87</v>
      </c>
      <c r="N18" s="145"/>
      <c r="O18" s="142">
        <f>SUM(Q18*S18)*1.5</f>
        <v>103.095</v>
      </c>
      <c r="P18" s="142" t="s">
        <v>101</v>
      </c>
      <c r="Q18" s="142">
        <v>0.79</v>
      </c>
      <c r="R18" s="142"/>
      <c r="S18" s="142">
        <f>SUM(J5)</f>
        <v>87</v>
      </c>
      <c r="T18" s="145"/>
      <c r="U18" s="142">
        <f>SUM(W18*Y18)*1.5</f>
        <v>103.095</v>
      </c>
      <c r="V18" s="142" t="s">
        <v>101</v>
      </c>
      <c r="W18" s="142">
        <v>0.79</v>
      </c>
      <c r="X18" s="142"/>
      <c r="Y18" s="142">
        <f>SUM(J5)</f>
        <v>87</v>
      </c>
    </row>
    <row r="19" spans="1:35" ht="40.5" customHeight="1" outlineLevel="1" thickBot="1" x14ac:dyDescent="0.3">
      <c r="A19" s="124"/>
      <c r="B19" s="125" t="s">
        <v>75</v>
      </c>
      <c r="C19" s="126"/>
      <c r="D19" s="126"/>
      <c r="E19" s="126"/>
      <c r="F19" s="126"/>
      <c r="G19" s="127"/>
      <c r="H19" s="141"/>
      <c r="I19" s="144"/>
      <c r="J19" s="144"/>
      <c r="K19" s="144"/>
      <c r="L19" s="144"/>
      <c r="M19" s="145"/>
      <c r="N19" s="145"/>
      <c r="O19" s="144"/>
      <c r="P19" s="144"/>
      <c r="Q19" s="144"/>
      <c r="R19" s="144"/>
      <c r="S19" s="145"/>
      <c r="T19" s="145"/>
      <c r="U19" s="144"/>
      <c r="V19" s="144"/>
      <c r="W19" s="144"/>
      <c r="X19" s="144"/>
      <c r="Y19" s="145"/>
    </row>
    <row r="20" spans="1:35" ht="20.100000000000001" customHeight="1" outlineLevel="1" thickBot="1" x14ac:dyDescent="0.3">
      <c r="A20" s="117">
        <v>3</v>
      </c>
      <c r="B20" s="28" t="s">
        <v>17</v>
      </c>
      <c r="C20" s="22">
        <f>SUM(C21:C22)</f>
        <v>764.73</v>
      </c>
      <c r="D20" s="22">
        <f t="shared" ref="D20:F20" si="4">SUM(D21:D22)</f>
        <v>764.73</v>
      </c>
      <c r="E20" s="22">
        <f t="shared" si="4"/>
        <v>764.73</v>
      </c>
      <c r="F20" s="22">
        <f t="shared" si="4"/>
        <v>764.73</v>
      </c>
      <c r="G20" s="8">
        <f>SUM(G21:G22)</f>
        <v>3058.92</v>
      </c>
      <c r="H20" s="141"/>
      <c r="I20" s="123" t="s">
        <v>66</v>
      </c>
      <c r="J20" s="123"/>
      <c r="K20" s="123" t="s">
        <v>61</v>
      </c>
      <c r="L20" s="123"/>
      <c r="M20" s="123" t="s">
        <v>67</v>
      </c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</row>
    <row r="21" spans="1:35" ht="20.100000000000001" customHeight="1" outlineLevel="1" x14ac:dyDescent="0.3">
      <c r="A21" s="29"/>
      <c r="B21" s="10" t="s">
        <v>45</v>
      </c>
      <c r="C21" s="11">
        <f>SUM(M21)*3</f>
        <v>242.73000000000002</v>
      </c>
      <c r="D21" s="11">
        <f>SUM(M21*3)</f>
        <v>242.73000000000002</v>
      </c>
      <c r="E21" s="11">
        <f>SUM(M21*3)</f>
        <v>242.73000000000002</v>
      </c>
      <c r="F21" s="11">
        <f>SUM(M21*3)</f>
        <v>242.73000000000002</v>
      </c>
      <c r="G21" s="78">
        <f>SUM(C21:F21)</f>
        <v>970.92000000000007</v>
      </c>
      <c r="H21" s="141" t="s">
        <v>103</v>
      </c>
      <c r="I21" s="109">
        <f>SUM(J5)</f>
        <v>87</v>
      </c>
      <c r="J21" s="110"/>
      <c r="K21" s="110">
        <v>0.93</v>
      </c>
      <c r="L21" s="110"/>
      <c r="M21" s="111">
        <f>I21*K21</f>
        <v>80.910000000000011</v>
      </c>
      <c r="N21" s="123"/>
      <c r="O21" s="109"/>
      <c r="P21" s="110"/>
      <c r="Q21" s="110"/>
      <c r="R21" s="110"/>
      <c r="S21" s="111"/>
      <c r="T21" s="123"/>
      <c r="U21" s="109"/>
      <c r="V21" s="110"/>
      <c r="W21" s="110"/>
      <c r="X21" s="110"/>
      <c r="Y21" s="111"/>
    </row>
    <row r="22" spans="1:35" ht="20.100000000000001" customHeight="1" outlineLevel="1" thickBot="1" x14ac:dyDescent="0.3">
      <c r="A22" s="27"/>
      <c r="B22" s="25" t="s">
        <v>18</v>
      </c>
      <c r="C22" s="26">
        <f>SUM(M22)*3</f>
        <v>522</v>
      </c>
      <c r="D22" s="26">
        <f>SUM(M22*3)</f>
        <v>522</v>
      </c>
      <c r="E22" s="26">
        <f>SUM(M22*3)</f>
        <v>522</v>
      </c>
      <c r="F22" s="26">
        <f>SUM(M22*3)</f>
        <v>522</v>
      </c>
      <c r="G22" s="79">
        <f>SUM(C22:F22)</f>
        <v>2088</v>
      </c>
      <c r="H22" s="146" t="s">
        <v>104</v>
      </c>
      <c r="I22" s="112">
        <f>SUM(J5)</f>
        <v>87</v>
      </c>
      <c r="J22" s="113"/>
      <c r="K22" s="113">
        <v>2</v>
      </c>
      <c r="L22" s="113"/>
      <c r="M22" s="114">
        <f>I22*K22</f>
        <v>174</v>
      </c>
      <c r="N22" s="123"/>
      <c r="O22" s="112"/>
      <c r="P22" s="113"/>
      <c r="Q22" s="113"/>
      <c r="R22" s="113"/>
      <c r="S22" s="114"/>
      <c r="T22" s="123"/>
      <c r="U22" s="112"/>
      <c r="V22" s="113"/>
      <c r="W22" s="113"/>
      <c r="X22" s="113"/>
      <c r="Y22" s="114"/>
    </row>
    <row r="23" spans="1:35" ht="20.100000000000001" customHeight="1" thickBot="1" x14ac:dyDescent="0.3">
      <c r="A23" s="31" t="s">
        <v>9</v>
      </c>
      <c r="B23" s="28" t="s">
        <v>27</v>
      </c>
      <c r="C23" s="22">
        <f>SUM(C24:C25)</f>
        <v>10547.915999999999</v>
      </c>
      <c r="D23" s="22">
        <f t="shared" ref="D23:F23" si="5">SUM(D24:D25)</f>
        <v>10547.915999999999</v>
      </c>
      <c r="E23" s="22">
        <f t="shared" si="5"/>
        <v>10547.915999999999</v>
      </c>
      <c r="F23" s="22">
        <f t="shared" si="5"/>
        <v>10547.915999999999</v>
      </c>
      <c r="G23" s="8">
        <f>SUM(G24:G25)</f>
        <v>42191.663999999997</v>
      </c>
      <c r="H23" s="147"/>
      <c r="I23" s="123" t="s">
        <v>68</v>
      </c>
      <c r="J23" s="123"/>
      <c r="K23" s="123" t="s">
        <v>61</v>
      </c>
      <c r="L23" s="123"/>
      <c r="M23" s="123" t="s">
        <v>67</v>
      </c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</row>
    <row r="24" spans="1:35" ht="20.100000000000001" customHeight="1" outlineLevel="1" thickBot="1" x14ac:dyDescent="0.3">
      <c r="A24" s="32"/>
      <c r="B24" s="10" t="s">
        <v>26</v>
      </c>
      <c r="C24" s="9">
        <f>SUM(M24)*3</f>
        <v>8958.503999999999</v>
      </c>
      <c r="D24" s="9">
        <f>SUM(M24*3)</f>
        <v>8958.503999999999</v>
      </c>
      <c r="E24" s="9">
        <f>SUM(M24*3)</f>
        <v>8958.503999999999</v>
      </c>
      <c r="F24" s="9">
        <f>SUM(M24*3)</f>
        <v>8958.503999999999</v>
      </c>
      <c r="G24" s="78">
        <f t="shared" ref="G24:G29" si="6">SUM(C24:F24)</f>
        <v>35834.015999999996</v>
      </c>
      <c r="H24" s="148" t="s">
        <v>105</v>
      </c>
      <c r="I24" s="103">
        <f>SUM(J1)</f>
        <v>4816.3999999999996</v>
      </c>
      <c r="J24" s="104"/>
      <c r="K24" s="110">
        <v>0.62</v>
      </c>
      <c r="L24" s="110"/>
      <c r="M24" s="105">
        <f>SUM(I24*K24)</f>
        <v>2986.1679999999997</v>
      </c>
      <c r="N24" s="144"/>
      <c r="O24" s="103"/>
      <c r="P24" s="104"/>
      <c r="Q24" s="110"/>
      <c r="R24" s="110"/>
      <c r="S24" s="105"/>
      <c r="T24" s="144"/>
      <c r="U24" s="103"/>
      <c r="V24" s="104"/>
      <c r="W24" s="110"/>
      <c r="X24" s="110"/>
      <c r="Y24" s="105"/>
    </row>
    <row r="25" spans="1:35" ht="20.100000000000001" customHeight="1" outlineLevel="1" thickBot="1" x14ac:dyDescent="0.3">
      <c r="A25" s="33"/>
      <c r="B25" s="25" t="s">
        <v>57</v>
      </c>
      <c r="C25" s="26">
        <f>SUM(M25)*3</f>
        <v>1589.4119999999998</v>
      </c>
      <c r="D25" s="26">
        <f>SUM(M25*3)</f>
        <v>1589.4119999999998</v>
      </c>
      <c r="E25" s="26">
        <f>SUM(M25*3)</f>
        <v>1589.4119999999998</v>
      </c>
      <c r="F25" s="26">
        <f>SUM(M25*3)</f>
        <v>1589.4119999999998</v>
      </c>
      <c r="G25" s="79">
        <f t="shared" si="6"/>
        <v>6357.6479999999992</v>
      </c>
      <c r="H25" s="148" t="s">
        <v>106</v>
      </c>
      <c r="I25" s="106">
        <f>SUM(J1)</f>
        <v>4816.3999999999996</v>
      </c>
      <c r="J25" s="108"/>
      <c r="K25" s="113">
        <v>0.11</v>
      </c>
      <c r="L25" s="113"/>
      <c r="M25" s="105">
        <f>SUM(I25*K25)</f>
        <v>529.80399999999997</v>
      </c>
      <c r="N25" s="144"/>
      <c r="O25" s="106"/>
      <c r="P25" s="108"/>
      <c r="Q25" s="113"/>
      <c r="R25" s="113"/>
      <c r="S25" s="107"/>
      <c r="T25" s="144"/>
      <c r="U25" s="106"/>
      <c r="V25" s="108"/>
      <c r="W25" s="113"/>
      <c r="X25" s="113"/>
      <c r="Y25" s="107"/>
    </row>
    <row r="26" spans="1:35" ht="20.100000000000001" customHeight="1" outlineLevel="1" x14ac:dyDescent="0.25">
      <c r="A26" s="34" t="s">
        <v>7</v>
      </c>
      <c r="B26" s="36" t="s">
        <v>4</v>
      </c>
      <c r="C26" s="30">
        <f>SUM(C27:C28)</f>
        <v>0</v>
      </c>
      <c r="D26" s="30">
        <f t="shared" ref="D26:F26" si="7">SUM(D27:D28)</f>
        <v>0</v>
      </c>
      <c r="E26" s="30">
        <f t="shared" si="7"/>
        <v>0</v>
      </c>
      <c r="F26" s="30">
        <f t="shared" si="7"/>
        <v>0</v>
      </c>
      <c r="G26" s="37">
        <f t="shared" si="6"/>
        <v>0</v>
      </c>
    </row>
    <row r="27" spans="1:35" s="1" customFormat="1" ht="20.100000000000001" customHeight="1" outlineLevel="1" x14ac:dyDescent="0.25">
      <c r="A27" s="32"/>
      <c r="B27" s="10" t="s">
        <v>5</v>
      </c>
      <c r="C27" s="9"/>
      <c r="D27" s="9"/>
      <c r="E27" s="9"/>
      <c r="F27" s="9"/>
      <c r="G27" s="78">
        <f t="shared" si="6"/>
        <v>0</v>
      </c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</row>
    <row r="28" spans="1:35" s="1" customFormat="1" ht="20.100000000000001" customHeight="1" outlineLevel="1" thickBot="1" x14ac:dyDescent="0.3">
      <c r="A28" s="33"/>
      <c r="B28" s="25" t="s">
        <v>24</v>
      </c>
      <c r="C28" s="26"/>
      <c r="D28" s="26"/>
      <c r="E28" s="26"/>
      <c r="F28" s="26"/>
      <c r="G28" s="79">
        <f t="shared" si="6"/>
        <v>0</v>
      </c>
      <c r="H28" s="227"/>
      <c r="I28" s="228"/>
      <c r="J28" s="228"/>
      <c r="K28" s="228"/>
      <c r="L28" s="228"/>
      <c r="M28" s="228"/>
      <c r="N28" s="228"/>
      <c r="O28" s="228"/>
      <c r="P28" s="228"/>
      <c r="Q28" s="228"/>
      <c r="R28" s="228"/>
      <c r="S28" s="228"/>
      <c r="T28" s="228"/>
      <c r="U28" s="228"/>
      <c r="V28" s="228"/>
      <c r="W28" s="228"/>
      <c r="X28" s="228"/>
      <c r="Y28" s="228"/>
      <c r="Z28" s="228"/>
      <c r="AA28" s="228"/>
      <c r="AB28" s="149"/>
      <c r="AC28" s="149"/>
      <c r="AD28" s="149"/>
      <c r="AE28" s="149"/>
      <c r="AF28" s="149"/>
      <c r="AG28" s="149"/>
      <c r="AH28" s="149"/>
      <c r="AI28" s="149"/>
    </row>
    <row r="29" spans="1:35" ht="26.1" customHeight="1" outlineLevel="1" thickBot="1" x14ac:dyDescent="0.3">
      <c r="A29" s="213" t="s">
        <v>6</v>
      </c>
      <c r="B29" s="214"/>
      <c r="C29" s="52">
        <f>C9+C16+C20+C23+C26</f>
        <v>15339.499523999999</v>
      </c>
      <c r="D29" s="52">
        <f>D9+D16+D20+D23+D26</f>
        <v>15217.178243999999</v>
      </c>
      <c r="E29" s="52">
        <f>E9+E16+E20+E23+E26</f>
        <v>15248.358543999999</v>
      </c>
      <c r="F29" s="52">
        <f>F9+F16+F20+F23+F26</f>
        <v>15800.004263999999</v>
      </c>
      <c r="G29" s="53">
        <f t="shared" si="6"/>
        <v>61605.040575999999</v>
      </c>
    </row>
    <row r="30" spans="1:35" ht="26.1" customHeight="1" thickBot="1" x14ac:dyDescent="0.3">
      <c r="A30" s="211" t="s">
        <v>39</v>
      </c>
      <c r="B30" s="212"/>
      <c r="C30" s="54" t="s">
        <v>8</v>
      </c>
      <c r="D30" s="54" t="s">
        <v>8</v>
      </c>
      <c r="E30" s="54" t="s">
        <v>8</v>
      </c>
      <c r="F30" s="54" t="s">
        <v>8</v>
      </c>
      <c r="G30" s="55" t="s">
        <v>8</v>
      </c>
    </row>
    <row r="31" spans="1:35" ht="20.100000000000001" customHeight="1" x14ac:dyDescent="0.25">
      <c r="A31" s="117">
        <v>1</v>
      </c>
      <c r="B31" s="21" t="s">
        <v>15</v>
      </c>
      <c r="C31" s="64">
        <f>SUM(C32:C35)</f>
        <v>2582.2307773700413</v>
      </c>
      <c r="D31" s="64">
        <f>SUM(D32:D35)</f>
        <v>2537.8580173700411</v>
      </c>
      <c r="E31" s="64">
        <f>SUM(E32:E35)</f>
        <v>2552.4849773700412</v>
      </c>
      <c r="F31" s="64">
        <f>SUM(F32:F35)</f>
        <v>2759.2299373700412</v>
      </c>
      <c r="G31" s="64">
        <f>SUM(G32:G35)</f>
        <v>10431.803709480164</v>
      </c>
    </row>
    <row r="32" spans="1:35" ht="20.100000000000001" customHeight="1" x14ac:dyDescent="0.25">
      <c r="A32" s="46"/>
      <c r="B32" s="10" t="s">
        <v>3</v>
      </c>
      <c r="C32" s="42">
        <f>C10</f>
        <v>1910.18424</v>
      </c>
      <c r="D32" s="42">
        <f>D10</f>
        <v>1869.7264799999998</v>
      </c>
      <c r="E32" s="42">
        <f>E10</f>
        <v>1788.8109599999998</v>
      </c>
      <c r="F32" s="42">
        <f>F10</f>
        <v>1788.8109599999998</v>
      </c>
      <c r="G32" s="74">
        <f>SUM(C32:F32)</f>
        <v>7357.5326399999994</v>
      </c>
    </row>
    <row r="33" spans="1:7" ht="20.100000000000001" customHeight="1" x14ac:dyDescent="0.25">
      <c r="A33" s="46"/>
      <c r="B33" s="10" t="s">
        <v>10</v>
      </c>
      <c r="C33" s="42">
        <f t="shared" ref="C33:F33" si="8">C13</f>
        <v>289.70999999999998</v>
      </c>
      <c r="D33" s="42">
        <f t="shared" si="8"/>
        <v>285.79499999999996</v>
      </c>
      <c r="E33" s="42">
        <f t="shared" si="8"/>
        <v>381.33748000000003</v>
      </c>
      <c r="F33" s="42">
        <f t="shared" si="8"/>
        <v>588.08244000000002</v>
      </c>
      <c r="G33" s="74">
        <f>SUM(C33:F33)</f>
        <v>1544.9249199999999</v>
      </c>
    </row>
    <row r="34" spans="1:7" ht="57.75" customHeight="1" x14ac:dyDescent="0.25">
      <c r="A34" s="46"/>
      <c r="B34" s="10" t="s">
        <v>46</v>
      </c>
      <c r="C34" s="42">
        <f>[1]Лист15!D6</f>
        <v>382.33653737004119</v>
      </c>
      <c r="D34" s="42">
        <f>C34</f>
        <v>382.33653737004119</v>
      </c>
      <c r="E34" s="42">
        <f>C34</f>
        <v>382.33653737004119</v>
      </c>
      <c r="F34" s="42">
        <f>C34</f>
        <v>382.33653737004119</v>
      </c>
      <c r="G34" s="74">
        <f>SUM(C34:F34)</f>
        <v>1529.3461494801647</v>
      </c>
    </row>
    <row r="35" spans="1:7" ht="20.100000000000001" customHeight="1" thickBot="1" x14ac:dyDescent="0.3">
      <c r="A35" s="46"/>
      <c r="B35" s="10" t="s">
        <v>12</v>
      </c>
      <c r="C35" s="42"/>
      <c r="D35" s="42"/>
      <c r="E35" s="42"/>
      <c r="F35" s="42"/>
      <c r="G35" s="74">
        <f>SUM(C35:F35)</f>
        <v>0</v>
      </c>
    </row>
    <row r="36" spans="1:7" ht="20.100000000000001" customHeight="1" x14ac:dyDescent="0.25">
      <c r="A36" s="117">
        <v>2</v>
      </c>
      <c r="B36" s="28" t="s">
        <v>16</v>
      </c>
      <c r="C36" s="64">
        <f>SUM(C37:C38)</f>
        <v>0</v>
      </c>
      <c r="D36" s="64">
        <f t="shared" ref="D36:F36" si="9">SUM(D37:D38)</f>
        <v>0</v>
      </c>
      <c r="E36" s="64">
        <f t="shared" si="9"/>
        <v>0</v>
      </c>
      <c r="F36" s="64">
        <f t="shared" si="9"/>
        <v>0</v>
      </c>
      <c r="G36" s="64">
        <f t="shared" ref="G36" si="10">SUM(G37:G38)</f>
        <v>0</v>
      </c>
    </row>
    <row r="37" spans="1:7" ht="39.950000000000003" customHeight="1" x14ac:dyDescent="0.25">
      <c r="A37" s="29"/>
      <c r="B37" s="10" t="s">
        <v>25</v>
      </c>
      <c r="C37" s="42"/>
      <c r="D37" s="42"/>
      <c r="E37" s="42"/>
      <c r="F37" s="42"/>
      <c r="G37" s="74">
        <f>SUM(C37:F37)</f>
        <v>0</v>
      </c>
    </row>
    <row r="38" spans="1:7" ht="39.950000000000003" customHeight="1" thickBot="1" x14ac:dyDescent="0.3">
      <c r="A38" s="27"/>
      <c r="B38" s="25" t="s">
        <v>14</v>
      </c>
      <c r="C38" s="42"/>
      <c r="D38" s="42"/>
      <c r="E38" s="42"/>
      <c r="F38" s="42"/>
      <c r="G38" s="74">
        <f>SUM(C38:F38)</f>
        <v>0</v>
      </c>
    </row>
    <row r="39" spans="1:7" ht="20.100000000000001" customHeight="1" x14ac:dyDescent="0.25">
      <c r="A39" s="117" t="s">
        <v>33</v>
      </c>
      <c r="B39" s="28" t="s">
        <v>17</v>
      </c>
      <c r="C39" s="64">
        <f>SUM(C40:C41)</f>
        <v>764.73</v>
      </c>
      <c r="D39" s="64">
        <f t="shared" ref="D39:F39" si="11">SUM(D40:D41)</f>
        <v>764.73</v>
      </c>
      <c r="E39" s="64">
        <f t="shared" si="11"/>
        <v>764.73</v>
      </c>
      <c r="F39" s="64">
        <f t="shared" si="11"/>
        <v>764.73</v>
      </c>
      <c r="G39" s="64">
        <f t="shared" ref="G39" si="12">SUM(G40:G41)</f>
        <v>3058.92</v>
      </c>
    </row>
    <row r="40" spans="1:7" ht="20.100000000000001" customHeight="1" x14ac:dyDescent="0.25">
      <c r="A40" s="46"/>
      <c r="B40" s="10" t="s">
        <v>45</v>
      </c>
      <c r="C40" s="42">
        <f t="shared" ref="C40:F41" si="13">C21</f>
        <v>242.73000000000002</v>
      </c>
      <c r="D40" s="42">
        <f t="shared" si="13"/>
        <v>242.73000000000002</v>
      </c>
      <c r="E40" s="42">
        <f t="shared" si="13"/>
        <v>242.73000000000002</v>
      </c>
      <c r="F40" s="42">
        <f t="shared" si="13"/>
        <v>242.73000000000002</v>
      </c>
      <c r="G40" s="74">
        <f>SUM(C40:F40)</f>
        <v>970.92000000000007</v>
      </c>
    </row>
    <row r="41" spans="1:7" s="4" customFormat="1" ht="20.100000000000001" customHeight="1" thickBot="1" x14ac:dyDescent="0.3">
      <c r="A41" s="56"/>
      <c r="B41" s="25" t="s">
        <v>18</v>
      </c>
      <c r="C41" s="57">
        <f t="shared" si="13"/>
        <v>522</v>
      </c>
      <c r="D41" s="57">
        <f t="shared" si="13"/>
        <v>522</v>
      </c>
      <c r="E41" s="57">
        <f t="shared" si="13"/>
        <v>522</v>
      </c>
      <c r="F41" s="57">
        <f t="shared" si="13"/>
        <v>522</v>
      </c>
      <c r="G41" s="74">
        <f>SUM(C41:F41)</f>
        <v>2088</v>
      </c>
    </row>
    <row r="42" spans="1:7" ht="20.100000000000001" customHeight="1" x14ac:dyDescent="0.25">
      <c r="A42" s="117" t="s">
        <v>9</v>
      </c>
      <c r="B42" s="28" t="s">
        <v>38</v>
      </c>
      <c r="C42" s="64">
        <f>SUM(C43:C58)</f>
        <v>8958.503999999999</v>
      </c>
      <c r="D42" s="64">
        <f>SUM(D43:D58)</f>
        <v>8958.503999999999</v>
      </c>
      <c r="E42" s="64">
        <f>SUM(E43:E58)</f>
        <v>8958.503999999999</v>
      </c>
      <c r="F42" s="64">
        <f>SUM(F43:F58)</f>
        <v>8958.503999999999</v>
      </c>
      <c r="G42" s="66">
        <f t="shared" ref="G42:G51" si="14">SUM(C42:F42)</f>
        <v>35834.015999999996</v>
      </c>
    </row>
    <row r="43" spans="1:7" ht="20.100000000000001" customHeight="1" x14ac:dyDescent="0.25">
      <c r="A43" s="58"/>
      <c r="B43" s="49" t="s">
        <v>43</v>
      </c>
      <c r="C43" s="42">
        <f>C24</f>
        <v>8958.503999999999</v>
      </c>
      <c r="D43" s="42">
        <f>D24</f>
        <v>8958.503999999999</v>
      </c>
      <c r="E43" s="42">
        <f>E24</f>
        <v>8958.503999999999</v>
      </c>
      <c r="F43" s="42">
        <f>F24</f>
        <v>8958.503999999999</v>
      </c>
      <c r="G43" s="74">
        <f t="shared" si="14"/>
        <v>35834.015999999996</v>
      </c>
    </row>
    <row r="44" spans="1:7" ht="20.100000000000001" customHeight="1" x14ac:dyDescent="0.25">
      <c r="A44" s="47"/>
      <c r="B44" s="49" t="s">
        <v>28</v>
      </c>
      <c r="C44" s="42"/>
      <c r="D44" s="42"/>
      <c r="E44" s="42"/>
      <c r="F44" s="42"/>
      <c r="G44" s="74">
        <f>SUM(C44:F44)</f>
        <v>0</v>
      </c>
    </row>
    <row r="45" spans="1:7" ht="20.100000000000001" customHeight="1" x14ac:dyDescent="0.25">
      <c r="A45" s="47"/>
      <c r="B45" s="49" t="s">
        <v>36</v>
      </c>
      <c r="C45" s="42"/>
      <c r="D45" s="42"/>
      <c r="E45" s="42"/>
      <c r="F45" s="42"/>
      <c r="G45" s="74">
        <f t="shared" si="14"/>
        <v>0</v>
      </c>
    </row>
    <row r="46" spans="1:7" ht="20.100000000000001" customHeight="1" x14ac:dyDescent="0.25">
      <c r="A46" s="47"/>
      <c r="B46" s="49" t="s">
        <v>34</v>
      </c>
      <c r="C46" s="42"/>
      <c r="D46" s="42"/>
      <c r="E46" s="42"/>
      <c r="F46" s="42"/>
      <c r="G46" s="74">
        <f t="shared" si="14"/>
        <v>0</v>
      </c>
    </row>
    <row r="47" spans="1:7" ht="20.100000000000001" customHeight="1" x14ac:dyDescent="0.25">
      <c r="A47" s="46"/>
      <c r="B47" s="49" t="s">
        <v>35</v>
      </c>
      <c r="C47" s="42"/>
      <c r="D47" s="42"/>
      <c r="E47" s="42"/>
      <c r="F47" s="42"/>
      <c r="G47" s="74">
        <f t="shared" si="14"/>
        <v>0</v>
      </c>
    </row>
    <row r="48" spans="1:7" ht="20.100000000000001" customHeight="1" x14ac:dyDescent="0.25">
      <c r="A48" s="58"/>
      <c r="B48" s="10" t="s">
        <v>59</v>
      </c>
      <c r="C48" s="42"/>
      <c r="D48" s="42"/>
      <c r="E48" s="42"/>
      <c r="F48" s="42"/>
      <c r="G48" s="74">
        <f t="shared" si="14"/>
        <v>0</v>
      </c>
    </row>
    <row r="49" spans="1:14" ht="39" customHeight="1" x14ac:dyDescent="0.25">
      <c r="A49" s="58"/>
      <c r="B49" s="49" t="s">
        <v>37</v>
      </c>
      <c r="C49" s="42"/>
      <c r="D49" s="42"/>
      <c r="E49" s="42"/>
      <c r="F49" s="42"/>
      <c r="G49" s="74">
        <f t="shared" si="14"/>
        <v>0</v>
      </c>
      <c r="H49" s="65"/>
    </row>
    <row r="50" spans="1:14" ht="20.100000000000001" customHeight="1" x14ac:dyDescent="0.25">
      <c r="A50" s="46"/>
      <c r="B50" s="49" t="s">
        <v>29</v>
      </c>
      <c r="C50" s="42"/>
      <c r="D50" s="42"/>
      <c r="E50" s="42"/>
      <c r="F50" s="42"/>
      <c r="G50" s="74">
        <f t="shared" si="14"/>
        <v>0</v>
      </c>
    </row>
    <row r="51" spans="1:14" s="4" customFormat="1" ht="20.100000000000001" customHeight="1" x14ac:dyDescent="0.25">
      <c r="A51" s="48"/>
      <c r="B51" s="49" t="s">
        <v>40</v>
      </c>
      <c r="C51" s="42"/>
      <c r="D51" s="42"/>
      <c r="E51" s="42"/>
      <c r="F51" s="42"/>
      <c r="G51" s="74">
        <f t="shared" si="14"/>
        <v>0</v>
      </c>
    </row>
    <row r="52" spans="1:14" ht="20.100000000000001" customHeight="1" x14ac:dyDescent="0.25">
      <c r="A52" s="59"/>
      <c r="B52" s="49" t="s">
        <v>41</v>
      </c>
      <c r="C52" s="68"/>
      <c r="D52" s="68"/>
      <c r="E52" s="68"/>
      <c r="F52" s="68"/>
      <c r="G52" s="75">
        <f t="shared" ref="G52:G57" si="15">SUM(C52:F52)</f>
        <v>0</v>
      </c>
      <c r="H52" s="4"/>
      <c r="I52" s="4"/>
      <c r="J52" s="4"/>
      <c r="K52" s="4"/>
      <c r="L52" s="4"/>
      <c r="M52" s="4"/>
      <c r="N52" s="4"/>
    </row>
    <row r="53" spans="1:14" ht="20.100000000000001" customHeight="1" x14ac:dyDescent="0.25">
      <c r="A53" s="61"/>
      <c r="B53" s="51" t="s">
        <v>44</v>
      </c>
      <c r="C53" s="42"/>
      <c r="D53" s="42"/>
      <c r="E53" s="42"/>
      <c r="F53" s="42"/>
      <c r="G53" s="74">
        <f t="shared" si="15"/>
        <v>0</v>
      </c>
    </row>
    <row r="54" spans="1:14" ht="20.100000000000001" customHeight="1" x14ac:dyDescent="0.25">
      <c r="A54" s="61"/>
      <c r="B54" s="49" t="s">
        <v>30</v>
      </c>
      <c r="C54" s="42"/>
      <c r="D54" s="42"/>
      <c r="E54" s="42"/>
      <c r="F54" s="42"/>
      <c r="G54" s="74">
        <f t="shared" si="15"/>
        <v>0</v>
      </c>
    </row>
    <row r="55" spans="1:14" ht="41.25" customHeight="1" x14ac:dyDescent="0.25">
      <c r="A55" s="61"/>
      <c r="B55" s="49" t="s">
        <v>31</v>
      </c>
      <c r="C55" s="42"/>
      <c r="D55" s="42"/>
      <c r="E55" s="42"/>
      <c r="F55" s="42"/>
      <c r="G55" s="74">
        <f t="shared" si="15"/>
        <v>0</v>
      </c>
    </row>
    <row r="56" spans="1:14" ht="39" customHeight="1" x14ac:dyDescent="0.25">
      <c r="A56" s="62"/>
      <c r="B56" s="81" t="s">
        <v>50</v>
      </c>
      <c r="C56" s="68"/>
      <c r="D56" s="68"/>
      <c r="E56" s="68"/>
      <c r="F56" s="68"/>
      <c r="G56" s="82">
        <f t="shared" si="15"/>
        <v>0</v>
      </c>
    </row>
    <row r="57" spans="1:14" ht="60" customHeight="1" x14ac:dyDescent="0.25">
      <c r="A57" s="60"/>
      <c r="B57" s="51" t="s">
        <v>53</v>
      </c>
      <c r="C57" s="68"/>
      <c r="D57" s="68"/>
      <c r="E57" s="68"/>
      <c r="F57" s="68"/>
      <c r="G57" s="82">
        <f t="shared" si="15"/>
        <v>0</v>
      </c>
    </row>
    <row r="58" spans="1:14" ht="20.100000000000001" customHeight="1" thickBot="1" x14ac:dyDescent="0.3">
      <c r="A58" s="63"/>
      <c r="B58" s="50" t="s">
        <v>32</v>
      </c>
      <c r="C58" s="57"/>
      <c r="D58" s="57"/>
      <c r="E58" s="57"/>
      <c r="F58" s="57"/>
      <c r="G58" s="76">
        <f>SUM(C58:F58)</f>
        <v>0</v>
      </c>
    </row>
    <row r="59" spans="1:14" ht="20.100000000000001" customHeight="1" outlineLevel="1" thickBot="1" x14ac:dyDescent="0.3">
      <c r="A59" s="229" t="s">
        <v>42</v>
      </c>
      <c r="B59" s="230"/>
      <c r="C59" s="38">
        <f>C31+C36+C39+C42</f>
        <v>12305.46477737004</v>
      </c>
      <c r="D59" s="38">
        <f>D31+D36+D39+D42</f>
        <v>12261.09201737004</v>
      </c>
      <c r="E59" s="38">
        <f>E31+E36+E39+E42</f>
        <v>12275.718977370041</v>
      </c>
      <c r="F59" s="38">
        <f>F31+F36+F39+F42</f>
        <v>12482.463937370041</v>
      </c>
      <c r="G59" s="39">
        <f>G31+G36+G39+G42</f>
        <v>49324.739709480156</v>
      </c>
    </row>
    <row r="60" spans="1:14" ht="26.1" customHeight="1" outlineLevel="1" x14ac:dyDescent="0.25">
      <c r="A60" s="115"/>
      <c r="B60" s="72"/>
      <c r="C60" s="73">
        <f>C29-C59</f>
        <v>3034.034746629959</v>
      </c>
      <c r="D60" s="73">
        <f>D29-D59</f>
        <v>2956.0862266299591</v>
      </c>
      <c r="E60" s="73">
        <f>E29-E59</f>
        <v>2972.6395666299577</v>
      </c>
      <c r="F60" s="73">
        <f>F29-F59</f>
        <v>3317.5403266299581</v>
      </c>
      <c r="G60" s="73">
        <f>G29-G59</f>
        <v>12280.300866519843</v>
      </c>
    </row>
    <row r="61" spans="1:14" ht="26.1" customHeight="1" outlineLevel="1" x14ac:dyDescent="0.25">
      <c r="A61" s="115"/>
      <c r="B61" s="72"/>
      <c r="C61" s="73"/>
      <c r="D61" s="73"/>
      <c r="E61" s="73"/>
      <c r="F61" s="73"/>
      <c r="G61" s="80" t="e">
        <f>G60/#REF!/12</f>
        <v>#REF!</v>
      </c>
    </row>
  </sheetData>
  <dataConsolidate/>
  <mergeCells count="19">
    <mergeCell ref="A1:C1"/>
    <mergeCell ref="A2:G2"/>
    <mergeCell ref="A3:G3"/>
    <mergeCell ref="A4:A6"/>
    <mergeCell ref="B4:B6"/>
    <mergeCell ref="C5:C6"/>
    <mergeCell ref="D5:D6"/>
    <mergeCell ref="E5:E6"/>
    <mergeCell ref="F5:F6"/>
    <mergeCell ref="G5:G6"/>
    <mergeCell ref="O8:S8"/>
    <mergeCell ref="U8:Y8"/>
    <mergeCell ref="Z10:Z12"/>
    <mergeCell ref="H28:AA28"/>
    <mergeCell ref="A59:B59"/>
    <mergeCell ref="A8:B8"/>
    <mergeCell ref="A29:B29"/>
    <mergeCell ref="A30:B30"/>
    <mergeCell ref="I8:M8"/>
  </mergeCells>
  <pageMargins left="0.70866141732283472" right="0.70866141732283472" top="0.74803149606299213" bottom="0.74803149606299213" header="0.31496062992125984" footer="0.31496062992125984"/>
  <pageSetup paperSize="9" scale="4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21B9-2C03-4642-8ED8-530FF51B5211}">
  <sheetPr>
    <tabColor rgb="FFFFC000"/>
    <pageSetUpPr fitToPage="1"/>
  </sheetPr>
  <dimension ref="A1:AI61"/>
  <sheetViews>
    <sheetView showGridLines="0" view="pageBreakPreview" topLeftCell="A4" zoomScale="60" zoomScaleNormal="70" workbookViewId="0">
      <selection activeCell="L19" sqref="L19"/>
    </sheetView>
  </sheetViews>
  <sheetFormatPr defaultColWidth="10.140625" defaultRowHeight="18.75" outlineLevelRow="1" x14ac:dyDescent="0.25"/>
  <cols>
    <col min="1" max="1" width="8" style="2" customWidth="1"/>
    <col min="2" max="2" width="84.7109375" style="2" customWidth="1"/>
    <col min="3" max="7" width="16.7109375" style="3" customWidth="1"/>
    <col min="8" max="8" width="10.28515625" style="2" bestFit="1" customWidth="1"/>
    <col min="9" max="9" width="45.7109375" style="2" bestFit="1" customWidth="1"/>
    <col min="10" max="10" width="11.7109375" style="2" bestFit="1" customWidth="1"/>
    <col min="11" max="12" width="29.85546875" style="2" bestFit="1" customWidth="1"/>
    <col min="13" max="13" width="10.42578125" style="2" bestFit="1" customWidth="1"/>
    <col min="14" max="16384" width="10.140625" style="2"/>
  </cols>
  <sheetData>
    <row r="1" spans="1:26" x14ac:dyDescent="0.25">
      <c r="A1" s="200"/>
      <c r="B1" s="200"/>
      <c r="C1" s="200"/>
      <c r="D1" s="132"/>
      <c r="E1" s="132"/>
      <c r="F1" s="132"/>
      <c r="G1" s="132"/>
      <c r="I1" s="102" t="s">
        <v>63</v>
      </c>
      <c r="J1" s="101">
        <v>101.2</v>
      </c>
    </row>
    <row r="2" spans="1:26" x14ac:dyDescent="0.25">
      <c r="A2" s="200"/>
      <c r="B2" s="200"/>
      <c r="C2" s="200"/>
      <c r="D2" s="200"/>
      <c r="E2" s="200"/>
      <c r="F2" s="200"/>
      <c r="G2" s="200"/>
      <c r="I2" s="102"/>
      <c r="J2" s="101"/>
      <c r="K2" s="132"/>
    </row>
    <row r="3" spans="1:26" ht="19.5" thickBot="1" x14ac:dyDescent="0.3">
      <c r="A3" s="201"/>
      <c r="B3" s="201"/>
      <c r="C3" s="201"/>
      <c r="D3" s="201"/>
      <c r="E3" s="201"/>
      <c r="F3" s="201"/>
      <c r="G3" s="201"/>
      <c r="I3" s="7"/>
      <c r="J3" s="6"/>
      <c r="K3" s="133"/>
    </row>
    <row r="4" spans="1:26" x14ac:dyDescent="0.25">
      <c r="A4" s="207" t="s">
        <v>0</v>
      </c>
      <c r="B4" s="209" t="s">
        <v>1</v>
      </c>
      <c r="C4" s="136"/>
      <c r="D4" s="136"/>
      <c r="E4" s="136"/>
      <c r="F4" s="136"/>
      <c r="G4" s="14"/>
      <c r="I4" s="4" t="s">
        <v>64</v>
      </c>
      <c r="J4" s="4">
        <v>0</v>
      </c>
    </row>
    <row r="5" spans="1:26" ht="18" customHeight="1" x14ac:dyDescent="0.25">
      <c r="A5" s="208"/>
      <c r="B5" s="210"/>
      <c r="C5" s="203" t="s">
        <v>19</v>
      </c>
      <c r="D5" s="203" t="s">
        <v>20</v>
      </c>
      <c r="E5" s="203" t="s">
        <v>21</v>
      </c>
      <c r="F5" s="203" t="s">
        <v>22</v>
      </c>
      <c r="G5" s="202" t="s">
        <v>23</v>
      </c>
      <c r="I5" s="4" t="s">
        <v>65</v>
      </c>
      <c r="J5" s="4">
        <v>8</v>
      </c>
    </row>
    <row r="6" spans="1:26" x14ac:dyDescent="0.25">
      <c r="A6" s="208"/>
      <c r="B6" s="210"/>
      <c r="C6" s="203"/>
      <c r="D6" s="203"/>
      <c r="E6" s="203"/>
      <c r="F6" s="203"/>
      <c r="G6" s="202"/>
      <c r="I6" s="4"/>
      <c r="J6" s="4"/>
    </row>
    <row r="7" spans="1:26" ht="19.5" thickBot="1" x14ac:dyDescent="0.3">
      <c r="A7" s="122">
        <v>1</v>
      </c>
      <c r="B7" s="16">
        <v>2</v>
      </c>
      <c r="C7" s="17">
        <v>3</v>
      </c>
      <c r="D7" s="17">
        <v>4</v>
      </c>
      <c r="E7" s="17">
        <v>5</v>
      </c>
      <c r="F7" s="17">
        <v>5</v>
      </c>
      <c r="G7" s="18">
        <v>7</v>
      </c>
      <c r="I7" s="2" t="s">
        <v>87</v>
      </c>
    </row>
    <row r="8" spans="1:26" ht="26.1" customHeight="1" thickBot="1" x14ac:dyDescent="0.3">
      <c r="A8" s="206" t="s">
        <v>2</v>
      </c>
      <c r="B8" s="206"/>
      <c r="C8" s="19" t="s">
        <v>8</v>
      </c>
      <c r="D8" s="19" t="s">
        <v>8</v>
      </c>
      <c r="E8" s="19" t="s">
        <v>8</v>
      </c>
      <c r="F8" s="19" t="s">
        <v>8</v>
      </c>
      <c r="G8" s="19" t="s">
        <v>8</v>
      </c>
      <c r="I8" s="225" t="s">
        <v>88</v>
      </c>
      <c r="J8" s="225"/>
      <c r="K8" s="225"/>
      <c r="L8" s="225"/>
      <c r="M8" s="225"/>
      <c r="O8" s="225" t="s">
        <v>89</v>
      </c>
      <c r="P8" s="225"/>
      <c r="Q8" s="225"/>
      <c r="R8" s="225"/>
      <c r="S8" s="225"/>
      <c r="U8" s="225" t="s">
        <v>90</v>
      </c>
      <c r="V8" s="225"/>
      <c r="W8" s="225"/>
      <c r="X8" s="225"/>
      <c r="Y8" s="225"/>
    </row>
    <row r="9" spans="1:26" ht="20.100000000000001" customHeight="1" x14ac:dyDescent="0.25">
      <c r="A9" s="134">
        <v>1</v>
      </c>
      <c r="B9" s="21" t="s">
        <v>15</v>
      </c>
      <c r="C9" s="22">
        <f>SUM(C10:C15)</f>
        <v>0</v>
      </c>
      <c r="D9" s="22">
        <f>SUM(D10:D15)</f>
        <v>0</v>
      </c>
      <c r="E9" s="22">
        <f>SUM(E10:E15)</f>
        <v>0</v>
      </c>
      <c r="F9" s="22">
        <f>SUM(F10:F15)</f>
        <v>0</v>
      </c>
      <c r="G9" s="8">
        <f>SUM(G10:G15)</f>
        <v>0</v>
      </c>
      <c r="I9" s="123" t="s">
        <v>91</v>
      </c>
      <c r="J9" s="123" t="s">
        <v>92</v>
      </c>
      <c r="K9" s="140" t="s">
        <v>93</v>
      </c>
      <c r="L9" s="140" t="s">
        <v>94</v>
      </c>
      <c r="M9" s="140" t="s">
        <v>62</v>
      </c>
      <c r="N9" s="123"/>
      <c r="O9" s="123" t="s">
        <v>67</v>
      </c>
      <c r="P9" s="123" t="s">
        <v>92</v>
      </c>
      <c r="Q9" s="123" t="s">
        <v>61</v>
      </c>
      <c r="R9" s="123" t="s">
        <v>94</v>
      </c>
      <c r="S9" s="140" t="s">
        <v>62</v>
      </c>
      <c r="T9" s="123"/>
      <c r="U9" s="123" t="s">
        <v>67</v>
      </c>
      <c r="V9" s="123" t="s">
        <v>92</v>
      </c>
      <c r="W9" s="123" t="s">
        <v>61</v>
      </c>
      <c r="X9" s="123" t="s">
        <v>94</v>
      </c>
      <c r="Y9" s="140" t="s">
        <v>62</v>
      </c>
    </row>
    <row r="10" spans="1:26" ht="20.100000000000001" customHeight="1" x14ac:dyDescent="0.3">
      <c r="A10" s="135"/>
      <c r="B10" s="10" t="s">
        <v>3</v>
      </c>
      <c r="C10" s="12"/>
      <c r="D10" s="12"/>
      <c r="E10" s="12"/>
      <c r="F10" s="12"/>
      <c r="G10" s="77">
        <f>SUM(C10:F10)</f>
        <v>0</v>
      </c>
      <c r="H10" s="141" t="s">
        <v>95</v>
      </c>
      <c r="I10" s="142">
        <f>SUM(M10*K10)</f>
        <v>13.378640000000001</v>
      </c>
      <c r="J10" s="142"/>
      <c r="K10" s="142">
        <v>0.13220000000000001</v>
      </c>
      <c r="L10" s="142"/>
      <c r="M10" s="143">
        <f>SUM(J1)</f>
        <v>101.2</v>
      </c>
      <c r="N10" s="144"/>
      <c r="O10" s="142">
        <f>SUM(S10*Q10)</f>
        <v>12.528559999999999</v>
      </c>
      <c r="P10" s="142" t="s">
        <v>96</v>
      </c>
      <c r="Q10" s="142">
        <v>0.12379999999999999</v>
      </c>
      <c r="R10" s="142"/>
      <c r="S10" s="143">
        <f>SUM(J1)</f>
        <v>101.2</v>
      </c>
      <c r="T10" s="144"/>
      <c r="U10" s="142">
        <f>SUM(Y10*W10)</f>
        <v>12.528559999999999</v>
      </c>
      <c r="V10" s="142" t="s">
        <v>96</v>
      </c>
      <c r="W10" s="142">
        <v>0.12379999999999999</v>
      </c>
      <c r="X10" s="142"/>
      <c r="Y10" s="143">
        <f>SUM(J1)</f>
        <v>101.2</v>
      </c>
      <c r="Z10" s="226"/>
    </row>
    <row r="11" spans="1:26" ht="20.100000000000001" customHeight="1" x14ac:dyDescent="0.3">
      <c r="A11" s="135"/>
      <c r="B11" s="10" t="s">
        <v>3</v>
      </c>
      <c r="C11" s="12"/>
      <c r="D11" s="12"/>
      <c r="E11" s="12"/>
      <c r="F11" s="12"/>
      <c r="G11" s="77">
        <f t="shared" ref="G11:G15" si="0">SUM(C11:F11)</f>
        <v>0</v>
      </c>
      <c r="H11" s="141" t="s">
        <v>97</v>
      </c>
      <c r="I11" s="142"/>
      <c r="J11" s="142"/>
      <c r="K11" s="142"/>
      <c r="L11" s="142">
        <v>0.1419</v>
      </c>
      <c r="M11" s="142"/>
      <c r="N11" s="144"/>
      <c r="O11" s="142"/>
      <c r="P11" s="142"/>
      <c r="Q11" s="142"/>
      <c r="R11" s="142">
        <v>0.13350000000000001</v>
      </c>
      <c r="S11" s="142"/>
      <c r="T11" s="144"/>
      <c r="U11" s="142"/>
      <c r="V11" s="142"/>
      <c r="W11" s="142"/>
      <c r="X11" s="142">
        <v>0.13350000000000001</v>
      </c>
      <c r="Y11" s="142"/>
      <c r="Z11" s="226"/>
    </row>
    <row r="12" spans="1:26" ht="20.100000000000001" customHeight="1" x14ac:dyDescent="0.3">
      <c r="A12" s="135"/>
      <c r="B12" s="10" t="s">
        <v>60</v>
      </c>
      <c r="C12" s="12"/>
      <c r="D12" s="12"/>
      <c r="E12" s="12"/>
      <c r="F12" s="12"/>
      <c r="G12" s="77">
        <f t="shared" si="0"/>
        <v>0</v>
      </c>
      <c r="H12" s="141"/>
      <c r="I12" s="142"/>
      <c r="J12" s="142"/>
      <c r="K12" s="142"/>
      <c r="L12" s="142"/>
      <c r="M12" s="142"/>
      <c r="N12" s="144"/>
      <c r="O12" s="142"/>
      <c r="P12" s="142"/>
      <c r="Q12" s="142"/>
      <c r="R12" s="142"/>
      <c r="S12" s="142"/>
      <c r="T12" s="144"/>
      <c r="U12" s="142"/>
      <c r="V12" s="142"/>
      <c r="W12" s="142"/>
      <c r="X12" s="142"/>
      <c r="Y12" s="142"/>
      <c r="Z12" s="226"/>
    </row>
    <row r="13" spans="1:26" ht="20.100000000000001" customHeight="1" x14ac:dyDescent="0.3">
      <c r="A13" s="135"/>
      <c r="B13" s="10" t="s">
        <v>10</v>
      </c>
      <c r="C13" s="12"/>
      <c r="D13" s="12"/>
      <c r="E13" s="12"/>
      <c r="F13" s="12"/>
      <c r="G13" s="77">
        <f>SUM(C13:F13)</f>
        <v>0</v>
      </c>
      <c r="H13" s="141" t="s">
        <v>98</v>
      </c>
      <c r="I13" s="142">
        <f>SUM(J5*1.5*K13)</f>
        <v>8.879999999999999</v>
      </c>
      <c r="J13" s="142" t="s">
        <v>96</v>
      </c>
      <c r="K13" s="142">
        <v>0.74</v>
      </c>
      <c r="L13" s="142"/>
      <c r="M13" s="142"/>
      <c r="N13" s="145"/>
      <c r="O13" s="142">
        <f>SUM(J5*1.5*Q13)</f>
        <v>8.52</v>
      </c>
      <c r="P13" s="142" t="s">
        <v>96</v>
      </c>
      <c r="Q13" s="142">
        <v>0.71</v>
      </c>
      <c r="R13" s="142"/>
      <c r="S13" s="142"/>
      <c r="T13" s="145"/>
      <c r="U13" s="142">
        <f>SUM(W13*Y13)</f>
        <v>4.1188400000000005</v>
      </c>
      <c r="V13" s="142" t="s">
        <v>96</v>
      </c>
      <c r="W13" s="142">
        <v>4.07E-2</v>
      </c>
      <c r="X13" s="142"/>
      <c r="Y13" s="143">
        <f>SUM(J1)</f>
        <v>101.2</v>
      </c>
      <c r="Z13" s="3"/>
    </row>
    <row r="14" spans="1:26" ht="20.100000000000001" customHeight="1" outlineLevel="1" x14ac:dyDescent="0.3">
      <c r="A14" s="24"/>
      <c r="B14" s="10" t="s">
        <v>11</v>
      </c>
      <c r="C14" s="12"/>
      <c r="D14" s="12"/>
      <c r="E14" s="12"/>
      <c r="F14" s="12"/>
      <c r="G14" s="77">
        <f t="shared" si="0"/>
        <v>0</v>
      </c>
      <c r="H14" s="141" t="s">
        <v>11</v>
      </c>
      <c r="I14" s="142">
        <f>SUM((K14+L14/2))*J5</f>
        <v>18.920000000000002</v>
      </c>
      <c r="J14" s="142" t="s">
        <v>96</v>
      </c>
      <c r="K14" s="142">
        <v>1.5</v>
      </c>
      <c r="L14" s="142">
        <v>1.73</v>
      </c>
      <c r="M14" s="142"/>
      <c r="N14" s="145"/>
      <c r="O14" s="142">
        <f>SUM((Q14+R14))/2*J5</f>
        <v>12.36</v>
      </c>
      <c r="P14" s="142" t="s">
        <v>96</v>
      </c>
      <c r="Q14" s="142">
        <v>1.43</v>
      </c>
      <c r="R14" s="142">
        <v>1.66</v>
      </c>
      <c r="S14" s="142"/>
      <c r="T14" s="145"/>
      <c r="U14" s="142">
        <f>SUM((W14+X14))/2*Y14</f>
        <v>6.3907800000000003</v>
      </c>
      <c r="V14" s="142" t="s">
        <v>96</v>
      </c>
      <c r="W14" s="142">
        <v>5.8400000000000001E-2</v>
      </c>
      <c r="X14" s="142">
        <v>6.7900000000000002E-2</v>
      </c>
      <c r="Y14" s="142">
        <f>SUM(J1)</f>
        <v>101.2</v>
      </c>
      <c r="Z14" s="3"/>
    </row>
    <row r="15" spans="1:26" ht="20.100000000000001" customHeight="1" outlineLevel="1" thickBot="1" x14ac:dyDescent="0.35">
      <c r="A15" s="24"/>
      <c r="B15" s="10" t="s">
        <v>12</v>
      </c>
      <c r="C15" s="9"/>
      <c r="D15" s="9"/>
      <c r="E15" s="9"/>
      <c r="F15" s="9"/>
      <c r="G15" s="77">
        <f t="shared" si="0"/>
        <v>0</v>
      </c>
      <c r="H15" s="141" t="s">
        <v>99</v>
      </c>
      <c r="I15" s="142">
        <f>SUM(J15*((K15+L15))/2)*M15</f>
        <v>19.078751999999998</v>
      </c>
      <c r="J15" s="142">
        <v>0.24</v>
      </c>
      <c r="K15" s="142">
        <v>9.2583000000000002</v>
      </c>
      <c r="L15" s="142">
        <v>10.615399999999999</v>
      </c>
      <c r="M15" s="142">
        <f>SUM(J5)</f>
        <v>8</v>
      </c>
      <c r="N15" s="145"/>
      <c r="O15" s="142">
        <f>SUM(P15*((Q15+R15)/2)*S15)</f>
        <v>18.471071999999999</v>
      </c>
      <c r="P15" s="142">
        <v>0.24</v>
      </c>
      <c r="Q15" s="142">
        <v>8.9418000000000006</v>
      </c>
      <c r="R15" s="142">
        <v>10.2989</v>
      </c>
      <c r="S15" s="142">
        <f>SUM(J5)</f>
        <v>8</v>
      </c>
      <c r="T15" s="145"/>
      <c r="U15" s="142">
        <f>SUM(V15*((W15+X15)/2)*Y15)</f>
        <v>18.471071999999999</v>
      </c>
      <c r="V15" s="142">
        <v>0.24</v>
      </c>
      <c r="W15" s="142">
        <v>8.9418000000000006</v>
      </c>
      <c r="X15" s="142">
        <v>10.2989</v>
      </c>
      <c r="Y15" s="142">
        <f>SUM(J5)</f>
        <v>8</v>
      </c>
    </row>
    <row r="16" spans="1:26" ht="20.100000000000001" customHeight="1" x14ac:dyDescent="0.3">
      <c r="A16" s="134">
        <v>2</v>
      </c>
      <c r="B16" s="28" t="s">
        <v>16</v>
      </c>
      <c r="C16" s="35">
        <f>SUM(C17:C19)</f>
        <v>0</v>
      </c>
      <c r="D16" s="35">
        <f t="shared" ref="D16:F16" si="1">SUM(D17:D19)</f>
        <v>0</v>
      </c>
      <c r="E16" s="35">
        <f t="shared" si="1"/>
        <v>0</v>
      </c>
      <c r="F16" s="35">
        <f t="shared" si="1"/>
        <v>0</v>
      </c>
      <c r="G16" s="35">
        <f>SUM(G17:G19)</f>
        <v>0</v>
      </c>
      <c r="H16" s="141"/>
      <c r="I16" s="142"/>
      <c r="J16" s="142"/>
      <c r="K16" s="142"/>
      <c r="L16" s="142"/>
      <c r="M16" s="142"/>
      <c r="O16" s="142"/>
      <c r="P16" s="142"/>
      <c r="Q16" s="142"/>
      <c r="R16" s="142"/>
      <c r="S16" s="142"/>
      <c r="U16" s="142"/>
      <c r="V16" s="142"/>
      <c r="W16" s="142"/>
      <c r="X16" s="142"/>
      <c r="Y16" s="142"/>
    </row>
    <row r="17" spans="1:35" ht="39" customHeight="1" outlineLevel="1" x14ac:dyDescent="0.3">
      <c r="A17" s="29"/>
      <c r="B17" s="10" t="s">
        <v>25</v>
      </c>
      <c r="C17" s="12"/>
      <c r="D17" s="12"/>
      <c r="E17" s="12"/>
      <c r="F17" s="12"/>
      <c r="G17" s="77">
        <f t="shared" ref="G17:G18" si="2">SUM(C17:F17)</f>
        <v>0</v>
      </c>
      <c r="H17" s="146" t="s">
        <v>100</v>
      </c>
      <c r="I17" s="142">
        <f>SUM(K17*M17)*1.5</f>
        <v>8.52</v>
      </c>
      <c r="J17" s="142" t="s">
        <v>101</v>
      </c>
      <c r="K17" s="142">
        <v>0.71</v>
      </c>
      <c r="L17" s="142"/>
      <c r="M17" s="142">
        <f>SUM(J5)</f>
        <v>8</v>
      </c>
      <c r="N17" s="145"/>
      <c r="O17" s="142">
        <f>SUM(Q17*S17*1.5)</f>
        <v>8.52</v>
      </c>
      <c r="P17" s="142" t="s">
        <v>101</v>
      </c>
      <c r="Q17" s="142">
        <v>0.71</v>
      </c>
      <c r="R17" s="142"/>
      <c r="S17" s="142">
        <f>SUM(J5)</f>
        <v>8</v>
      </c>
      <c r="T17" s="145"/>
      <c r="U17" s="142">
        <f>SUM(W17*Y17)</f>
        <v>2.0037600000000002</v>
      </c>
      <c r="V17" s="142" t="s">
        <v>101</v>
      </c>
      <c r="W17" s="142">
        <v>1.9800000000000002E-2</v>
      </c>
      <c r="X17" s="142"/>
      <c r="Y17" s="142">
        <f>SUM(J1)</f>
        <v>101.2</v>
      </c>
    </row>
    <row r="18" spans="1:35" ht="40.5" customHeight="1" outlineLevel="1" x14ac:dyDescent="0.3">
      <c r="A18" s="29"/>
      <c r="B18" s="10" t="s">
        <v>14</v>
      </c>
      <c r="C18" s="12"/>
      <c r="D18" s="12"/>
      <c r="E18" s="12"/>
      <c r="F18" s="12"/>
      <c r="G18" s="77">
        <f t="shared" si="2"/>
        <v>0</v>
      </c>
      <c r="H18" s="146" t="s">
        <v>102</v>
      </c>
      <c r="I18" s="142">
        <f>SUM(K18*M18)*1.5</f>
        <v>9.48</v>
      </c>
      <c r="J18" s="142" t="s">
        <v>101</v>
      </c>
      <c r="K18" s="142">
        <v>0.79</v>
      </c>
      <c r="L18" s="142"/>
      <c r="M18" s="142">
        <f>SUM(J5)</f>
        <v>8</v>
      </c>
      <c r="N18" s="145"/>
      <c r="O18" s="142">
        <f>SUM(Q18*S18)*1.5</f>
        <v>9.48</v>
      </c>
      <c r="P18" s="142" t="s">
        <v>101</v>
      </c>
      <c r="Q18" s="142">
        <v>0.79</v>
      </c>
      <c r="R18" s="142"/>
      <c r="S18" s="142">
        <f>SUM(J5)</f>
        <v>8</v>
      </c>
      <c r="T18" s="145"/>
      <c r="U18" s="142">
        <f>SUM(W18*Y18)*1.5</f>
        <v>9.48</v>
      </c>
      <c r="V18" s="142" t="s">
        <v>101</v>
      </c>
      <c r="W18" s="142">
        <v>0.79</v>
      </c>
      <c r="X18" s="142"/>
      <c r="Y18" s="142">
        <f>SUM(J5)</f>
        <v>8</v>
      </c>
    </row>
    <row r="19" spans="1:35" ht="40.5" customHeight="1" outlineLevel="1" thickBot="1" x14ac:dyDescent="0.3">
      <c r="A19" s="124"/>
      <c r="B19" s="125" t="s">
        <v>75</v>
      </c>
      <c r="C19" s="126"/>
      <c r="D19" s="126"/>
      <c r="E19" s="126"/>
      <c r="F19" s="126"/>
      <c r="G19" s="127"/>
      <c r="H19" s="141"/>
      <c r="I19" s="144"/>
      <c r="J19" s="144"/>
      <c r="K19" s="144"/>
      <c r="L19" s="144"/>
      <c r="M19" s="145"/>
      <c r="N19" s="145"/>
      <c r="O19" s="144"/>
      <c r="P19" s="144"/>
      <c r="Q19" s="144"/>
      <c r="R19" s="144"/>
      <c r="S19" s="145"/>
      <c r="T19" s="145"/>
      <c r="U19" s="144"/>
      <c r="V19" s="144"/>
      <c r="W19" s="144"/>
      <c r="X19" s="144"/>
      <c r="Y19" s="145"/>
    </row>
    <row r="20" spans="1:35" ht="20.100000000000001" customHeight="1" outlineLevel="1" thickBot="1" x14ac:dyDescent="0.3">
      <c r="A20" s="134">
        <v>3</v>
      </c>
      <c r="B20" s="28" t="s">
        <v>17</v>
      </c>
      <c r="C20" s="22">
        <f>SUM(C21:C22)</f>
        <v>0</v>
      </c>
      <c r="D20" s="22">
        <f t="shared" ref="D20:F20" si="3">SUM(D21:D22)</f>
        <v>0</v>
      </c>
      <c r="E20" s="22">
        <f t="shared" si="3"/>
        <v>0</v>
      </c>
      <c r="F20" s="22">
        <f t="shared" si="3"/>
        <v>0</v>
      </c>
      <c r="G20" s="8">
        <f>SUM(G21:G22)</f>
        <v>0</v>
      </c>
      <c r="H20" s="141"/>
      <c r="I20" s="123" t="s">
        <v>66</v>
      </c>
      <c r="J20" s="123"/>
      <c r="K20" s="123" t="s">
        <v>61</v>
      </c>
      <c r="L20" s="123"/>
      <c r="M20" s="123" t="s">
        <v>67</v>
      </c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</row>
    <row r="21" spans="1:35" ht="20.100000000000001" customHeight="1" outlineLevel="1" x14ac:dyDescent="0.3">
      <c r="A21" s="29"/>
      <c r="B21" s="10" t="s">
        <v>45</v>
      </c>
      <c r="C21" s="11"/>
      <c r="D21" s="11"/>
      <c r="E21" s="11"/>
      <c r="F21" s="11"/>
      <c r="G21" s="78">
        <f>SUM(C21:F21)</f>
        <v>0</v>
      </c>
      <c r="H21" s="141" t="s">
        <v>103</v>
      </c>
      <c r="I21" s="109">
        <f>SUM(J5)</f>
        <v>8</v>
      </c>
      <c r="J21" s="110"/>
      <c r="K21" s="110"/>
      <c r="L21" s="110"/>
      <c r="M21" s="111">
        <f>I21*K21</f>
        <v>0</v>
      </c>
      <c r="N21" s="123"/>
      <c r="O21" s="109"/>
      <c r="P21" s="110"/>
      <c r="Q21" s="110"/>
      <c r="R21" s="110"/>
      <c r="S21" s="111"/>
      <c r="T21" s="123"/>
      <c r="U21" s="109"/>
      <c r="V21" s="110"/>
      <c r="W21" s="110"/>
      <c r="X21" s="110"/>
      <c r="Y21" s="111"/>
    </row>
    <row r="22" spans="1:35" ht="20.100000000000001" customHeight="1" outlineLevel="1" thickBot="1" x14ac:dyDescent="0.3">
      <c r="A22" s="27"/>
      <c r="B22" s="25" t="s">
        <v>18</v>
      </c>
      <c r="C22" s="26"/>
      <c r="D22" s="26"/>
      <c r="E22" s="26"/>
      <c r="F22" s="26"/>
      <c r="G22" s="79">
        <f>SUM(C22:F22)</f>
        <v>0</v>
      </c>
      <c r="H22" s="146" t="s">
        <v>104</v>
      </c>
      <c r="I22" s="112">
        <f>SUM(J5)</f>
        <v>8</v>
      </c>
      <c r="J22" s="113"/>
      <c r="K22" s="113"/>
      <c r="L22" s="113"/>
      <c r="M22" s="114">
        <f>I22*K22</f>
        <v>0</v>
      </c>
      <c r="N22" s="123"/>
      <c r="O22" s="112"/>
      <c r="P22" s="113"/>
      <c r="Q22" s="113"/>
      <c r="R22" s="113"/>
      <c r="S22" s="114"/>
      <c r="T22" s="123"/>
      <c r="U22" s="112"/>
      <c r="V22" s="113"/>
      <c r="W22" s="113"/>
      <c r="X22" s="113"/>
      <c r="Y22" s="114"/>
    </row>
    <row r="23" spans="1:35" ht="20.100000000000001" customHeight="1" thickBot="1" x14ac:dyDescent="0.3">
      <c r="A23" s="31" t="s">
        <v>9</v>
      </c>
      <c r="B23" s="28" t="s">
        <v>27</v>
      </c>
      <c r="C23" s="22">
        <f>SUM(C24:C25)</f>
        <v>106.26</v>
      </c>
      <c r="D23" s="22">
        <f t="shared" ref="D23:F23" si="4">SUM(D24:D25)</f>
        <v>106.26</v>
      </c>
      <c r="E23" s="22">
        <f t="shared" si="4"/>
        <v>106.26</v>
      </c>
      <c r="F23" s="22">
        <f t="shared" si="4"/>
        <v>106.26</v>
      </c>
      <c r="G23" s="8">
        <f>SUM(G24:G25)</f>
        <v>425.04</v>
      </c>
      <c r="H23" s="147"/>
      <c r="I23" s="123" t="s">
        <v>68</v>
      </c>
      <c r="J23" s="123"/>
      <c r="K23" s="123" t="s">
        <v>61</v>
      </c>
      <c r="L23" s="123"/>
      <c r="M23" s="123" t="s">
        <v>67</v>
      </c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</row>
    <row r="24" spans="1:35" ht="20.100000000000001" customHeight="1" outlineLevel="1" thickBot="1" x14ac:dyDescent="0.3">
      <c r="A24" s="32"/>
      <c r="B24" s="10" t="s">
        <v>26</v>
      </c>
      <c r="C24" s="9">
        <f>SUM(M24)*3</f>
        <v>106.26</v>
      </c>
      <c r="D24" s="9">
        <f>SUM(M24*3)</f>
        <v>106.26</v>
      </c>
      <c r="E24" s="9">
        <f>SUM(M24*3)</f>
        <v>106.26</v>
      </c>
      <c r="F24" s="9">
        <f>SUM(M24*3)</f>
        <v>106.26</v>
      </c>
      <c r="G24" s="78">
        <f t="shared" ref="G24:G29" si="5">SUM(C24:F24)</f>
        <v>425.04</v>
      </c>
      <c r="H24" s="148" t="s">
        <v>105</v>
      </c>
      <c r="I24" s="103">
        <f>SUM(J1)</f>
        <v>101.2</v>
      </c>
      <c r="J24" s="104"/>
      <c r="K24" s="110">
        <v>0.35</v>
      </c>
      <c r="L24" s="110"/>
      <c r="M24" s="105">
        <f>SUM(I24*K24)</f>
        <v>35.42</v>
      </c>
      <c r="N24" s="144"/>
      <c r="O24" s="103"/>
      <c r="P24" s="104"/>
      <c r="Q24" s="110"/>
      <c r="R24" s="110"/>
      <c r="S24" s="105"/>
      <c r="T24" s="144"/>
      <c r="U24" s="103"/>
      <c r="V24" s="104"/>
      <c r="W24" s="110"/>
      <c r="X24" s="110"/>
      <c r="Y24" s="105"/>
    </row>
    <row r="25" spans="1:35" ht="20.100000000000001" customHeight="1" outlineLevel="1" thickBot="1" x14ac:dyDescent="0.3">
      <c r="A25" s="33"/>
      <c r="B25" s="25" t="s">
        <v>57</v>
      </c>
      <c r="C25" s="26">
        <f>SUM(M25)*3</f>
        <v>0</v>
      </c>
      <c r="D25" s="26">
        <f>SUM(M25*3)</f>
        <v>0</v>
      </c>
      <c r="E25" s="26">
        <f>SUM(M25*3)</f>
        <v>0</v>
      </c>
      <c r="F25" s="26">
        <f>SUM(M25*3)</f>
        <v>0</v>
      </c>
      <c r="G25" s="79">
        <f t="shared" si="5"/>
        <v>0</v>
      </c>
      <c r="H25" s="148" t="s">
        <v>106</v>
      </c>
      <c r="I25" s="106">
        <f>SUM(J1)</f>
        <v>101.2</v>
      </c>
      <c r="J25" s="108"/>
      <c r="K25" s="113"/>
      <c r="L25" s="113"/>
      <c r="M25" s="105">
        <f>SUM(I25*K25)</f>
        <v>0</v>
      </c>
      <c r="N25" s="144"/>
      <c r="O25" s="106"/>
      <c r="P25" s="108"/>
      <c r="Q25" s="113"/>
      <c r="R25" s="113"/>
      <c r="S25" s="107"/>
      <c r="T25" s="144"/>
      <c r="U25" s="106"/>
      <c r="V25" s="108"/>
      <c r="W25" s="113"/>
      <c r="X25" s="113"/>
      <c r="Y25" s="107"/>
    </row>
    <row r="26" spans="1:35" ht="20.100000000000001" customHeight="1" outlineLevel="1" x14ac:dyDescent="0.25">
      <c r="A26" s="34" t="s">
        <v>7</v>
      </c>
      <c r="B26" s="36" t="s">
        <v>4</v>
      </c>
      <c r="C26" s="30">
        <f>SUM(C27:C28)</f>
        <v>0</v>
      </c>
      <c r="D26" s="30">
        <f t="shared" ref="D26:F26" si="6">SUM(D27:D28)</f>
        <v>0</v>
      </c>
      <c r="E26" s="30">
        <f t="shared" si="6"/>
        <v>0</v>
      </c>
      <c r="F26" s="30">
        <f t="shared" si="6"/>
        <v>0</v>
      </c>
      <c r="G26" s="37">
        <f t="shared" si="5"/>
        <v>0</v>
      </c>
    </row>
    <row r="27" spans="1:35" s="1" customFormat="1" ht="20.100000000000001" customHeight="1" outlineLevel="1" x14ac:dyDescent="0.25">
      <c r="A27" s="32"/>
      <c r="B27" s="10" t="s">
        <v>5</v>
      </c>
      <c r="C27" s="9"/>
      <c r="D27" s="9"/>
      <c r="E27" s="9"/>
      <c r="F27" s="9"/>
      <c r="G27" s="78">
        <f t="shared" si="5"/>
        <v>0</v>
      </c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</row>
    <row r="28" spans="1:35" s="1" customFormat="1" ht="20.100000000000001" customHeight="1" outlineLevel="1" thickBot="1" x14ac:dyDescent="0.3">
      <c r="A28" s="33"/>
      <c r="B28" s="25" t="s">
        <v>24</v>
      </c>
      <c r="C28" s="26"/>
      <c r="D28" s="26"/>
      <c r="E28" s="26"/>
      <c r="F28" s="26"/>
      <c r="G28" s="79">
        <f t="shared" si="5"/>
        <v>0</v>
      </c>
      <c r="H28" s="227"/>
      <c r="I28" s="228"/>
      <c r="J28" s="228"/>
      <c r="K28" s="228"/>
      <c r="L28" s="228"/>
      <c r="M28" s="228"/>
      <c r="N28" s="228"/>
      <c r="O28" s="228"/>
      <c r="P28" s="228"/>
      <c r="Q28" s="228"/>
      <c r="R28" s="228"/>
      <c r="S28" s="228"/>
      <c r="T28" s="228"/>
      <c r="U28" s="228"/>
      <c r="V28" s="228"/>
      <c r="W28" s="228"/>
      <c r="X28" s="228"/>
      <c r="Y28" s="228"/>
      <c r="Z28" s="228"/>
      <c r="AA28" s="228"/>
      <c r="AB28" s="149"/>
      <c r="AC28" s="149"/>
      <c r="AD28" s="149"/>
      <c r="AE28" s="149"/>
      <c r="AF28" s="149"/>
      <c r="AG28" s="149"/>
      <c r="AH28" s="149"/>
      <c r="AI28" s="149"/>
    </row>
    <row r="29" spans="1:35" ht="26.1" customHeight="1" outlineLevel="1" thickBot="1" x14ac:dyDescent="0.3">
      <c r="A29" s="213" t="s">
        <v>6</v>
      </c>
      <c r="B29" s="214"/>
      <c r="C29" s="52">
        <f>C9+C16+C20+C23+C26</f>
        <v>106.26</v>
      </c>
      <c r="D29" s="52">
        <f>D9+D16+D20+D23+D26</f>
        <v>106.26</v>
      </c>
      <c r="E29" s="52">
        <f>E9+E16+E20+E23+E26</f>
        <v>106.26</v>
      </c>
      <c r="F29" s="52">
        <f>F9+F16+F20+F23+F26</f>
        <v>106.26</v>
      </c>
      <c r="G29" s="53">
        <f t="shared" si="5"/>
        <v>425.04</v>
      </c>
    </row>
    <row r="30" spans="1:35" ht="26.1" customHeight="1" thickBot="1" x14ac:dyDescent="0.3">
      <c r="A30" s="211" t="s">
        <v>39</v>
      </c>
      <c r="B30" s="212"/>
      <c r="C30" s="54" t="s">
        <v>8</v>
      </c>
      <c r="D30" s="54" t="s">
        <v>8</v>
      </c>
      <c r="E30" s="54" t="s">
        <v>8</v>
      </c>
      <c r="F30" s="54" t="s">
        <v>8</v>
      </c>
      <c r="G30" s="55" t="s">
        <v>8</v>
      </c>
    </row>
    <row r="31" spans="1:35" ht="20.100000000000001" customHeight="1" x14ac:dyDescent="0.25">
      <c r="A31" s="134">
        <v>1</v>
      </c>
      <c r="B31" s="21" t="s">
        <v>15</v>
      </c>
      <c r="C31" s="64">
        <f>SUM(C32:C35)</f>
        <v>382.33653737004119</v>
      </c>
      <c r="D31" s="64">
        <f>SUM(D32:D35)</f>
        <v>382.33653737004119</v>
      </c>
      <c r="E31" s="64">
        <f>SUM(E32:E35)</f>
        <v>382.33653737004119</v>
      </c>
      <c r="F31" s="64">
        <f>SUM(F32:F35)</f>
        <v>382.33653737004119</v>
      </c>
      <c r="G31" s="64">
        <f>SUM(G32:G35)</f>
        <v>1529.3461494801647</v>
      </c>
    </row>
    <row r="32" spans="1:35" ht="20.100000000000001" customHeight="1" x14ac:dyDescent="0.25">
      <c r="A32" s="46"/>
      <c r="B32" s="10" t="s">
        <v>3</v>
      </c>
      <c r="C32" s="42">
        <f>C10</f>
        <v>0</v>
      </c>
      <c r="D32" s="42">
        <f>D10</f>
        <v>0</v>
      </c>
      <c r="E32" s="42">
        <f>E10</f>
        <v>0</v>
      </c>
      <c r="F32" s="42">
        <f>F10</f>
        <v>0</v>
      </c>
      <c r="G32" s="74">
        <f>SUM(C32:F32)</f>
        <v>0</v>
      </c>
    </row>
    <row r="33" spans="1:7" ht="20.100000000000001" customHeight="1" x14ac:dyDescent="0.25">
      <c r="A33" s="46"/>
      <c r="B33" s="10" t="s">
        <v>10</v>
      </c>
      <c r="C33" s="42">
        <f t="shared" ref="C33:F33" si="7">C13</f>
        <v>0</v>
      </c>
      <c r="D33" s="42">
        <f t="shared" si="7"/>
        <v>0</v>
      </c>
      <c r="E33" s="42">
        <f t="shared" si="7"/>
        <v>0</v>
      </c>
      <c r="F33" s="42">
        <f t="shared" si="7"/>
        <v>0</v>
      </c>
      <c r="G33" s="74">
        <f>SUM(C33:F33)</f>
        <v>0</v>
      </c>
    </row>
    <row r="34" spans="1:7" ht="57.75" customHeight="1" x14ac:dyDescent="0.25">
      <c r="A34" s="46"/>
      <c r="B34" s="10" t="s">
        <v>46</v>
      </c>
      <c r="C34" s="42">
        <f>[1]Лист15!D6</f>
        <v>382.33653737004119</v>
      </c>
      <c r="D34" s="42">
        <f>C34</f>
        <v>382.33653737004119</v>
      </c>
      <c r="E34" s="42">
        <f>C34</f>
        <v>382.33653737004119</v>
      </c>
      <c r="F34" s="42">
        <f>C34</f>
        <v>382.33653737004119</v>
      </c>
      <c r="G34" s="74">
        <f>SUM(C34:F34)</f>
        <v>1529.3461494801647</v>
      </c>
    </row>
    <row r="35" spans="1:7" ht="20.100000000000001" customHeight="1" thickBot="1" x14ac:dyDescent="0.3">
      <c r="A35" s="46"/>
      <c r="B35" s="10" t="s">
        <v>12</v>
      </c>
      <c r="C35" s="42"/>
      <c r="D35" s="42"/>
      <c r="E35" s="42"/>
      <c r="F35" s="42"/>
      <c r="G35" s="74">
        <f>SUM(C35:F35)</f>
        <v>0</v>
      </c>
    </row>
    <row r="36" spans="1:7" ht="20.100000000000001" customHeight="1" x14ac:dyDescent="0.25">
      <c r="A36" s="134">
        <v>2</v>
      </c>
      <c r="B36" s="28" t="s">
        <v>16</v>
      </c>
      <c r="C36" s="64">
        <f>SUM(C37:C38)</f>
        <v>0</v>
      </c>
      <c r="D36" s="64">
        <f t="shared" ref="D36:G36" si="8">SUM(D37:D38)</f>
        <v>0</v>
      </c>
      <c r="E36" s="64">
        <f t="shared" si="8"/>
        <v>0</v>
      </c>
      <c r="F36" s="64">
        <f t="shared" si="8"/>
        <v>0</v>
      </c>
      <c r="G36" s="64">
        <f t="shared" si="8"/>
        <v>0</v>
      </c>
    </row>
    <row r="37" spans="1:7" ht="39.950000000000003" customHeight="1" x14ac:dyDescent="0.25">
      <c r="A37" s="29"/>
      <c r="B37" s="10" t="s">
        <v>25</v>
      </c>
      <c r="C37" s="42"/>
      <c r="D37" s="42"/>
      <c r="E37" s="42"/>
      <c r="F37" s="42"/>
      <c r="G37" s="74">
        <f>SUM(C37:F37)</f>
        <v>0</v>
      </c>
    </row>
    <row r="38" spans="1:7" ht="39.950000000000003" customHeight="1" thickBot="1" x14ac:dyDescent="0.3">
      <c r="A38" s="27"/>
      <c r="B38" s="25" t="s">
        <v>14</v>
      </c>
      <c r="C38" s="42"/>
      <c r="D38" s="42"/>
      <c r="E38" s="42"/>
      <c r="F38" s="42"/>
      <c r="G38" s="74">
        <f>SUM(C38:F38)</f>
        <v>0</v>
      </c>
    </row>
    <row r="39" spans="1:7" ht="20.100000000000001" customHeight="1" x14ac:dyDescent="0.25">
      <c r="A39" s="134" t="s">
        <v>33</v>
      </c>
      <c r="B39" s="28" t="s">
        <v>17</v>
      </c>
      <c r="C39" s="64">
        <f>SUM(C40:C41)</f>
        <v>0</v>
      </c>
      <c r="D39" s="64">
        <f t="shared" ref="D39:G39" si="9">SUM(D40:D41)</f>
        <v>0</v>
      </c>
      <c r="E39" s="64">
        <f t="shared" si="9"/>
        <v>0</v>
      </c>
      <c r="F39" s="64">
        <f t="shared" si="9"/>
        <v>0</v>
      </c>
      <c r="G39" s="64">
        <f t="shared" si="9"/>
        <v>0</v>
      </c>
    </row>
    <row r="40" spans="1:7" ht="20.100000000000001" customHeight="1" x14ac:dyDescent="0.25">
      <c r="A40" s="46"/>
      <c r="B40" s="10" t="s">
        <v>45</v>
      </c>
      <c r="C40" s="42">
        <f t="shared" ref="C40:F41" si="10">C21</f>
        <v>0</v>
      </c>
      <c r="D40" s="42">
        <f t="shared" si="10"/>
        <v>0</v>
      </c>
      <c r="E40" s="42">
        <f t="shared" si="10"/>
        <v>0</v>
      </c>
      <c r="F40" s="42">
        <f t="shared" si="10"/>
        <v>0</v>
      </c>
      <c r="G40" s="74">
        <f>SUM(C40:F40)</f>
        <v>0</v>
      </c>
    </row>
    <row r="41" spans="1:7" s="4" customFormat="1" ht="20.100000000000001" customHeight="1" thickBot="1" x14ac:dyDescent="0.3">
      <c r="A41" s="56"/>
      <c r="B41" s="25" t="s">
        <v>18</v>
      </c>
      <c r="C41" s="57">
        <f t="shared" si="10"/>
        <v>0</v>
      </c>
      <c r="D41" s="57">
        <f t="shared" si="10"/>
        <v>0</v>
      </c>
      <c r="E41" s="57">
        <f t="shared" si="10"/>
        <v>0</v>
      </c>
      <c r="F41" s="57">
        <f t="shared" si="10"/>
        <v>0</v>
      </c>
      <c r="G41" s="74">
        <f>SUM(C41:F41)</f>
        <v>0</v>
      </c>
    </row>
    <row r="42" spans="1:7" ht="20.100000000000001" customHeight="1" x14ac:dyDescent="0.25">
      <c r="A42" s="134" t="s">
        <v>9</v>
      </c>
      <c r="B42" s="28" t="s">
        <v>38</v>
      </c>
      <c r="C42" s="64">
        <f>SUM(C43:C58)</f>
        <v>106.26</v>
      </c>
      <c r="D42" s="64">
        <f>SUM(D43:D58)</f>
        <v>106.26</v>
      </c>
      <c r="E42" s="64">
        <f>SUM(E43:E58)</f>
        <v>106.26</v>
      </c>
      <c r="F42" s="64">
        <f>SUM(F43:F58)</f>
        <v>106.26</v>
      </c>
      <c r="G42" s="66">
        <f t="shared" ref="G42:G57" si="11">SUM(C42:F42)</f>
        <v>425.04</v>
      </c>
    </row>
    <row r="43" spans="1:7" ht="20.100000000000001" customHeight="1" x14ac:dyDescent="0.25">
      <c r="A43" s="58"/>
      <c r="B43" s="49" t="s">
        <v>43</v>
      </c>
      <c r="C43" s="42">
        <f>C24</f>
        <v>106.26</v>
      </c>
      <c r="D43" s="42">
        <f>D24</f>
        <v>106.26</v>
      </c>
      <c r="E43" s="42">
        <f>E24</f>
        <v>106.26</v>
      </c>
      <c r="F43" s="42">
        <f>F24</f>
        <v>106.26</v>
      </c>
      <c r="G43" s="74">
        <f t="shared" si="11"/>
        <v>425.04</v>
      </c>
    </row>
    <row r="44" spans="1:7" ht="20.100000000000001" customHeight="1" x14ac:dyDescent="0.25">
      <c r="A44" s="47"/>
      <c r="B44" s="49" t="s">
        <v>28</v>
      </c>
      <c r="C44" s="42"/>
      <c r="D44" s="42"/>
      <c r="E44" s="42"/>
      <c r="F44" s="42"/>
      <c r="G44" s="74">
        <f>SUM(C44:F44)</f>
        <v>0</v>
      </c>
    </row>
    <row r="45" spans="1:7" ht="20.100000000000001" customHeight="1" x14ac:dyDescent="0.25">
      <c r="A45" s="47"/>
      <c r="B45" s="49" t="s">
        <v>36</v>
      </c>
      <c r="C45" s="42"/>
      <c r="D45" s="42"/>
      <c r="E45" s="42"/>
      <c r="F45" s="42"/>
      <c r="G45" s="74">
        <f t="shared" si="11"/>
        <v>0</v>
      </c>
    </row>
    <row r="46" spans="1:7" ht="20.100000000000001" customHeight="1" x14ac:dyDescent="0.25">
      <c r="A46" s="47"/>
      <c r="B46" s="49" t="s">
        <v>34</v>
      </c>
      <c r="C46" s="42"/>
      <c r="D46" s="42"/>
      <c r="E46" s="42"/>
      <c r="F46" s="42"/>
      <c r="G46" s="74">
        <f t="shared" si="11"/>
        <v>0</v>
      </c>
    </row>
    <row r="47" spans="1:7" ht="20.100000000000001" customHeight="1" x14ac:dyDescent="0.25">
      <c r="A47" s="46"/>
      <c r="B47" s="49" t="s">
        <v>35</v>
      </c>
      <c r="C47" s="42"/>
      <c r="D47" s="42"/>
      <c r="E47" s="42"/>
      <c r="F47" s="42"/>
      <c r="G47" s="74">
        <f t="shared" si="11"/>
        <v>0</v>
      </c>
    </row>
    <row r="48" spans="1:7" ht="20.100000000000001" customHeight="1" x14ac:dyDescent="0.25">
      <c r="A48" s="58"/>
      <c r="B48" s="10" t="s">
        <v>59</v>
      </c>
      <c r="C48" s="42"/>
      <c r="D48" s="42"/>
      <c r="E48" s="42"/>
      <c r="F48" s="42"/>
      <c r="G48" s="74">
        <f t="shared" si="11"/>
        <v>0</v>
      </c>
    </row>
    <row r="49" spans="1:14" ht="39" customHeight="1" x14ac:dyDescent="0.25">
      <c r="A49" s="58"/>
      <c r="B49" s="49" t="s">
        <v>37</v>
      </c>
      <c r="C49" s="42"/>
      <c r="D49" s="42"/>
      <c r="E49" s="42"/>
      <c r="F49" s="42"/>
      <c r="G49" s="74">
        <f t="shared" si="11"/>
        <v>0</v>
      </c>
      <c r="H49" s="65"/>
    </row>
    <row r="50" spans="1:14" ht="20.100000000000001" customHeight="1" x14ac:dyDescent="0.25">
      <c r="A50" s="46"/>
      <c r="B50" s="49" t="s">
        <v>29</v>
      </c>
      <c r="C50" s="42"/>
      <c r="D50" s="42"/>
      <c r="E50" s="42"/>
      <c r="F50" s="42"/>
      <c r="G50" s="74">
        <f t="shared" si="11"/>
        <v>0</v>
      </c>
    </row>
    <row r="51" spans="1:14" s="4" customFormat="1" ht="20.100000000000001" customHeight="1" x14ac:dyDescent="0.25">
      <c r="A51" s="48"/>
      <c r="B51" s="49" t="s">
        <v>40</v>
      </c>
      <c r="C51" s="42"/>
      <c r="D51" s="42"/>
      <c r="E51" s="42"/>
      <c r="F51" s="42"/>
      <c r="G51" s="74">
        <f t="shared" si="11"/>
        <v>0</v>
      </c>
    </row>
    <row r="52" spans="1:14" ht="20.100000000000001" customHeight="1" x14ac:dyDescent="0.25">
      <c r="A52" s="59"/>
      <c r="B52" s="49" t="s">
        <v>41</v>
      </c>
      <c r="C52" s="68"/>
      <c r="D52" s="68"/>
      <c r="E52" s="68"/>
      <c r="F52" s="68"/>
      <c r="G52" s="75">
        <f t="shared" si="11"/>
        <v>0</v>
      </c>
      <c r="H52" s="4"/>
      <c r="I52" s="4"/>
      <c r="J52" s="4"/>
      <c r="K52" s="4"/>
      <c r="L52" s="4"/>
      <c r="M52" s="4"/>
      <c r="N52" s="4"/>
    </row>
    <row r="53" spans="1:14" ht="20.100000000000001" customHeight="1" x14ac:dyDescent="0.25">
      <c r="A53" s="61"/>
      <c r="B53" s="51" t="s">
        <v>44</v>
      </c>
      <c r="C53" s="42"/>
      <c r="D53" s="42"/>
      <c r="E53" s="42"/>
      <c r="F53" s="42"/>
      <c r="G53" s="74">
        <f t="shared" si="11"/>
        <v>0</v>
      </c>
    </row>
    <row r="54" spans="1:14" ht="20.100000000000001" customHeight="1" x14ac:dyDescent="0.25">
      <c r="A54" s="61"/>
      <c r="B54" s="49" t="s">
        <v>30</v>
      </c>
      <c r="C54" s="42"/>
      <c r="D54" s="42"/>
      <c r="E54" s="42"/>
      <c r="F54" s="42"/>
      <c r="G54" s="74">
        <f t="shared" si="11"/>
        <v>0</v>
      </c>
    </row>
    <row r="55" spans="1:14" ht="41.25" customHeight="1" x14ac:dyDescent="0.25">
      <c r="A55" s="61"/>
      <c r="B55" s="49" t="s">
        <v>31</v>
      </c>
      <c r="C55" s="42"/>
      <c r="D55" s="42"/>
      <c r="E55" s="42"/>
      <c r="F55" s="42"/>
      <c r="G55" s="74">
        <f t="shared" si="11"/>
        <v>0</v>
      </c>
    </row>
    <row r="56" spans="1:14" ht="39" customHeight="1" x14ac:dyDescent="0.25">
      <c r="A56" s="62"/>
      <c r="B56" s="81" t="s">
        <v>50</v>
      </c>
      <c r="C56" s="68"/>
      <c r="D56" s="68"/>
      <c r="E56" s="68"/>
      <c r="F56" s="68"/>
      <c r="G56" s="82">
        <f t="shared" si="11"/>
        <v>0</v>
      </c>
    </row>
    <row r="57" spans="1:14" ht="60" customHeight="1" x14ac:dyDescent="0.25">
      <c r="A57" s="60"/>
      <c r="B57" s="51" t="s">
        <v>53</v>
      </c>
      <c r="C57" s="68"/>
      <c r="D57" s="68"/>
      <c r="E57" s="68"/>
      <c r="F57" s="68"/>
      <c r="G57" s="82">
        <f t="shared" si="11"/>
        <v>0</v>
      </c>
    </row>
    <row r="58" spans="1:14" ht="20.100000000000001" customHeight="1" thickBot="1" x14ac:dyDescent="0.3">
      <c r="A58" s="63"/>
      <c r="B58" s="50" t="s">
        <v>32</v>
      </c>
      <c r="C58" s="57"/>
      <c r="D58" s="57"/>
      <c r="E58" s="57"/>
      <c r="F58" s="57"/>
      <c r="G58" s="76">
        <f>SUM(C58:F58)</f>
        <v>0</v>
      </c>
    </row>
    <row r="59" spans="1:14" ht="20.100000000000001" customHeight="1" outlineLevel="1" thickBot="1" x14ac:dyDescent="0.3">
      <c r="A59" s="229" t="s">
        <v>42</v>
      </c>
      <c r="B59" s="230"/>
      <c r="C59" s="38">
        <f>C31+C36+C39+C42</f>
        <v>488.59653737004118</v>
      </c>
      <c r="D59" s="38">
        <f>D31+D36+D39+D42</f>
        <v>488.59653737004118</v>
      </c>
      <c r="E59" s="38">
        <f>E31+E36+E39+E42</f>
        <v>488.59653737004118</v>
      </c>
      <c r="F59" s="38">
        <f>F31+F36+F39+F42</f>
        <v>488.59653737004118</v>
      </c>
      <c r="G59" s="39">
        <f>G31+G36+G39+G42</f>
        <v>1954.3861494801647</v>
      </c>
    </row>
    <row r="60" spans="1:14" ht="26.1" customHeight="1" outlineLevel="1" x14ac:dyDescent="0.25">
      <c r="A60" s="137"/>
      <c r="B60" s="72"/>
      <c r="C60" s="73">
        <f>C29-C59</f>
        <v>-382.33653737004119</v>
      </c>
      <c r="D60" s="73">
        <f>D29-D59</f>
        <v>-382.33653737004119</v>
      </c>
      <c r="E60" s="73">
        <f>E29-E59</f>
        <v>-382.33653737004119</v>
      </c>
      <c r="F60" s="73">
        <f>F29-F59</f>
        <v>-382.33653737004119</v>
      </c>
      <c r="G60" s="73">
        <f>G29-G59</f>
        <v>-1529.3461494801647</v>
      </c>
    </row>
    <row r="61" spans="1:14" ht="26.1" customHeight="1" outlineLevel="1" x14ac:dyDescent="0.25">
      <c r="A61" s="137"/>
      <c r="B61" s="72"/>
      <c r="C61" s="73"/>
      <c r="D61" s="73"/>
      <c r="E61" s="73"/>
      <c r="F61" s="73"/>
      <c r="G61" s="80" t="e">
        <f>G60/#REF!/12</f>
        <v>#REF!</v>
      </c>
    </row>
  </sheetData>
  <dataConsolidate/>
  <mergeCells count="19">
    <mergeCell ref="O8:S8"/>
    <mergeCell ref="U8:Y8"/>
    <mergeCell ref="Z10:Z12"/>
    <mergeCell ref="H28:AA28"/>
    <mergeCell ref="A1:C1"/>
    <mergeCell ref="A2:G2"/>
    <mergeCell ref="A3:G3"/>
    <mergeCell ref="A4:A6"/>
    <mergeCell ref="B4:B6"/>
    <mergeCell ref="C5:C6"/>
    <mergeCell ref="D5:D6"/>
    <mergeCell ref="E5:E6"/>
    <mergeCell ref="F5:F6"/>
    <mergeCell ref="G5:G6"/>
    <mergeCell ref="A29:B29"/>
    <mergeCell ref="A30:B30"/>
    <mergeCell ref="A59:B59"/>
    <mergeCell ref="A8:B8"/>
    <mergeCell ref="I8:M8"/>
  </mergeCells>
  <pageMargins left="0.70866141732283472" right="0.70866141732283472" top="0.74803149606299213" bottom="0.74803149606299213" header="0.31496062992125984" footer="0.31496062992125984"/>
  <pageSetup paperSize="9" scale="4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9</vt:i4>
      </vt:variant>
    </vt:vector>
  </HeadingPairs>
  <TitlesOfParts>
    <vt:vector size="20" baseType="lpstr">
      <vt:lpstr>ПИРС-2</vt:lpstr>
      <vt:lpstr>мр1</vt:lpstr>
      <vt:lpstr>мр1-1</vt:lpstr>
      <vt:lpstr>мр1-2</vt:lpstr>
      <vt:lpstr>мр2</vt:lpstr>
      <vt:lpstr>мр3</vt:lpstr>
      <vt:lpstr>мр4</vt:lpstr>
      <vt:lpstr>мр5</vt:lpstr>
      <vt:lpstr>мр1-3</vt:lpstr>
      <vt:lpstr>Лист15</vt:lpstr>
      <vt:lpstr>материалы и работы</vt:lpstr>
      <vt:lpstr>мр1!Область_печати</vt:lpstr>
      <vt:lpstr>'мр1-1'!Область_печати</vt:lpstr>
      <vt:lpstr>'мр1-2'!Область_печати</vt:lpstr>
      <vt:lpstr>'мр1-3'!Область_печати</vt:lpstr>
      <vt:lpstr>мр2!Область_печати</vt:lpstr>
      <vt:lpstr>мр3!Область_печати</vt:lpstr>
      <vt:lpstr>мр4!Область_печати</vt:lpstr>
      <vt:lpstr>мр5!Область_печати</vt:lpstr>
      <vt:lpstr>'ПИРС-2'!Область_печати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2021-03-12T12:15:58Z</dcterms:modified>
</cp:coreProperties>
</file>