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FF319D13-E281-47A2-895A-2E19FCF09BCC}" xr6:coauthVersionLast="47" xr6:coauthVersionMax="47" xr10:uidLastSave="{00000000-0000-0000-0000-000000000000}"/>
  <bookViews>
    <workbookView xWindow="-120" yWindow="-120" windowWidth="20730" windowHeight="11160" tabRatio="838" xr2:uid="{00000000-000D-0000-FFFF-FFFF00000000}"/>
  </bookViews>
  <sheets>
    <sheet name="ПИРС-1" sheetId="4" r:id="rId1"/>
    <sheet name="ПИРС-1 1 кв 2023" sheetId="81" r:id="rId2"/>
    <sheet name="тх2" sheetId="47" r:id="rId3"/>
    <sheet name="тх4" sheetId="61" r:id="rId4"/>
    <sheet name="тх6" sheetId="62" r:id="rId5"/>
    <sheet name="КТ" sheetId="63" r:id="rId6"/>
    <sheet name="УВ1" sheetId="64" r:id="rId7"/>
    <sheet name="УВ3" sheetId="65" r:id="rId8"/>
    <sheet name="УВ5" sheetId="66" r:id="rId9"/>
    <sheet name="УВ7" sheetId="67" r:id="rId10"/>
    <sheet name="УВ9" sheetId="68" r:id="rId11"/>
    <sheet name="УВ11" sheetId="70" r:id="rId12"/>
    <sheet name="УВ13" sheetId="69" r:id="rId13"/>
    <sheet name="УВ15" sheetId="71" r:id="rId14"/>
    <sheet name="УВ17" sheetId="72" r:id="rId15"/>
    <sheet name="УВ19" sheetId="73" r:id="rId16"/>
    <sheet name="УВ21" sheetId="74" r:id="rId17"/>
    <sheet name="Площадь" sheetId="75" r:id="rId18"/>
    <sheet name="материалы, информ. от инженера" sheetId="77" r:id="rId19"/>
    <sheet name="ШНО" sheetId="80" r:id="rId20"/>
    <sheet name="МОП, лифт доход" sheetId="78" r:id="rId21"/>
    <sheet name="МОП, ЛИФТ РАСХОД" sheetId="79" r:id="rId22"/>
    <sheet name="Лист1" sheetId="82" r:id="rId23"/>
  </sheets>
  <externalReferences>
    <externalReference r:id="rId24"/>
  </externalReferences>
  <definedNames>
    <definedName name="_xlnm.Print_Area" localSheetId="5">КТ!$A$1:$G$65</definedName>
    <definedName name="_xlnm.Print_Area" localSheetId="0">'ПИРС-1'!$A$1:$G$81</definedName>
    <definedName name="_xlnm.Print_Area" localSheetId="1">'ПИРС-1 1 кв 2023'!$A$1:$D$81</definedName>
    <definedName name="_xlnm.Print_Area" localSheetId="2">тх2!$A$1:$G$66</definedName>
    <definedName name="_xlnm.Print_Area" localSheetId="3">тх4!$A$1:$G$65</definedName>
    <definedName name="_xlnm.Print_Area" localSheetId="4">тх6!$A$1:$G$65</definedName>
    <definedName name="_xlnm.Print_Area" localSheetId="6">УВ1!$A$1:$G$80</definedName>
    <definedName name="_xlnm.Print_Area" localSheetId="11">УВ11!$A$1:$G$80</definedName>
    <definedName name="_xlnm.Print_Area" localSheetId="12">УВ13!$A$1:$G$80</definedName>
    <definedName name="_xlnm.Print_Area" localSheetId="13">УВ15!$A$1:$G$80</definedName>
    <definedName name="_xlnm.Print_Area" localSheetId="14">УВ17!$A$1:$G$80</definedName>
    <definedName name="_xlnm.Print_Area" localSheetId="15">УВ19!$A$1:$G$80</definedName>
    <definedName name="_xlnm.Print_Area" localSheetId="16">УВ21!$A$1:$G$80</definedName>
    <definedName name="_xlnm.Print_Area" localSheetId="7">УВ3!$A$1:$G$80</definedName>
    <definedName name="_xlnm.Print_Area" localSheetId="8">УВ5!$A$1:$G$80</definedName>
    <definedName name="_xlnm.Print_Area" localSheetId="9">УВ7!$A$1:$G$80</definedName>
    <definedName name="_xlnm.Print_Area" localSheetId="10">УВ9!$A$1:$G$80</definedName>
    <definedName name="чел" localSheetId="5">КТ!#REF!</definedName>
    <definedName name="чел" localSheetId="0">'ПИРС-1'!#REF!</definedName>
    <definedName name="чел" localSheetId="1">'ПИРС-1 1 кв 2023'!#REF!</definedName>
    <definedName name="чел" localSheetId="2">тх2!#REF!</definedName>
    <definedName name="чел" localSheetId="3">тх4!#REF!</definedName>
    <definedName name="чел" localSheetId="4">тх6!#REF!</definedName>
    <definedName name="чел" localSheetId="6">УВ1!#REF!</definedName>
    <definedName name="чел" localSheetId="11">УВ11!#REF!</definedName>
    <definedName name="чел" localSheetId="12">УВ13!#REF!</definedName>
    <definedName name="чел" localSheetId="13">УВ15!#REF!</definedName>
    <definedName name="чел" localSheetId="14">УВ17!#REF!</definedName>
    <definedName name="чел" localSheetId="15">УВ19!#REF!</definedName>
    <definedName name="чел" localSheetId="16">УВ21!#REF!</definedName>
    <definedName name="чел" localSheetId="7">УВ3!#REF!</definedName>
    <definedName name="чел" localSheetId="8">УВ5!#REF!</definedName>
    <definedName name="чел" localSheetId="9">УВ7!#REF!</definedName>
    <definedName name="чел" localSheetId="10">УВ9!#REF!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81" l="1"/>
  <c r="G50" i="4"/>
  <c r="C16" i="81"/>
  <c r="F14" i="80"/>
  <c r="F13" i="80"/>
  <c r="E14" i="80"/>
  <c r="E13" i="80"/>
  <c r="D14" i="80"/>
  <c r="D13" i="80"/>
  <c r="C14" i="80"/>
  <c r="C13" i="80"/>
  <c r="L8" i="80"/>
  <c r="I8" i="80"/>
  <c r="F8" i="80"/>
  <c r="C8" i="80"/>
  <c r="N6" i="80"/>
  <c r="M6" i="80"/>
  <c r="L6" i="80"/>
  <c r="K6" i="80"/>
  <c r="J6" i="80"/>
  <c r="I6" i="80"/>
  <c r="H6" i="80"/>
  <c r="G6" i="80"/>
  <c r="F6" i="80"/>
  <c r="E6" i="80"/>
  <c r="D6" i="80"/>
  <c r="C6" i="80"/>
  <c r="G45" i="4" l="1"/>
  <c r="C48" i="4"/>
  <c r="C5" i="82" l="1"/>
  <c r="C4" i="82"/>
  <c r="A4" i="82"/>
  <c r="C48" i="81"/>
  <c r="D72" i="81" l="1"/>
  <c r="C72" i="81"/>
  <c r="C41" i="81"/>
  <c r="C40" i="81"/>
  <c r="D18" i="81"/>
  <c r="C15" i="81"/>
  <c r="C14" i="81"/>
  <c r="C12" i="81"/>
  <c r="C11" i="81"/>
  <c r="C10" i="81"/>
  <c r="C9" i="81"/>
  <c r="C62" i="81"/>
  <c r="C60" i="81"/>
  <c r="E47" i="81"/>
  <c r="C47" i="81"/>
  <c r="C43" i="81"/>
  <c r="C42" i="81"/>
  <c r="E21" i="81"/>
  <c r="C20" i="81"/>
  <c r="C17" i="81"/>
  <c r="C35" i="81"/>
  <c r="E8" i="81"/>
  <c r="E5" i="81"/>
  <c r="E4" i="81"/>
  <c r="L3" i="81"/>
  <c r="E3" i="81"/>
  <c r="L2" i="81"/>
  <c r="E2" i="81"/>
  <c r="L1" i="81"/>
  <c r="E1" i="81"/>
  <c r="D1" i="81" s="1"/>
  <c r="C39" i="81" l="1"/>
  <c r="C8" i="81"/>
  <c r="C87" i="81"/>
  <c r="C85" i="81"/>
  <c r="C86" i="81" s="1"/>
  <c r="C83" i="81"/>
  <c r="C13" i="81"/>
  <c r="C36" i="81"/>
  <c r="C23" i="81"/>
  <c r="C32" i="81" l="1"/>
  <c r="C84" i="81"/>
  <c r="C88" i="81" s="1"/>
  <c r="C52" i="81" s="1"/>
  <c r="C46" i="81" s="1"/>
  <c r="C34" i="81"/>
  <c r="C66" i="81" l="1"/>
  <c r="C67" i="81" s="1"/>
  <c r="F12" i="4" l="1"/>
  <c r="E12" i="4"/>
  <c r="D12" i="4"/>
  <c r="C12" i="4"/>
  <c r="U14" i="74"/>
  <c r="O14" i="74"/>
  <c r="I14" i="74"/>
  <c r="U14" i="73"/>
  <c r="O14" i="73"/>
  <c r="I14" i="73"/>
  <c r="U14" i="72"/>
  <c r="O14" i="72"/>
  <c r="I14" i="72"/>
  <c r="U14" i="71"/>
  <c r="O14" i="71"/>
  <c r="I14" i="71"/>
  <c r="U14" i="69"/>
  <c r="O14" i="69"/>
  <c r="I14" i="69"/>
  <c r="U14" i="70"/>
  <c r="O14" i="70"/>
  <c r="I14" i="70"/>
  <c r="U14" i="68"/>
  <c r="O14" i="68"/>
  <c r="I14" i="68"/>
  <c r="U14" i="67"/>
  <c r="O14" i="67"/>
  <c r="I14" i="67"/>
  <c r="U14" i="66"/>
  <c r="O14" i="66"/>
  <c r="I14" i="66"/>
  <c r="U14" i="65"/>
  <c r="O14" i="65"/>
  <c r="I14" i="65"/>
  <c r="I15" i="65"/>
  <c r="U14" i="64"/>
  <c r="O14" i="64"/>
  <c r="I14" i="64"/>
  <c r="I61" i="4"/>
  <c r="I47" i="4" l="1"/>
  <c r="I8" i="4"/>
  <c r="I5" i="4"/>
  <c r="F51" i="74"/>
  <c r="E51" i="74"/>
  <c r="D51" i="74"/>
  <c r="C51" i="74"/>
  <c r="F51" i="73"/>
  <c r="E51" i="73"/>
  <c r="D51" i="73"/>
  <c r="C51" i="73"/>
  <c r="F51" i="72"/>
  <c r="E51" i="72"/>
  <c r="D51" i="72"/>
  <c r="C51" i="72"/>
  <c r="F51" i="71"/>
  <c r="E51" i="71"/>
  <c r="D51" i="71"/>
  <c r="C51" i="71"/>
  <c r="F51" i="69"/>
  <c r="E51" i="69"/>
  <c r="D51" i="69"/>
  <c r="C51" i="69"/>
  <c r="F51" i="70"/>
  <c r="E51" i="70"/>
  <c r="D51" i="70"/>
  <c r="C51" i="70"/>
  <c r="F51" i="68"/>
  <c r="E51" i="68"/>
  <c r="D51" i="68"/>
  <c r="C51" i="68"/>
  <c r="F51" i="67"/>
  <c r="E51" i="67"/>
  <c r="D51" i="67"/>
  <c r="C51" i="67"/>
  <c r="F51" i="66"/>
  <c r="E51" i="66"/>
  <c r="D51" i="66"/>
  <c r="C51" i="66"/>
  <c r="F51" i="65"/>
  <c r="E51" i="65"/>
  <c r="D51" i="65"/>
  <c r="C51" i="65"/>
  <c r="F51" i="64"/>
  <c r="E51" i="64"/>
  <c r="D51" i="64"/>
  <c r="C51" i="64"/>
  <c r="F51" i="63"/>
  <c r="E51" i="63"/>
  <c r="D51" i="63"/>
  <c r="C51" i="63"/>
  <c r="F51" i="62"/>
  <c r="E51" i="62"/>
  <c r="D51" i="62"/>
  <c r="C51" i="62"/>
  <c r="F51" i="61"/>
  <c r="E51" i="61"/>
  <c r="D51" i="61"/>
  <c r="C51" i="61"/>
  <c r="F51" i="47"/>
  <c r="E51" i="47"/>
  <c r="D51" i="47"/>
  <c r="C51" i="47"/>
  <c r="F64" i="4"/>
  <c r="E64" i="4"/>
  <c r="D64" i="4"/>
  <c r="C64" i="4"/>
  <c r="G40" i="4"/>
  <c r="M54" i="79"/>
  <c r="L54" i="79"/>
  <c r="K54" i="79"/>
  <c r="J54" i="79"/>
  <c r="I54" i="79"/>
  <c r="H54" i="79"/>
  <c r="G54" i="79"/>
  <c r="F54" i="79"/>
  <c r="E54" i="79"/>
  <c r="D54" i="79"/>
  <c r="C54" i="79"/>
  <c r="B54" i="79"/>
  <c r="N54" i="79" s="1"/>
  <c r="E52" i="79"/>
  <c r="D52" i="79"/>
  <c r="C52" i="79"/>
  <c r="B52" i="79"/>
  <c r="N52" i="79" s="1"/>
  <c r="M49" i="79"/>
  <c r="L49" i="79"/>
  <c r="K49" i="79"/>
  <c r="J49" i="79"/>
  <c r="I49" i="79"/>
  <c r="H49" i="79"/>
  <c r="G49" i="79"/>
  <c r="F49" i="79"/>
  <c r="E49" i="79"/>
  <c r="D49" i="79"/>
  <c r="C49" i="79"/>
  <c r="B49" i="79"/>
  <c r="N49" i="79" s="1"/>
  <c r="M47" i="79"/>
  <c r="L47" i="79"/>
  <c r="K47" i="79"/>
  <c r="J47" i="79"/>
  <c r="I47" i="79"/>
  <c r="H47" i="79"/>
  <c r="G47" i="79"/>
  <c r="F47" i="79"/>
  <c r="E47" i="79"/>
  <c r="D47" i="79"/>
  <c r="C47" i="79"/>
  <c r="B47" i="79"/>
  <c r="N47" i="79" s="1"/>
  <c r="M44" i="79"/>
  <c r="L44" i="79"/>
  <c r="K44" i="79"/>
  <c r="J44" i="79"/>
  <c r="I44" i="79"/>
  <c r="H44" i="79"/>
  <c r="G44" i="79"/>
  <c r="F44" i="79"/>
  <c r="E44" i="79"/>
  <c r="D44" i="79"/>
  <c r="C44" i="79"/>
  <c r="B44" i="79"/>
  <c r="N44" i="79" s="1"/>
  <c r="M42" i="79"/>
  <c r="L42" i="79"/>
  <c r="K42" i="79"/>
  <c r="J42" i="79"/>
  <c r="I42" i="79"/>
  <c r="H42" i="79"/>
  <c r="G42" i="79"/>
  <c r="F42" i="79"/>
  <c r="E42" i="79"/>
  <c r="D42" i="79"/>
  <c r="C42" i="79"/>
  <c r="B42" i="79"/>
  <c r="N42" i="79" s="1"/>
  <c r="M39" i="79"/>
  <c r="L39" i="79"/>
  <c r="K39" i="79"/>
  <c r="J39" i="79"/>
  <c r="I39" i="79"/>
  <c r="H39" i="79"/>
  <c r="G39" i="79"/>
  <c r="F39" i="79"/>
  <c r="E39" i="79"/>
  <c r="D39" i="79"/>
  <c r="C39" i="79"/>
  <c r="B39" i="79"/>
  <c r="N39" i="79" s="1"/>
  <c r="M37" i="79"/>
  <c r="L37" i="79"/>
  <c r="K37" i="79"/>
  <c r="J37" i="79"/>
  <c r="I37" i="79"/>
  <c r="H37" i="79"/>
  <c r="G37" i="79"/>
  <c r="F37" i="79"/>
  <c r="E37" i="79"/>
  <c r="D37" i="79"/>
  <c r="C37" i="79"/>
  <c r="B37" i="79"/>
  <c r="N37" i="79" s="1"/>
  <c r="M34" i="79"/>
  <c r="L34" i="79"/>
  <c r="K34" i="79"/>
  <c r="J34" i="79"/>
  <c r="I34" i="79"/>
  <c r="H34" i="79"/>
  <c r="G34" i="79"/>
  <c r="F34" i="79"/>
  <c r="E34" i="79"/>
  <c r="D34" i="79"/>
  <c r="C34" i="79"/>
  <c r="B34" i="79"/>
  <c r="N34" i="79" s="1"/>
  <c r="M32" i="79"/>
  <c r="L32" i="79"/>
  <c r="K32" i="79"/>
  <c r="J32" i="79"/>
  <c r="I32" i="79"/>
  <c r="H32" i="79"/>
  <c r="G32" i="79"/>
  <c r="F32" i="79"/>
  <c r="E32" i="79"/>
  <c r="D32" i="79"/>
  <c r="C32" i="79"/>
  <c r="B32" i="79"/>
  <c r="N32" i="79" s="1"/>
  <c r="M29" i="79"/>
  <c r="L29" i="79"/>
  <c r="K29" i="79"/>
  <c r="J29" i="79"/>
  <c r="I29" i="79"/>
  <c r="H29" i="79"/>
  <c r="G29" i="79"/>
  <c r="F29" i="79"/>
  <c r="E29" i="79"/>
  <c r="D29" i="79"/>
  <c r="C29" i="79"/>
  <c r="B29" i="79"/>
  <c r="N29" i="79" s="1"/>
  <c r="M27" i="79"/>
  <c r="L27" i="79"/>
  <c r="K27" i="79"/>
  <c r="J27" i="79"/>
  <c r="I27" i="79"/>
  <c r="H27" i="79"/>
  <c r="G27" i="79"/>
  <c r="F27" i="79"/>
  <c r="E27" i="79"/>
  <c r="D27" i="79"/>
  <c r="C27" i="79"/>
  <c r="B27" i="79"/>
  <c r="N27" i="79" s="1"/>
  <c r="M24" i="79"/>
  <c r="L24" i="79"/>
  <c r="K24" i="79"/>
  <c r="J24" i="79"/>
  <c r="I24" i="79"/>
  <c r="H24" i="79"/>
  <c r="G24" i="79"/>
  <c r="F24" i="79"/>
  <c r="E24" i="79"/>
  <c r="D24" i="79"/>
  <c r="C24" i="79"/>
  <c r="B24" i="79"/>
  <c r="N24" i="79" s="1"/>
  <c r="M22" i="79"/>
  <c r="L22" i="79"/>
  <c r="K22" i="79"/>
  <c r="J22" i="79"/>
  <c r="I22" i="79"/>
  <c r="H22" i="79"/>
  <c r="G22" i="79"/>
  <c r="F22" i="79"/>
  <c r="E22" i="79"/>
  <c r="D22" i="79"/>
  <c r="C22" i="79"/>
  <c r="B22" i="79"/>
  <c r="N22" i="79" s="1"/>
  <c r="M19" i="79"/>
  <c r="L19" i="79"/>
  <c r="K19" i="79"/>
  <c r="J19" i="79"/>
  <c r="I19" i="79"/>
  <c r="H19" i="79"/>
  <c r="G19" i="79"/>
  <c r="F19" i="79"/>
  <c r="E19" i="79"/>
  <c r="D19" i="79"/>
  <c r="C19" i="79"/>
  <c r="B19" i="79"/>
  <c r="N19" i="79" s="1"/>
  <c r="M17" i="79"/>
  <c r="L17" i="79"/>
  <c r="K17" i="79"/>
  <c r="J17" i="79"/>
  <c r="I17" i="79"/>
  <c r="H17" i="79"/>
  <c r="G17" i="79"/>
  <c r="F17" i="79"/>
  <c r="E17" i="79"/>
  <c r="D17" i="79"/>
  <c r="C17" i="79"/>
  <c r="B17" i="79"/>
  <c r="N17" i="79" s="1"/>
  <c r="M14" i="79"/>
  <c r="L14" i="79"/>
  <c r="K14" i="79"/>
  <c r="J14" i="79"/>
  <c r="I14" i="79"/>
  <c r="H14" i="79"/>
  <c r="G14" i="79"/>
  <c r="F14" i="79"/>
  <c r="E14" i="79"/>
  <c r="D14" i="79"/>
  <c r="C14" i="79"/>
  <c r="B14" i="79"/>
  <c r="N14" i="79" s="1"/>
  <c r="M12" i="79"/>
  <c r="L12" i="79"/>
  <c r="K12" i="79"/>
  <c r="J12" i="79"/>
  <c r="I12" i="79"/>
  <c r="H12" i="79"/>
  <c r="G12" i="79"/>
  <c r="F12" i="79"/>
  <c r="E12" i="79"/>
  <c r="D12" i="79"/>
  <c r="C12" i="79"/>
  <c r="B12" i="79"/>
  <c r="N12" i="79" s="1"/>
  <c r="M9" i="79"/>
  <c r="L9" i="79"/>
  <c r="K9" i="79"/>
  <c r="J9" i="79"/>
  <c r="I9" i="79"/>
  <c r="H9" i="79"/>
  <c r="G9" i="79"/>
  <c r="F9" i="79"/>
  <c r="E9" i="79"/>
  <c r="D9" i="79"/>
  <c r="C9" i="79"/>
  <c r="B9" i="79"/>
  <c r="N9" i="79" s="1"/>
  <c r="M7" i="79"/>
  <c r="L7" i="79"/>
  <c r="K7" i="79"/>
  <c r="J7" i="79"/>
  <c r="I7" i="79"/>
  <c r="H7" i="79"/>
  <c r="G7" i="79"/>
  <c r="F7" i="79"/>
  <c r="E7" i="79"/>
  <c r="D7" i="79"/>
  <c r="C7" i="79"/>
  <c r="B7" i="79"/>
  <c r="N7" i="79" s="1"/>
  <c r="M4" i="79"/>
  <c r="M59" i="79" s="1"/>
  <c r="L4" i="79"/>
  <c r="L59" i="79" s="1"/>
  <c r="K4" i="79"/>
  <c r="K59" i="79" s="1"/>
  <c r="J4" i="79"/>
  <c r="J59" i="79" s="1"/>
  <c r="I4" i="79"/>
  <c r="I59" i="79" s="1"/>
  <c r="H4" i="79"/>
  <c r="H59" i="79" s="1"/>
  <c r="H62" i="79" s="1"/>
  <c r="H65" i="79" s="1"/>
  <c r="G4" i="79"/>
  <c r="G59" i="79" s="1"/>
  <c r="F4" i="79"/>
  <c r="F59" i="79" s="1"/>
  <c r="E4" i="79"/>
  <c r="E59" i="79" s="1"/>
  <c r="D4" i="79"/>
  <c r="D59" i="79" s="1"/>
  <c r="C4" i="79"/>
  <c r="C59" i="79" s="1"/>
  <c r="B4" i="79"/>
  <c r="B59" i="79" s="1"/>
  <c r="M2" i="79"/>
  <c r="M57" i="79" s="1"/>
  <c r="L2" i="79"/>
  <c r="L57" i="79" s="1"/>
  <c r="K2" i="79"/>
  <c r="K57" i="79" s="1"/>
  <c r="J2" i="79"/>
  <c r="J57" i="79" s="1"/>
  <c r="I2" i="79"/>
  <c r="I57" i="79" s="1"/>
  <c r="H2" i="79"/>
  <c r="H57" i="79" s="1"/>
  <c r="H61" i="79" s="1"/>
  <c r="H64" i="79" s="1"/>
  <c r="G2" i="79"/>
  <c r="G57" i="79" s="1"/>
  <c r="F2" i="79"/>
  <c r="F57" i="79" s="1"/>
  <c r="E2" i="79"/>
  <c r="E57" i="79" s="1"/>
  <c r="D2" i="79"/>
  <c r="D57" i="79" s="1"/>
  <c r="C2" i="79"/>
  <c r="C57" i="79" s="1"/>
  <c r="B2" i="79"/>
  <c r="B57" i="79" s="1"/>
  <c r="G61" i="4"/>
  <c r="M32" i="78"/>
  <c r="M31" i="78"/>
  <c r="N31" i="78" s="1"/>
  <c r="M30" i="78"/>
  <c r="M29" i="78"/>
  <c r="N29" i="78" s="1"/>
  <c r="M28" i="78"/>
  <c r="M27" i="78"/>
  <c r="N27" i="78" s="1"/>
  <c r="M26" i="78"/>
  <c r="M25" i="78"/>
  <c r="N25" i="78" s="1"/>
  <c r="M24" i="78"/>
  <c r="M23" i="78"/>
  <c r="N23" i="78" s="1"/>
  <c r="N33" i="78" s="1"/>
  <c r="F15" i="4" s="1"/>
  <c r="M22" i="78"/>
  <c r="D32" i="78"/>
  <c r="D31" i="78"/>
  <c r="E31" i="78" s="1"/>
  <c r="D30" i="78"/>
  <c r="D29" i="78"/>
  <c r="E29" i="78" s="1"/>
  <c r="D28" i="78"/>
  <c r="D27" i="78"/>
  <c r="E27" i="78" s="1"/>
  <c r="D26" i="78"/>
  <c r="D25" i="78"/>
  <c r="E25" i="78" s="1"/>
  <c r="D24" i="78"/>
  <c r="D23" i="78"/>
  <c r="E23" i="78" s="1"/>
  <c r="E33" i="78" s="1"/>
  <c r="C15" i="4" s="1"/>
  <c r="D22" i="78"/>
  <c r="E15" i="4"/>
  <c r="D15" i="4"/>
  <c r="N46" i="78"/>
  <c r="K46" i="78"/>
  <c r="H46" i="78"/>
  <c r="E46" i="78"/>
  <c r="K33" i="78"/>
  <c r="H33" i="78"/>
  <c r="N32" i="78"/>
  <c r="N30" i="78"/>
  <c r="N28" i="78"/>
  <c r="N26" i="78"/>
  <c r="N24" i="78"/>
  <c r="N22" i="78"/>
  <c r="J32" i="78"/>
  <c r="K32" i="78" s="1"/>
  <c r="J31" i="78"/>
  <c r="K31" i="78" s="1"/>
  <c r="J30" i="78"/>
  <c r="K30" i="78" s="1"/>
  <c r="J29" i="78"/>
  <c r="K29" i="78" s="1"/>
  <c r="J28" i="78"/>
  <c r="K28" i="78" s="1"/>
  <c r="J27" i="78"/>
  <c r="K27" i="78" s="1"/>
  <c r="J26" i="78"/>
  <c r="K26" i="78" s="1"/>
  <c r="J25" i="78"/>
  <c r="K25" i="78" s="1"/>
  <c r="J24" i="78"/>
  <c r="K24" i="78" s="1"/>
  <c r="J23" i="78"/>
  <c r="K23" i="78" s="1"/>
  <c r="J22" i="78"/>
  <c r="K22" i="78" s="1"/>
  <c r="M45" i="78"/>
  <c r="M44" i="78"/>
  <c r="N44" i="78" s="1"/>
  <c r="M43" i="78"/>
  <c r="M42" i="78"/>
  <c r="N42" i="78" s="1"/>
  <c r="M41" i="78"/>
  <c r="M40" i="78"/>
  <c r="N40" i="78" s="1"/>
  <c r="M39" i="78"/>
  <c r="M38" i="78"/>
  <c r="N38" i="78" s="1"/>
  <c r="M37" i="78"/>
  <c r="M36" i="78"/>
  <c r="N36" i="78" s="1"/>
  <c r="M35" i="78"/>
  <c r="N35" i="78" s="1"/>
  <c r="D45" i="78"/>
  <c r="D44" i="78"/>
  <c r="D43" i="78"/>
  <c r="D42" i="78"/>
  <c r="D41" i="78"/>
  <c r="D40" i="78"/>
  <c r="D39" i="78"/>
  <c r="D38" i="78"/>
  <c r="D37" i="78"/>
  <c r="D36" i="78"/>
  <c r="D35" i="78"/>
  <c r="N45" i="78"/>
  <c r="N43" i="78"/>
  <c r="N41" i="78"/>
  <c r="N39" i="78"/>
  <c r="N37" i="78"/>
  <c r="K44" i="78"/>
  <c r="K42" i="78"/>
  <c r="K40" i="78"/>
  <c r="K38" i="78"/>
  <c r="K36" i="78"/>
  <c r="J45" i="78"/>
  <c r="K45" i="78" s="1"/>
  <c r="J44" i="78"/>
  <c r="J43" i="78"/>
  <c r="K43" i="78" s="1"/>
  <c r="J42" i="78"/>
  <c r="J41" i="78"/>
  <c r="K41" i="78" s="1"/>
  <c r="J40" i="78"/>
  <c r="J39" i="78"/>
  <c r="K39" i="78" s="1"/>
  <c r="J38" i="78"/>
  <c r="J37" i="78"/>
  <c r="K37" i="78" s="1"/>
  <c r="J36" i="78"/>
  <c r="J35" i="78"/>
  <c r="K35" i="78" s="1"/>
  <c r="H44" i="78"/>
  <c r="H42" i="78"/>
  <c r="H40" i="78"/>
  <c r="H38" i="78"/>
  <c r="H36" i="78"/>
  <c r="G45" i="78"/>
  <c r="H45" i="78" s="1"/>
  <c r="G44" i="78"/>
  <c r="G43" i="78"/>
  <c r="H43" i="78" s="1"/>
  <c r="G42" i="78"/>
  <c r="G41" i="78"/>
  <c r="H41" i="78" s="1"/>
  <c r="G40" i="78"/>
  <c r="G39" i="78"/>
  <c r="H39" i="78" s="1"/>
  <c r="G38" i="78"/>
  <c r="G37" i="78"/>
  <c r="H37" i="78" s="1"/>
  <c r="G36" i="78"/>
  <c r="G35" i="78"/>
  <c r="H35" i="78" s="1"/>
  <c r="H31" i="78"/>
  <c r="H29" i="78"/>
  <c r="H27" i="78"/>
  <c r="H25" i="78"/>
  <c r="H23" i="78"/>
  <c r="G32" i="78"/>
  <c r="H32" i="78" s="1"/>
  <c r="G31" i="78"/>
  <c r="G30" i="78"/>
  <c r="H30" i="78" s="1"/>
  <c r="G29" i="78"/>
  <c r="G28" i="78"/>
  <c r="H28" i="78" s="1"/>
  <c r="G27" i="78"/>
  <c r="G26" i="78"/>
  <c r="H26" i="78" s="1"/>
  <c r="G25" i="78"/>
  <c r="G24" i="78"/>
  <c r="H24" i="78" s="1"/>
  <c r="G23" i="78"/>
  <c r="G22" i="78"/>
  <c r="H22" i="78" s="1"/>
  <c r="E45" i="78"/>
  <c r="E44" i="78"/>
  <c r="E43" i="78"/>
  <c r="E42" i="78"/>
  <c r="E41" i="78"/>
  <c r="E40" i="78"/>
  <c r="E39" i="78"/>
  <c r="E38" i="78"/>
  <c r="E37" i="78"/>
  <c r="E36" i="78"/>
  <c r="E35" i="78"/>
  <c r="E32" i="78"/>
  <c r="E30" i="78"/>
  <c r="E28" i="78"/>
  <c r="E26" i="78"/>
  <c r="E24" i="78"/>
  <c r="E22" i="78"/>
  <c r="B61" i="79" l="1"/>
  <c r="B64" i="79" s="1"/>
  <c r="N57" i="79"/>
  <c r="N59" i="79"/>
  <c r="B62" i="79"/>
  <c r="B65" i="79" s="1"/>
  <c r="E61" i="79"/>
  <c r="E64" i="79" s="1"/>
  <c r="K61" i="79"/>
  <c r="K64" i="79" s="1"/>
  <c r="E62" i="79"/>
  <c r="E65" i="79" s="1"/>
  <c r="K62" i="79"/>
  <c r="K65" i="79" s="1"/>
  <c r="N2" i="79"/>
  <c r="N4" i="79"/>
  <c r="F42" i="4" l="1"/>
  <c r="E42" i="4"/>
  <c r="D42" i="4"/>
  <c r="C42" i="4"/>
  <c r="G27" i="4" l="1"/>
  <c r="H30" i="77"/>
  <c r="C62" i="4" l="1"/>
  <c r="F47" i="4"/>
  <c r="E47" i="4"/>
  <c r="D47" i="4"/>
  <c r="C47" i="4"/>
  <c r="F43" i="73"/>
  <c r="E43" i="73"/>
  <c r="D43" i="73"/>
  <c r="C43" i="73"/>
  <c r="F43" i="69"/>
  <c r="E43" i="69"/>
  <c r="D43" i="69"/>
  <c r="C43" i="69"/>
  <c r="F43" i="68"/>
  <c r="E43" i="68"/>
  <c r="D43" i="68"/>
  <c r="C43" i="68"/>
  <c r="F43" i="66"/>
  <c r="E43" i="66"/>
  <c r="D43" i="66"/>
  <c r="C43" i="66"/>
  <c r="F43" i="65"/>
  <c r="E43" i="65"/>
  <c r="D43" i="65"/>
  <c r="C43" i="65"/>
  <c r="F43" i="63"/>
  <c r="E43" i="63"/>
  <c r="D43" i="63"/>
  <c r="C43" i="63"/>
  <c r="F43" i="62"/>
  <c r="E43" i="62"/>
  <c r="D43" i="62"/>
  <c r="C43" i="62"/>
  <c r="F43" i="61"/>
  <c r="E43" i="61"/>
  <c r="D43" i="61"/>
  <c r="C43" i="61"/>
  <c r="F43" i="47"/>
  <c r="E43" i="47"/>
  <c r="D43" i="47"/>
  <c r="C43" i="47"/>
  <c r="I24" i="74"/>
  <c r="I24" i="73"/>
  <c r="I24" i="72"/>
  <c r="I24" i="71"/>
  <c r="I24" i="69"/>
  <c r="I24" i="70"/>
  <c r="I24" i="68"/>
  <c r="I24" i="67"/>
  <c r="I24" i="66"/>
  <c r="I24" i="65"/>
  <c r="I24" i="64"/>
  <c r="I24" i="63"/>
  <c r="I31" i="74"/>
  <c r="M31" i="74" s="1"/>
  <c r="F43" i="74" s="1"/>
  <c r="I31" i="73"/>
  <c r="M31" i="73" s="1"/>
  <c r="I31" i="72"/>
  <c r="M31" i="72" s="1"/>
  <c r="F43" i="72" s="1"/>
  <c r="I31" i="71"/>
  <c r="M31" i="71" s="1"/>
  <c r="F43" i="71" s="1"/>
  <c r="I31" i="69"/>
  <c r="M31" i="69" s="1"/>
  <c r="I31" i="70"/>
  <c r="M31" i="70" s="1"/>
  <c r="F43" i="70" s="1"/>
  <c r="I31" i="68"/>
  <c r="M31" i="68" s="1"/>
  <c r="I31" i="67"/>
  <c r="M31" i="67" s="1"/>
  <c r="F43" i="67" s="1"/>
  <c r="I31" i="66"/>
  <c r="M31" i="66" s="1"/>
  <c r="I31" i="65"/>
  <c r="M31" i="65" s="1"/>
  <c r="I31" i="64"/>
  <c r="M31" i="64" s="1"/>
  <c r="F43" i="64" s="1"/>
  <c r="I31" i="63"/>
  <c r="M31" i="63" s="1"/>
  <c r="I31" i="62"/>
  <c r="M31" i="62" s="1"/>
  <c r="I31" i="61"/>
  <c r="M31" i="61" s="1"/>
  <c r="I24" i="62"/>
  <c r="M24" i="62"/>
  <c r="I24" i="61"/>
  <c r="I31" i="47"/>
  <c r="I24" i="47"/>
  <c r="M31" i="47"/>
  <c r="I21" i="4"/>
  <c r="F22" i="4"/>
  <c r="E22" i="4"/>
  <c r="D22" i="4"/>
  <c r="C22" i="4"/>
  <c r="P3" i="4"/>
  <c r="P2" i="4"/>
  <c r="P1" i="4"/>
  <c r="I1" i="4"/>
  <c r="L28" i="75"/>
  <c r="I3" i="4"/>
  <c r="I2" i="4"/>
  <c r="Q28" i="75"/>
  <c r="I4" i="4"/>
  <c r="M28" i="75"/>
  <c r="F19" i="4"/>
  <c r="E19" i="4"/>
  <c r="D19" i="4"/>
  <c r="C19" i="4"/>
  <c r="F18" i="4"/>
  <c r="E18" i="4"/>
  <c r="D18" i="4"/>
  <c r="C18" i="4"/>
  <c r="F14" i="4"/>
  <c r="E14" i="4"/>
  <c r="E83" i="4" s="1"/>
  <c r="D14" i="4"/>
  <c r="D83" i="4" s="1"/>
  <c r="C14" i="4"/>
  <c r="C83" i="4" s="1"/>
  <c r="F10" i="4"/>
  <c r="F36" i="4" s="1"/>
  <c r="E10" i="4"/>
  <c r="E36" i="4" s="1"/>
  <c r="D10" i="4"/>
  <c r="D36" i="4" s="1"/>
  <c r="C10" i="4"/>
  <c r="C36" i="4" s="1"/>
  <c r="F9" i="4"/>
  <c r="E9" i="4"/>
  <c r="D9" i="4"/>
  <c r="C9" i="4"/>
  <c r="O1" i="74"/>
  <c r="O1" i="73"/>
  <c r="O1" i="72"/>
  <c r="O1" i="71"/>
  <c r="O1" i="69"/>
  <c r="O1" i="70"/>
  <c r="O1" i="68"/>
  <c r="O1" i="67"/>
  <c r="O1" i="66"/>
  <c r="O1" i="65"/>
  <c r="O1" i="64"/>
  <c r="O1" i="63"/>
  <c r="M11" i="75"/>
  <c r="O1" i="62"/>
  <c r="O1" i="61"/>
  <c r="O1" i="47"/>
  <c r="K4" i="74"/>
  <c r="Y18" i="74" s="1"/>
  <c r="U18" i="74" s="1"/>
  <c r="J4" i="74"/>
  <c r="K4" i="73"/>
  <c r="J4" i="73"/>
  <c r="K4" i="72"/>
  <c r="J4" i="72"/>
  <c r="K4" i="71"/>
  <c r="J4" i="71"/>
  <c r="Y18" i="71" s="1"/>
  <c r="U18" i="71" s="1"/>
  <c r="K4" i="69"/>
  <c r="Y18" i="69" s="1"/>
  <c r="U18" i="69" s="1"/>
  <c r="J4" i="69"/>
  <c r="K4" i="70"/>
  <c r="J4" i="70"/>
  <c r="K4" i="68"/>
  <c r="J4" i="68"/>
  <c r="K4" i="67"/>
  <c r="S18" i="67" s="1"/>
  <c r="O18" i="67" s="1"/>
  <c r="J4" i="67"/>
  <c r="K4" i="66"/>
  <c r="J4" i="66"/>
  <c r="K4" i="65"/>
  <c r="J4" i="65"/>
  <c r="K4" i="64"/>
  <c r="J4" i="64"/>
  <c r="K4" i="62"/>
  <c r="J4" i="62"/>
  <c r="I27" i="74"/>
  <c r="M27" i="74" s="1"/>
  <c r="I25" i="74"/>
  <c r="M25" i="74" s="1"/>
  <c r="M24" i="74"/>
  <c r="I22" i="74"/>
  <c r="M22" i="74" s="1"/>
  <c r="I21" i="74"/>
  <c r="M21" i="74" s="1"/>
  <c r="S18" i="74"/>
  <c r="O18" i="74" s="1"/>
  <c r="Y17" i="74"/>
  <c r="U17" i="74"/>
  <c r="S17" i="74"/>
  <c r="O17" i="74"/>
  <c r="M17" i="74"/>
  <c r="I17" i="74"/>
  <c r="Y16" i="74"/>
  <c r="U16" i="74" s="1"/>
  <c r="S16" i="74"/>
  <c r="O16" i="74" s="1"/>
  <c r="M16" i="74"/>
  <c r="I16" i="74" s="1"/>
  <c r="Y15" i="74"/>
  <c r="U15" i="74" s="1"/>
  <c r="S15" i="74"/>
  <c r="O15" i="74" s="1"/>
  <c r="M15" i="74"/>
  <c r="I15" i="74" s="1"/>
  <c r="Y14" i="74"/>
  <c r="S14" i="74"/>
  <c r="M14" i="74"/>
  <c r="Y13" i="74"/>
  <c r="U13" i="74"/>
  <c r="S13" i="74"/>
  <c r="O13" i="74"/>
  <c r="M13" i="74"/>
  <c r="I13" i="74"/>
  <c r="Y11" i="74"/>
  <c r="S11" i="74"/>
  <c r="M11" i="74"/>
  <c r="Y10" i="74"/>
  <c r="U10" i="74" s="1"/>
  <c r="S10" i="74"/>
  <c r="O10" i="74" s="1"/>
  <c r="M10" i="74"/>
  <c r="I10" i="74" s="1"/>
  <c r="I27" i="73"/>
  <c r="M27" i="73" s="1"/>
  <c r="I25" i="73"/>
  <c r="M25" i="73" s="1"/>
  <c r="M24" i="73"/>
  <c r="I22" i="73"/>
  <c r="M22" i="73" s="1"/>
  <c r="I21" i="73"/>
  <c r="M21" i="73" s="1"/>
  <c r="Y17" i="73"/>
  <c r="U17" i="73"/>
  <c r="S17" i="73"/>
  <c r="O17" i="73"/>
  <c r="M17" i="73"/>
  <c r="I17" i="73"/>
  <c r="Y16" i="73"/>
  <c r="U16" i="73" s="1"/>
  <c r="S16" i="73"/>
  <c r="O16" i="73" s="1"/>
  <c r="E15" i="73" s="1"/>
  <c r="M16" i="73"/>
  <c r="I16" i="73" s="1"/>
  <c r="C15" i="73" s="1"/>
  <c r="Y15" i="73"/>
  <c r="U15" i="73"/>
  <c r="S15" i="73"/>
  <c r="O15" i="73"/>
  <c r="M15" i="73"/>
  <c r="I15" i="73"/>
  <c r="Y14" i="73"/>
  <c r="S14" i="73"/>
  <c r="M14" i="73"/>
  <c r="Y13" i="73"/>
  <c r="U13" i="73"/>
  <c r="S13" i="73"/>
  <c r="O13" i="73"/>
  <c r="M13" i="73"/>
  <c r="I13" i="73"/>
  <c r="Y11" i="73"/>
  <c r="S11" i="73"/>
  <c r="M11" i="73"/>
  <c r="Y10" i="73"/>
  <c r="U10" i="73" s="1"/>
  <c r="S10" i="73"/>
  <c r="O10" i="73" s="1"/>
  <c r="M10" i="73"/>
  <c r="I10" i="73" s="1"/>
  <c r="I27" i="72"/>
  <c r="M27" i="72" s="1"/>
  <c r="I25" i="72"/>
  <c r="M25" i="72" s="1"/>
  <c r="M24" i="72"/>
  <c r="I22" i="72"/>
  <c r="M22" i="72" s="1"/>
  <c r="I21" i="72"/>
  <c r="M21" i="72" s="1"/>
  <c r="Y18" i="72"/>
  <c r="U18" i="72" s="1"/>
  <c r="S18" i="72"/>
  <c r="O18" i="72" s="1"/>
  <c r="M18" i="72"/>
  <c r="I18" i="72" s="1"/>
  <c r="Y17" i="72"/>
  <c r="U17" i="72"/>
  <c r="S17" i="72"/>
  <c r="O17" i="72"/>
  <c r="M17" i="72"/>
  <c r="I17" i="72"/>
  <c r="Y16" i="72"/>
  <c r="U16" i="72"/>
  <c r="S16" i="72"/>
  <c r="O16" i="72"/>
  <c r="M16" i="72"/>
  <c r="I16" i="72"/>
  <c r="Y15" i="72"/>
  <c r="U15" i="72" s="1"/>
  <c r="S15" i="72"/>
  <c r="O15" i="72" s="1"/>
  <c r="M15" i="72"/>
  <c r="I15" i="72" s="1"/>
  <c r="Y14" i="72"/>
  <c r="S14" i="72"/>
  <c r="M14" i="72"/>
  <c r="Y13" i="72"/>
  <c r="U13" i="72"/>
  <c r="S13" i="72"/>
  <c r="O13" i="72"/>
  <c r="M13" i="72"/>
  <c r="I13" i="72"/>
  <c r="Y11" i="72"/>
  <c r="S11" i="72"/>
  <c r="M11" i="72"/>
  <c r="Y10" i="72"/>
  <c r="U10" i="72" s="1"/>
  <c r="S10" i="72"/>
  <c r="O10" i="72" s="1"/>
  <c r="M10" i="72"/>
  <c r="I10" i="72" s="1"/>
  <c r="I27" i="71"/>
  <c r="M27" i="71" s="1"/>
  <c r="I25" i="71"/>
  <c r="M25" i="71" s="1"/>
  <c r="M24" i="71"/>
  <c r="I22" i="71"/>
  <c r="M22" i="71" s="1"/>
  <c r="I21" i="71"/>
  <c r="M21" i="71" s="1"/>
  <c r="Y17" i="71"/>
  <c r="U17" i="71"/>
  <c r="S17" i="71"/>
  <c r="O17" i="71"/>
  <c r="M17" i="71"/>
  <c r="I17" i="71"/>
  <c r="Y16" i="71"/>
  <c r="U16" i="71"/>
  <c r="S16" i="71"/>
  <c r="O16" i="71"/>
  <c r="M16" i="71"/>
  <c r="I16" i="71"/>
  <c r="Y15" i="71"/>
  <c r="U15" i="71"/>
  <c r="F15" i="71" s="1"/>
  <c r="S15" i="71"/>
  <c r="O15" i="71"/>
  <c r="M15" i="71"/>
  <c r="I15" i="71"/>
  <c r="D15" i="71" s="1"/>
  <c r="Y14" i="71"/>
  <c r="S14" i="71"/>
  <c r="M14" i="71"/>
  <c r="Y13" i="71"/>
  <c r="U13" i="71"/>
  <c r="S13" i="71"/>
  <c r="O13" i="71"/>
  <c r="M13" i="71"/>
  <c r="I13" i="71"/>
  <c r="Y11" i="71"/>
  <c r="S11" i="71"/>
  <c r="M11" i="71"/>
  <c r="Y10" i="71"/>
  <c r="U10" i="71" s="1"/>
  <c r="S10" i="71"/>
  <c r="O10" i="71" s="1"/>
  <c r="M10" i="71"/>
  <c r="I10" i="71" s="1"/>
  <c r="I27" i="69"/>
  <c r="M27" i="69" s="1"/>
  <c r="I25" i="69"/>
  <c r="M25" i="69" s="1"/>
  <c r="M24" i="69"/>
  <c r="I22" i="69"/>
  <c r="M22" i="69" s="1"/>
  <c r="I21" i="69"/>
  <c r="M21" i="69" s="1"/>
  <c r="S18" i="69"/>
  <c r="O18" i="69" s="1"/>
  <c r="M18" i="69"/>
  <c r="I18" i="69" s="1"/>
  <c r="Y17" i="69"/>
  <c r="U17" i="69"/>
  <c r="S17" i="69"/>
  <c r="O17" i="69"/>
  <c r="M17" i="69"/>
  <c r="I17" i="69"/>
  <c r="Y16" i="69"/>
  <c r="U16" i="69" s="1"/>
  <c r="S16" i="69"/>
  <c r="O16" i="69" s="1"/>
  <c r="M16" i="69"/>
  <c r="I16" i="69" s="1"/>
  <c r="Y15" i="69"/>
  <c r="U15" i="69" s="1"/>
  <c r="S15" i="69"/>
  <c r="O15" i="69" s="1"/>
  <c r="M15" i="69"/>
  <c r="I15" i="69" s="1"/>
  <c r="Y14" i="69"/>
  <c r="S14" i="69"/>
  <c r="M14" i="69"/>
  <c r="Y13" i="69"/>
  <c r="U13" i="69"/>
  <c r="S13" i="69"/>
  <c r="O13" i="69"/>
  <c r="M13" i="69"/>
  <c r="I13" i="69"/>
  <c r="Y11" i="69"/>
  <c r="S11" i="69"/>
  <c r="M11" i="69"/>
  <c r="Y10" i="69"/>
  <c r="U10" i="69" s="1"/>
  <c r="S10" i="69"/>
  <c r="O10" i="69" s="1"/>
  <c r="M10" i="69"/>
  <c r="I10" i="69" s="1"/>
  <c r="I27" i="70"/>
  <c r="M27" i="70" s="1"/>
  <c r="I25" i="70"/>
  <c r="M25" i="70" s="1"/>
  <c r="M24" i="70"/>
  <c r="I22" i="70"/>
  <c r="M22" i="70" s="1"/>
  <c r="I21" i="70"/>
  <c r="M21" i="70" s="1"/>
  <c r="Y18" i="70"/>
  <c r="U18" i="70" s="1"/>
  <c r="S18" i="70"/>
  <c r="O18" i="70" s="1"/>
  <c r="M18" i="70"/>
  <c r="I18" i="70" s="1"/>
  <c r="Y17" i="70"/>
  <c r="U17" i="70"/>
  <c r="S17" i="70"/>
  <c r="O17" i="70"/>
  <c r="M17" i="70"/>
  <c r="I17" i="70"/>
  <c r="Y16" i="70"/>
  <c r="U16" i="70"/>
  <c r="S16" i="70"/>
  <c r="O16" i="70"/>
  <c r="M16" i="70"/>
  <c r="I16" i="70"/>
  <c r="Y15" i="70"/>
  <c r="U15" i="70" s="1"/>
  <c r="S15" i="70"/>
  <c r="O15" i="70" s="1"/>
  <c r="E15" i="70" s="1"/>
  <c r="M15" i="70"/>
  <c r="I15" i="70" s="1"/>
  <c r="Y14" i="70"/>
  <c r="S14" i="70"/>
  <c r="M14" i="70"/>
  <c r="Y13" i="70"/>
  <c r="U13" i="70"/>
  <c r="S13" i="70"/>
  <c r="O13" i="70"/>
  <c r="M13" i="70"/>
  <c r="I13" i="70"/>
  <c r="Y11" i="70"/>
  <c r="S11" i="70"/>
  <c r="M11" i="70"/>
  <c r="Y10" i="70"/>
  <c r="U10" i="70" s="1"/>
  <c r="S10" i="70"/>
  <c r="O10" i="70" s="1"/>
  <c r="M10" i="70"/>
  <c r="I10" i="70" s="1"/>
  <c r="I27" i="68"/>
  <c r="M27" i="68" s="1"/>
  <c r="I25" i="68"/>
  <c r="M25" i="68" s="1"/>
  <c r="M24" i="68"/>
  <c r="I22" i="68"/>
  <c r="M22" i="68" s="1"/>
  <c r="I21" i="68"/>
  <c r="M21" i="68" s="1"/>
  <c r="Y18" i="68"/>
  <c r="U18" i="68" s="1"/>
  <c r="S18" i="68"/>
  <c r="O18" i="68" s="1"/>
  <c r="M18" i="68"/>
  <c r="I18" i="68" s="1"/>
  <c r="Y17" i="68"/>
  <c r="U17" i="68"/>
  <c r="S17" i="68"/>
  <c r="O17" i="68"/>
  <c r="M17" i="68"/>
  <c r="I17" i="68"/>
  <c r="Y16" i="68"/>
  <c r="U16" i="68" s="1"/>
  <c r="S16" i="68"/>
  <c r="O16" i="68" s="1"/>
  <c r="M16" i="68"/>
  <c r="I16" i="68" s="1"/>
  <c r="Y15" i="68"/>
  <c r="U15" i="68" s="1"/>
  <c r="S15" i="68"/>
  <c r="O15" i="68" s="1"/>
  <c r="M15" i="68"/>
  <c r="I15" i="68" s="1"/>
  <c r="Y14" i="68"/>
  <c r="S14" i="68"/>
  <c r="M14" i="68"/>
  <c r="Y13" i="68"/>
  <c r="U13" i="68"/>
  <c r="S13" i="68"/>
  <c r="O13" i="68"/>
  <c r="M13" i="68"/>
  <c r="I13" i="68"/>
  <c r="Y11" i="68"/>
  <c r="S11" i="68"/>
  <c r="M11" i="68"/>
  <c r="Y10" i="68"/>
  <c r="U10" i="68" s="1"/>
  <c r="S10" i="68"/>
  <c r="O10" i="68" s="1"/>
  <c r="M10" i="68"/>
  <c r="I10" i="68" s="1"/>
  <c r="I27" i="67"/>
  <c r="M27" i="67" s="1"/>
  <c r="I25" i="67"/>
  <c r="M25" i="67" s="1"/>
  <c r="M24" i="67"/>
  <c r="I22" i="67"/>
  <c r="M22" i="67" s="1"/>
  <c r="I21" i="67"/>
  <c r="M21" i="67" s="1"/>
  <c r="Y18" i="67"/>
  <c r="U18" i="67" s="1"/>
  <c r="M18" i="67"/>
  <c r="I18" i="67" s="1"/>
  <c r="Y17" i="67"/>
  <c r="U17" i="67"/>
  <c r="S17" i="67"/>
  <c r="O17" i="67"/>
  <c r="M17" i="67"/>
  <c r="I17" i="67"/>
  <c r="Y16" i="67"/>
  <c r="U16" i="67"/>
  <c r="S16" i="67"/>
  <c r="O16" i="67"/>
  <c r="M16" i="67"/>
  <c r="I16" i="67"/>
  <c r="Y15" i="67"/>
  <c r="U15" i="67" s="1"/>
  <c r="S15" i="67"/>
  <c r="O15" i="67" s="1"/>
  <c r="E15" i="67" s="1"/>
  <c r="M15" i="67"/>
  <c r="I15" i="67" s="1"/>
  <c r="Y14" i="67"/>
  <c r="S14" i="67"/>
  <c r="M14" i="67"/>
  <c r="Y13" i="67"/>
  <c r="U13" i="67"/>
  <c r="S13" i="67"/>
  <c r="O13" i="67"/>
  <c r="M13" i="67"/>
  <c r="I13" i="67"/>
  <c r="Y11" i="67"/>
  <c r="S11" i="67"/>
  <c r="M11" i="67"/>
  <c r="Y10" i="67"/>
  <c r="U10" i="67" s="1"/>
  <c r="S10" i="67"/>
  <c r="O10" i="67" s="1"/>
  <c r="M10" i="67"/>
  <c r="I10" i="67" s="1"/>
  <c r="I27" i="66"/>
  <c r="M27" i="66" s="1"/>
  <c r="I25" i="66"/>
  <c r="M25" i="66" s="1"/>
  <c r="M24" i="66"/>
  <c r="I22" i="66"/>
  <c r="M22" i="66" s="1"/>
  <c r="I21" i="66"/>
  <c r="M21" i="66" s="1"/>
  <c r="Y18" i="66"/>
  <c r="U18" i="66" s="1"/>
  <c r="S18" i="66"/>
  <c r="O18" i="66" s="1"/>
  <c r="M18" i="66"/>
  <c r="I18" i="66" s="1"/>
  <c r="Y17" i="66"/>
  <c r="U17" i="66"/>
  <c r="S17" i="66"/>
  <c r="O17" i="66"/>
  <c r="M17" i="66"/>
  <c r="I17" i="66"/>
  <c r="Y16" i="66"/>
  <c r="U16" i="66" s="1"/>
  <c r="S16" i="66"/>
  <c r="O16" i="66" s="1"/>
  <c r="M16" i="66"/>
  <c r="I16" i="66" s="1"/>
  <c r="Y15" i="66"/>
  <c r="U15" i="66" s="1"/>
  <c r="S15" i="66"/>
  <c r="O15" i="66" s="1"/>
  <c r="M15" i="66"/>
  <c r="I15" i="66" s="1"/>
  <c r="Y14" i="66"/>
  <c r="S14" i="66"/>
  <c r="M14" i="66"/>
  <c r="Y13" i="66"/>
  <c r="U13" i="66"/>
  <c r="S13" i="66"/>
  <c r="O13" i="66"/>
  <c r="M13" i="66"/>
  <c r="I13" i="66"/>
  <c r="Y11" i="66"/>
  <c r="S11" i="66"/>
  <c r="M11" i="66"/>
  <c r="Y10" i="66"/>
  <c r="U10" i="66" s="1"/>
  <c r="S10" i="66"/>
  <c r="O10" i="66" s="1"/>
  <c r="M10" i="66"/>
  <c r="I10" i="66" s="1"/>
  <c r="I27" i="65"/>
  <c r="M27" i="65" s="1"/>
  <c r="I25" i="65"/>
  <c r="M25" i="65" s="1"/>
  <c r="M24" i="65"/>
  <c r="I22" i="65"/>
  <c r="M22" i="65" s="1"/>
  <c r="I21" i="65"/>
  <c r="M21" i="65" s="1"/>
  <c r="Y18" i="65"/>
  <c r="U18" i="65" s="1"/>
  <c r="S18" i="65"/>
  <c r="O18" i="65" s="1"/>
  <c r="M18" i="65"/>
  <c r="I18" i="65" s="1"/>
  <c r="Y17" i="65"/>
  <c r="U17" i="65"/>
  <c r="S17" i="65"/>
  <c r="O17" i="65"/>
  <c r="M17" i="65"/>
  <c r="I17" i="65"/>
  <c r="Y16" i="65"/>
  <c r="U16" i="65" s="1"/>
  <c r="S16" i="65"/>
  <c r="O16" i="65" s="1"/>
  <c r="M16" i="65"/>
  <c r="I16" i="65" s="1"/>
  <c r="C15" i="65" s="1"/>
  <c r="Y15" i="65"/>
  <c r="U15" i="65"/>
  <c r="S15" i="65"/>
  <c r="O15" i="65"/>
  <c r="M15" i="65"/>
  <c r="Y14" i="65"/>
  <c r="S14" i="65"/>
  <c r="M14" i="65"/>
  <c r="Y13" i="65"/>
  <c r="U13" i="65"/>
  <c r="S13" i="65"/>
  <c r="O13" i="65"/>
  <c r="M13" i="65"/>
  <c r="I13" i="65"/>
  <c r="Y11" i="65"/>
  <c r="S11" i="65"/>
  <c r="M11" i="65"/>
  <c r="Y10" i="65"/>
  <c r="U10" i="65" s="1"/>
  <c r="S10" i="65"/>
  <c r="O10" i="65" s="1"/>
  <c r="M10" i="65"/>
  <c r="I10" i="65" s="1"/>
  <c r="I27" i="64"/>
  <c r="M27" i="64" s="1"/>
  <c r="I25" i="64"/>
  <c r="M25" i="64" s="1"/>
  <c r="M24" i="64"/>
  <c r="I22" i="64"/>
  <c r="M22" i="64" s="1"/>
  <c r="I21" i="64"/>
  <c r="M21" i="64" s="1"/>
  <c r="Y18" i="64"/>
  <c r="U18" i="64" s="1"/>
  <c r="S18" i="64"/>
  <c r="O18" i="64" s="1"/>
  <c r="M18" i="64"/>
  <c r="I18" i="64" s="1"/>
  <c r="Y17" i="64"/>
  <c r="U17" i="64"/>
  <c r="S17" i="64"/>
  <c r="O17" i="64"/>
  <c r="M17" i="64"/>
  <c r="I17" i="64"/>
  <c r="Y16" i="64"/>
  <c r="U16" i="64"/>
  <c r="S16" i="64"/>
  <c r="O16" i="64"/>
  <c r="M16" i="64"/>
  <c r="I16" i="64"/>
  <c r="Y15" i="64"/>
  <c r="U15" i="64" s="1"/>
  <c r="S15" i="64"/>
  <c r="O15" i="64" s="1"/>
  <c r="E15" i="64" s="1"/>
  <c r="M15" i="64"/>
  <c r="I15" i="64" s="1"/>
  <c r="Y14" i="64"/>
  <c r="S14" i="64"/>
  <c r="M14" i="64"/>
  <c r="Y13" i="64"/>
  <c r="U13" i="64"/>
  <c r="S13" i="64"/>
  <c r="O13" i="64"/>
  <c r="M13" i="64"/>
  <c r="I13" i="64"/>
  <c r="Y11" i="64"/>
  <c r="S11" i="64"/>
  <c r="M11" i="64"/>
  <c r="Y10" i="64"/>
  <c r="U10" i="64" s="1"/>
  <c r="S10" i="64"/>
  <c r="O10" i="64" s="1"/>
  <c r="M10" i="64"/>
  <c r="I10" i="64" s="1"/>
  <c r="I27" i="63"/>
  <c r="M27" i="63" s="1"/>
  <c r="I25" i="63"/>
  <c r="M25" i="63" s="1"/>
  <c r="M24" i="63"/>
  <c r="I22" i="63"/>
  <c r="M22" i="63" s="1"/>
  <c r="I21" i="63"/>
  <c r="M21" i="63" s="1"/>
  <c r="Y18" i="63"/>
  <c r="U18" i="63"/>
  <c r="S18" i="63"/>
  <c r="O18" i="63"/>
  <c r="M18" i="63"/>
  <c r="I18" i="63"/>
  <c r="Y17" i="63"/>
  <c r="U17" i="63"/>
  <c r="S17" i="63"/>
  <c r="O17" i="63"/>
  <c r="M17" i="63"/>
  <c r="I17" i="63"/>
  <c r="Y16" i="63"/>
  <c r="U16" i="63"/>
  <c r="S16" i="63"/>
  <c r="O16" i="63"/>
  <c r="M16" i="63"/>
  <c r="I16" i="63"/>
  <c r="Y15" i="63"/>
  <c r="U15" i="63"/>
  <c r="F15" i="63" s="1"/>
  <c r="S15" i="63"/>
  <c r="O15" i="63"/>
  <c r="M15" i="63"/>
  <c r="I15" i="63"/>
  <c r="D15" i="63" s="1"/>
  <c r="Y14" i="63"/>
  <c r="U14" i="63"/>
  <c r="S14" i="63"/>
  <c r="O14" i="63"/>
  <c r="M14" i="63"/>
  <c r="I14" i="63"/>
  <c r="Y13" i="63"/>
  <c r="U13" i="63"/>
  <c r="S13" i="63"/>
  <c r="O13" i="63"/>
  <c r="M13" i="63"/>
  <c r="I13" i="63"/>
  <c r="Y11" i="63"/>
  <c r="S11" i="63"/>
  <c r="M11" i="63"/>
  <c r="Y10" i="63"/>
  <c r="U10" i="63" s="1"/>
  <c r="S10" i="63"/>
  <c r="O10" i="63" s="1"/>
  <c r="M10" i="63"/>
  <c r="I10" i="63" s="1"/>
  <c r="I27" i="62"/>
  <c r="M27" i="62" s="1"/>
  <c r="I25" i="62"/>
  <c r="M25" i="62" s="1"/>
  <c r="I22" i="62"/>
  <c r="M22" i="62" s="1"/>
  <c r="I21" i="62"/>
  <c r="M21" i="62" s="1"/>
  <c r="Y18" i="62"/>
  <c r="U18" i="62" s="1"/>
  <c r="S18" i="62"/>
  <c r="O18" i="62" s="1"/>
  <c r="M18" i="62"/>
  <c r="I18" i="62" s="1"/>
  <c r="Y17" i="62"/>
  <c r="U17" i="62"/>
  <c r="S17" i="62"/>
  <c r="O17" i="62"/>
  <c r="M17" i="62"/>
  <c r="I17" i="62"/>
  <c r="Y16" i="62"/>
  <c r="U16" i="62"/>
  <c r="S16" i="62"/>
  <c r="O16" i="62"/>
  <c r="M16" i="62"/>
  <c r="I16" i="62"/>
  <c r="Y15" i="62"/>
  <c r="U15" i="62" s="1"/>
  <c r="S15" i="62"/>
  <c r="O15" i="62" s="1"/>
  <c r="M15" i="62"/>
  <c r="I15" i="62" s="1"/>
  <c r="Y14" i="62"/>
  <c r="U14" i="62"/>
  <c r="S14" i="62"/>
  <c r="O14" i="62"/>
  <c r="M14" i="62"/>
  <c r="I14" i="62"/>
  <c r="Y13" i="62"/>
  <c r="U13" i="62"/>
  <c r="S13" i="62"/>
  <c r="O13" i="62"/>
  <c r="M13" i="62"/>
  <c r="I13" i="62"/>
  <c r="Y11" i="62"/>
  <c r="S11" i="62"/>
  <c r="M11" i="62"/>
  <c r="Y10" i="62"/>
  <c r="U10" i="62" s="1"/>
  <c r="S10" i="62"/>
  <c r="O10" i="62" s="1"/>
  <c r="M10" i="62"/>
  <c r="I10" i="62" s="1"/>
  <c r="I27" i="61"/>
  <c r="M27" i="61" s="1"/>
  <c r="I25" i="61"/>
  <c r="M25" i="61" s="1"/>
  <c r="M24" i="61"/>
  <c r="I22" i="61"/>
  <c r="M22" i="61" s="1"/>
  <c r="I21" i="61"/>
  <c r="M21" i="61" s="1"/>
  <c r="Y18" i="61"/>
  <c r="U18" i="61"/>
  <c r="S18" i="61"/>
  <c r="O18" i="61"/>
  <c r="M18" i="61"/>
  <c r="I18" i="61"/>
  <c r="Y17" i="61"/>
  <c r="U17" i="61"/>
  <c r="S17" i="61"/>
  <c r="O17" i="61"/>
  <c r="M17" i="61"/>
  <c r="I17" i="61"/>
  <c r="Y16" i="61"/>
  <c r="U16" i="61"/>
  <c r="S16" i="61"/>
  <c r="O16" i="61"/>
  <c r="M16" i="61"/>
  <c r="I16" i="61"/>
  <c r="Y15" i="61"/>
  <c r="U15" i="61"/>
  <c r="F15" i="61" s="1"/>
  <c r="S15" i="61"/>
  <c r="O15" i="61"/>
  <c r="M15" i="61"/>
  <c r="I15" i="61"/>
  <c r="D15" i="61" s="1"/>
  <c r="Y14" i="61"/>
  <c r="U14" i="61"/>
  <c r="S14" i="61"/>
  <c r="O14" i="61"/>
  <c r="M14" i="61"/>
  <c r="I14" i="61"/>
  <c r="Y13" i="61"/>
  <c r="U13" i="61"/>
  <c r="S13" i="61"/>
  <c r="O13" i="61"/>
  <c r="M13" i="61"/>
  <c r="I13" i="61"/>
  <c r="Y11" i="61"/>
  <c r="S11" i="61"/>
  <c r="M11" i="61"/>
  <c r="Y10" i="61"/>
  <c r="U10" i="61" s="1"/>
  <c r="S10" i="61"/>
  <c r="O10" i="61" s="1"/>
  <c r="M10" i="61"/>
  <c r="I10" i="61" s="1"/>
  <c r="Y18" i="47"/>
  <c r="S18" i="47"/>
  <c r="M18" i="47"/>
  <c r="E15" i="71"/>
  <c r="C15" i="71"/>
  <c r="E15" i="63"/>
  <c r="C15" i="63"/>
  <c r="E15" i="61"/>
  <c r="C15" i="61"/>
  <c r="K4" i="61"/>
  <c r="J4" i="61"/>
  <c r="K4" i="63"/>
  <c r="J4" i="63"/>
  <c r="F15" i="47"/>
  <c r="E15" i="47"/>
  <c r="U16" i="47"/>
  <c r="O16" i="47"/>
  <c r="D15" i="47"/>
  <c r="C15" i="47"/>
  <c r="Y16" i="47"/>
  <c r="Y15" i="47"/>
  <c r="U15" i="47"/>
  <c r="S16" i="47"/>
  <c r="S15" i="47"/>
  <c r="O15" i="47"/>
  <c r="S10" i="47"/>
  <c r="O10" i="47" s="1"/>
  <c r="S11" i="47"/>
  <c r="O13" i="47"/>
  <c r="S13" i="47"/>
  <c r="O14" i="47"/>
  <c r="S14" i="47"/>
  <c r="O17" i="47"/>
  <c r="S17" i="47"/>
  <c r="O18" i="47"/>
  <c r="Y10" i="47"/>
  <c r="U10" i="47" s="1"/>
  <c r="Y11" i="47"/>
  <c r="U13" i="47"/>
  <c r="Y13" i="47"/>
  <c r="U14" i="47"/>
  <c r="Y14" i="47"/>
  <c r="U17" i="47"/>
  <c r="Y17" i="47"/>
  <c r="U18" i="47"/>
  <c r="I16" i="47"/>
  <c r="I15" i="47"/>
  <c r="M16" i="47"/>
  <c r="K4" i="47"/>
  <c r="J4" i="47"/>
  <c r="T29" i="75"/>
  <c r="R11" i="75"/>
  <c r="S11" i="75"/>
  <c r="T11" i="75"/>
  <c r="M15" i="47"/>
  <c r="T27" i="75"/>
  <c r="T26" i="75"/>
  <c r="T25" i="75"/>
  <c r="T24" i="75"/>
  <c r="T23" i="75"/>
  <c r="T22" i="75"/>
  <c r="T21" i="75"/>
  <c r="T20" i="75"/>
  <c r="T19" i="75"/>
  <c r="T18" i="75"/>
  <c r="T17" i="75"/>
  <c r="T15" i="75"/>
  <c r="T14" i="75"/>
  <c r="J5" i="63"/>
  <c r="T13" i="75"/>
  <c r="J5" i="74"/>
  <c r="J1" i="74"/>
  <c r="J5" i="73"/>
  <c r="J1" i="73"/>
  <c r="J5" i="72"/>
  <c r="J1" i="72"/>
  <c r="J5" i="71"/>
  <c r="J1" i="71"/>
  <c r="J5" i="69"/>
  <c r="J1" i="69"/>
  <c r="J5" i="70"/>
  <c r="J1" i="70"/>
  <c r="J5" i="68"/>
  <c r="J1" i="68"/>
  <c r="J5" i="67"/>
  <c r="J1" i="67"/>
  <c r="J5" i="66"/>
  <c r="J1" i="66"/>
  <c r="J5" i="65"/>
  <c r="J1" i="65"/>
  <c r="J5" i="64"/>
  <c r="J5" i="62"/>
  <c r="J5" i="61"/>
  <c r="Q11" i="75"/>
  <c r="J5" i="47"/>
  <c r="J1" i="62"/>
  <c r="J1" i="61"/>
  <c r="J1" i="47"/>
  <c r="J1" i="64"/>
  <c r="L11" i="75"/>
  <c r="J1" i="63" s="1"/>
  <c r="I27" i="47"/>
  <c r="M27" i="47" s="1"/>
  <c r="I25" i="47"/>
  <c r="M25" i="47" s="1"/>
  <c r="M24" i="47"/>
  <c r="I21" i="47"/>
  <c r="M21" i="47" s="1"/>
  <c r="M17" i="47"/>
  <c r="I17" i="47" s="1"/>
  <c r="M14" i="47"/>
  <c r="I14" i="47" s="1"/>
  <c r="M13" i="47"/>
  <c r="I13" i="47" s="1"/>
  <c r="M11" i="47"/>
  <c r="M10" i="47"/>
  <c r="I10" i="47" s="1"/>
  <c r="H1" i="4" l="1"/>
  <c r="D35" i="4"/>
  <c r="F35" i="4"/>
  <c r="F83" i="4"/>
  <c r="F84" i="4" s="1"/>
  <c r="C35" i="4"/>
  <c r="E35" i="4"/>
  <c r="C43" i="74"/>
  <c r="E43" i="74"/>
  <c r="D43" i="74"/>
  <c r="C43" i="72"/>
  <c r="E43" i="72"/>
  <c r="D43" i="72"/>
  <c r="C43" i="71"/>
  <c r="E43" i="71"/>
  <c r="D43" i="71"/>
  <c r="C43" i="70"/>
  <c r="E43" i="70"/>
  <c r="D43" i="70"/>
  <c r="C43" i="67"/>
  <c r="E43" i="67"/>
  <c r="D43" i="67"/>
  <c r="C43" i="64"/>
  <c r="E43" i="64"/>
  <c r="D43" i="64"/>
  <c r="E15" i="74"/>
  <c r="M18" i="74"/>
  <c r="I18" i="74" s="1"/>
  <c r="F15" i="74"/>
  <c r="C15" i="74"/>
  <c r="D15" i="74"/>
  <c r="D15" i="73"/>
  <c r="F15" i="73"/>
  <c r="Y18" i="73"/>
  <c r="U18" i="73" s="1"/>
  <c r="M18" i="73"/>
  <c r="I18" i="73" s="1"/>
  <c r="S18" i="73"/>
  <c r="O18" i="73" s="1"/>
  <c r="F15" i="72"/>
  <c r="C15" i="72"/>
  <c r="D15" i="72"/>
  <c r="E15" i="72"/>
  <c r="M18" i="71"/>
  <c r="I18" i="71" s="1"/>
  <c r="S18" i="71"/>
  <c r="O18" i="71" s="1"/>
  <c r="F15" i="69"/>
  <c r="C15" i="69"/>
  <c r="D15" i="69"/>
  <c r="E15" i="69"/>
  <c r="F15" i="70"/>
  <c r="D15" i="70"/>
  <c r="C15" i="70"/>
  <c r="F15" i="68"/>
  <c r="C15" i="68"/>
  <c r="D15" i="68"/>
  <c r="E15" i="68"/>
  <c r="F15" i="67"/>
  <c r="D15" i="67"/>
  <c r="C15" i="67"/>
  <c r="F15" i="66"/>
  <c r="C15" i="66"/>
  <c r="D15" i="66"/>
  <c r="E15" i="66"/>
  <c r="E15" i="65"/>
  <c r="D15" i="65"/>
  <c r="F15" i="65"/>
  <c r="F15" i="64"/>
  <c r="C15" i="64"/>
  <c r="D15" i="64"/>
  <c r="F15" i="62"/>
  <c r="C15" i="62"/>
  <c r="D15" i="62"/>
  <c r="E15" i="62"/>
  <c r="I22" i="47"/>
  <c r="M22" i="47" s="1"/>
  <c r="I18" i="47"/>
  <c r="C87" i="4" l="1"/>
  <c r="F87" i="4" s="1"/>
  <c r="D87" i="4"/>
  <c r="E87" i="4"/>
  <c r="D72" i="4"/>
  <c r="C72" i="4"/>
  <c r="F39" i="4" l="1"/>
  <c r="F43" i="4"/>
  <c r="F34" i="4"/>
  <c r="F17" i="4"/>
  <c r="F13" i="4"/>
  <c r="E43" i="4"/>
  <c r="G9" i="4"/>
  <c r="G12" i="4"/>
  <c r="G49" i="4"/>
  <c r="D39" i="4"/>
  <c r="G10" i="4"/>
  <c r="D43" i="4"/>
  <c r="D34" i="4"/>
  <c r="D17" i="4"/>
  <c r="D13" i="4"/>
  <c r="G19" i="4"/>
  <c r="G25" i="4"/>
  <c r="G48" i="4"/>
  <c r="C17" i="4"/>
  <c r="E17" i="4"/>
  <c r="G18" i="4"/>
  <c r="G24" i="4"/>
  <c r="G26" i="4"/>
  <c r="G44" i="4"/>
  <c r="G63" i="4"/>
  <c r="G38" i="4"/>
  <c r="C43" i="4"/>
  <c r="G55" i="4"/>
  <c r="G62" i="4"/>
  <c r="C13" i="4"/>
  <c r="E13" i="4"/>
  <c r="G14" i="4"/>
  <c r="G15" i="4"/>
  <c r="G16" i="4"/>
  <c r="G22" i="4"/>
  <c r="G29" i="4"/>
  <c r="G30" i="4"/>
  <c r="G31" i="4"/>
  <c r="G37" i="4"/>
  <c r="C39" i="4"/>
  <c r="E39" i="4"/>
  <c r="G41" i="4"/>
  <c r="G42" i="4"/>
  <c r="G54" i="4"/>
  <c r="C34" i="4"/>
  <c r="E34" i="4"/>
  <c r="G35" i="4"/>
  <c r="G36" i="4"/>
  <c r="G53" i="4"/>
  <c r="G51" i="4"/>
  <c r="G56" i="4"/>
  <c r="G57" i="4"/>
  <c r="G58" i="4"/>
  <c r="G59" i="4"/>
  <c r="G60" i="4"/>
  <c r="G64" i="4"/>
  <c r="G17" i="4" l="1"/>
  <c r="G43" i="4"/>
  <c r="G39" i="4"/>
  <c r="G13" i="4"/>
  <c r="G34" i="4"/>
  <c r="F14" i="74" l="1"/>
  <c r="E14" i="74"/>
  <c r="D14" i="74"/>
  <c r="C14" i="74"/>
  <c r="F13" i="74"/>
  <c r="E13" i="74"/>
  <c r="D13" i="74"/>
  <c r="C13" i="74"/>
  <c r="F10" i="74"/>
  <c r="E10" i="74"/>
  <c r="D10" i="74"/>
  <c r="C10" i="74"/>
  <c r="F14" i="73"/>
  <c r="E14" i="73"/>
  <c r="D14" i="73"/>
  <c r="C14" i="73"/>
  <c r="F13" i="73"/>
  <c r="E13" i="73"/>
  <c r="D13" i="73"/>
  <c r="C13" i="73"/>
  <c r="G13" i="73" s="1"/>
  <c r="F10" i="73"/>
  <c r="E10" i="73"/>
  <c r="D10" i="73"/>
  <c r="C10" i="73"/>
  <c r="F14" i="72"/>
  <c r="E14" i="72"/>
  <c r="D14" i="72"/>
  <c r="C14" i="72"/>
  <c r="G14" i="72" s="1"/>
  <c r="F13" i="72"/>
  <c r="E13" i="72"/>
  <c r="D13" i="72"/>
  <c r="C13" i="72"/>
  <c r="G13" i="72" s="1"/>
  <c r="F10" i="72"/>
  <c r="E10" i="72"/>
  <c r="D10" i="72"/>
  <c r="C10" i="72"/>
  <c r="F14" i="71"/>
  <c r="E14" i="71"/>
  <c r="D14" i="71"/>
  <c r="C14" i="71"/>
  <c r="G14" i="71" s="1"/>
  <c r="F13" i="71"/>
  <c r="E13" i="71"/>
  <c r="D13" i="71"/>
  <c r="C13" i="71"/>
  <c r="G13" i="71" s="1"/>
  <c r="F10" i="71"/>
  <c r="E10" i="71"/>
  <c r="D10" i="71"/>
  <c r="C10" i="71"/>
  <c r="F14" i="69"/>
  <c r="E14" i="69"/>
  <c r="D14" i="69"/>
  <c r="C14" i="69"/>
  <c r="F13" i="69"/>
  <c r="E13" i="69"/>
  <c r="D13" i="69"/>
  <c r="C13" i="69"/>
  <c r="G13" i="69" s="1"/>
  <c r="F10" i="69"/>
  <c r="E10" i="69"/>
  <c r="D10" i="69"/>
  <c r="C10" i="69"/>
  <c r="F14" i="70"/>
  <c r="E14" i="70"/>
  <c r="D14" i="70"/>
  <c r="C14" i="70"/>
  <c r="F13" i="70"/>
  <c r="E13" i="70"/>
  <c r="D13" i="70"/>
  <c r="C13" i="70"/>
  <c r="F10" i="70"/>
  <c r="E10" i="70"/>
  <c r="D10" i="70"/>
  <c r="C10" i="70"/>
  <c r="F14" i="68"/>
  <c r="E14" i="68"/>
  <c r="D14" i="68"/>
  <c r="C14" i="68"/>
  <c r="G14" i="68" s="1"/>
  <c r="F13" i="68"/>
  <c r="E13" i="68"/>
  <c r="D13" i="68"/>
  <c r="C13" i="68"/>
  <c r="G13" i="68" s="1"/>
  <c r="F10" i="68"/>
  <c r="E10" i="68"/>
  <c r="D10" i="68"/>
  <c r="C10" i="68"/>
  <c r="F14" i="67"/>
  <c r="E14" i="67"/>
  <c r="D14" i="67"/>
  <c r="C14" i="67"/>
  <c r="G14" i="67" s="1"/>
  <c r="F13" i="67"/>
  <c r="E13" i="67"/>
  <c r="D13" i="67"/>
  <c r="C13" i="67"/>
  <c r="G13" i="67" s="1"/>
  <c r="F10" i="67"/>
  <c r="E10" i="67"/>
  <c r="D10" i="67"/>
  <c r="C10" i="67"/>
  <c r="F14" i="66"/>
  <c r="E14" i="66"/>
  <c r="D14" i="66"/>
  <c r="C14" i="66"/>
  <c r="F13" i="66"/>
  <c r="E13" i="66"/>
  <c r="D13" i="66"/>
  <c r="C13" i="66"/>
  <c r="F10" i="66"/>
  <c r="E10" i="66"/>
  <c r="D10" i="66"/>
  <c r="C10" i="66"/>
  <c r="G15" i="65"/>
  <c r="F14" i="65"/>
  <c r="E14" i="65"/>
  <c r="D14" i="65"/>
  <c r="C14" i="65"/>
  <c r="F13" i="65"/>
  <c r="F33" i="65" s="1"/>
  <c r="E13" i="65"/>
  <c r="E33" i="65" s="1"/>
  <c r="D13" i="65"/>
  <c r="C13" i="65"/>
  <c r="C10" i="65"/>
  <c r="D10" i="65"/>
  <c r="D32" i="65" s="1"/>
  <c r="E10" i="65"/>
  <c r="E32" i="65" s="1"/>
  <c r="F10" i="65"/>
  <c r="C17" i="65"/>
  <c r="D17" i="65"/>
  <c r="E17" i="65"/>
  <c r="F17" i="65"/>
  <c r="C18" i="65"/>
  <c r="C16" i="65" s="1"/>
  <c r="D18" i="65"/>
  <c r="E18" i="65"/>
  <c r="E16" i="65" s="1"/>
  <c r="F18" i="65"/>
  <c r="C26" i="65"/>
  <c r="D26" i="65"/>
  <c r="G26" i="65" s="1"/>
  <c r="E26" i="65"/>
  <c r="F26" i="65"/>
  <c r="G27" i="65"/>
  <c r="G28" i="65"/>
  <c r="C32" i="65"/>
  <c r="D33" i="65"/>
  <c r="G35" i="65"/>
  <c r="C36" i="65"/>
  <c r="D36" i="65"/>
  <c r="E36" i="65"/>
  <c r="F36" i="65"/>
  <c r="G37" i="65"/>
  <c r="G38" i="65"/>
  <c r="G36" i="65" s="1"/>
  <c r="G44" i="65"/>
  <c r="G45" i="65"/>
  <c r="G46" i="65"/>
  <c r="G47" i="65"/>
  <c r="G48" i="65"/>
  <c r="G49" i="65"/>
  <c r="G50" i="65"/>
  <c r="G51" i="65"/>
  <c r="G52" i="65"/>
  <c r="G53" i="65"/>
  <c r="G54" i="65"/>
  <c r="G55" i="65"/>
  <c r="G56" i="65"/>
  <c r="G57" i="65"/>
  <c r="C58" i="65"/>
  <c r="D58" i="65"/>
  <c r="E58" i="65"/>
  <c r="F58" i="65"/>
  <c r="G58" i="65"/>
  <c r="F18" i="64"/>
  <c r="E18" i="64"/>
  <c r="D18" i="64"/>
  <c r="D17" i="64"/>
  <c r="C18" i="64"/>
  <c r="F17" i="64"/>
  <c r="E17" i="64"/>
  <c r="C17" i="64"/>
  <c r="G14" i="73" l="1"/>
  <c r="G14" i="69"/>
  <c r="G13" i="74"/>
  <c r="G14" i="74"/>
  <c r="F9" i="65"/>
  <c r="G13" i="65"/>
  <c r="G14" i="65"/>
  <c r="G18" i="65"/>
  <c r="G13" i="66"/>
  <c r="G14" i="66"/>
  <c r="F32" i="65"/>
  <c r="C33" i="65"/>
  <c r="G33" i="65" s="1"/>
  <c r="G32" i="65"/>
  <c r="G10" i="65"/>
  <c r="G13" i="70"/>
  <c r="G14" i="70"/>
  <c r="F16" i="65"/>
  <c r="D16" i="65"/>
  <c r="C21" i="65"/>
  <c r="E21" i="65"/>
  <c r="D21" i="65"/>
  <c r="D40" i="65" s="1"/>
  <c r="F21" i="65"/>
  <c r="F40" i="65" s="1"/>
  <c r="D24" i="65"/>
  <c r="F24" i="65"/>
  <c r="C24" i="65"/>
  <c r="C42" i="65" s="1"/>
  <c r="E24" i="65"/>
  <c r="E42" i="65" s="1"/>
  <c r="D22" i="65"/>
  <c r="F22" i="65"/>
  <c r="C22" i="65"/>
  <c r="C41" i="65" s="1"/>
  <c r="E22" i="65"/>
  <c r="E41" i="65" s="1"/>
  <c r="D25" i="65"/>
  <c r="F25" i="65"/>
  <c r="C25" i="65"/>
  <c r="E25" i="65"/>
  <c r="E23" i="65" s="1"/>
  <c r="E9" i="65"/>
  <c r="C9" i="65"/>
  <c r="D9" i="65"/>
  <c r="G17" i="65"/>
  <c r="G9" i="65" l="1"/>
  <c r="G16" i="65"/>
  <c r="G24" i="65"/>
  <c r="C23" i="65"/>
  <c r="G25" i="65"/>
  <c r="G23" i="65" s="1"/>
  <c r="G22" i="65"/>
  <c r="D41" i="65"/>
  <c r="D39" i="65" s="1"/>
  <c r="D23" i="65"/>
  <c r="D42" i="65"/>
  <c r="C20" i="65"/>
  <c r="C29" i="65" s="1"/>
  <c r="G21" i="65"/>
  <c r="C40" i="65"/>
  <c r="D20" i="65"/>
  <c r="F20" i="65"/>
  <c r="F41" i="65"/>
  <c r="F39" i="65" s="1"/>
  <c r="F23" i="65"/>
  <c r="F42" i="65"/>
  <c r="E20" i="65"/>
  <c r="E29" i="65" s="1"/>
  <c r="E40" i="65"/>
  <c r="E39" i="65" s="1"/>
  <c r="D29" i="65" l="1"/>
  <c r="G42" i="65"/>
  <c r="F29" i="65"/>
  <c r="G29" i="65" s="1"/>
  <c r="C39" i="65"/>
  <c r="G40" i="65"/>
  <c r="G43" i="65"/>
  <c r="G20" i="65"/>
  <c r="G41" i="65"/>
  <c r="G39" i="65" l="1"/>
  <c r="F14" i="64"/>
  <c r="F11" i="4" s="1"/>
  <c r="F8" i="4" s="1"/>
  <c r="E14" i="64"/>
  <c r="E11" i="4" s="1"/>
  <c r="E8" i="4" s="1"/>
  <c r="E85" i="4" s="1"/>
  <c r="C14" i="64"/>
  <c r="C11" i="4" s="1"/>
  <c r="F9" i="73"/>
  <c r="D13" i="64"/>
  <c r="E25" i="47"/>
  <c r="E24" i="47"/>
  <c r="E22" i="64"/>
  <c r="C22" i="64"/>
  <c r="G15" i="74"/>
  <c r="G15" i="72"/>
  <c r="G15" i="69"/>
  <c r="D9" i="63"/>
  <c r="E9" i="63"/>
  <c r="C9" i="63"/>
  <c r="F9" i="63"/>
  <c r="F10" i="62"/>
  <c r="E10" i="62"/>
  <c r="E9" i="62" s="1"/>
  <c r="D10" i="62"/>
  <c r="D9" i="62" s="1"/>
  <c r="C10" i="62"/>
  <c r="C9" i="62" s="1"/>
  <c r="F9" i="62"/>
  <c r="F10" i="61"/>
  <c r="E10" i="61"/>
  <c r="E9" i="61" s="1"/>
  <c r="D10" i="61"/>
  <c r="D9" i="61" s="1"/>
  <c r="C10" i="61"/>
  <c r="C9" i="61" s="1"/>
  <c r="F9" i="61"/>
  <c r="F22" i="62"/>
  <c r="E22" i="62"/>
  <c r="D22" i="62"/>
  <c r="C22" i="62"/>
  <c r="F21" i="62"/>
  <c r="F20" i="62" s="1"/>
  <c r="E21" i="62"/>
  <c r="E20" i="62" s="1"/>
  <c r="D21" i="62"/>
  <c r="D20" i="62" s="1"/>
  <c r="C21" i="62"/>
  <c r="C20" i="62"/>
  <c r="F22" i="61"/>
  <c r="E22" i="61"/>
  <c r="D22" i="61"/>
  <c r="C22" i="61"/>
  <c r="F21" i="61"/>
  <c r="E21" i="61"/>
  <c r="D21" i="61"/>
  <c r="C21" i="61"/>
  <c r="F22" i="47"/>
  <c r="F21" i="47"/>
  <c r="E22" i="47"/>
  <c r="E21" i="47"/>
  <c r="D22" i="47"/>
  <c r="D21" i="47"/>
  <c r="C22" i="47"/>
  <c r="C21" i="47"/>
  <c r="F25" i="47"/>
  <c r="F24" i="47"/>
  <c r="C25" i="47"/>
  <c r="C24" i="47"/>
  <c r="C10" i="47"/>
  <c r="F22" i="64"/>
  <c r="F21" i="64"/>
  <c r="F10" i="64"/>
  <c r="E10" i="47"/>
  <c r="D10" i="47"/>
  <c r="F85" i="4" l="1"/>
  <c r="F86" i="4" s="1"/>
  <c r="F88" i="4" s="1"/>
  <c r="F52" i="4" s="1"/>
  <c r="E86" i="4"/>
  <c r="E84" i="4"/>
  <c r="C8" i="4"/>
  <c r="C23" i="47"/>
  <c r="D9" i="47"/>
  <c r="C9" i="47"/>
  <c r="E9" i="47"/>
  <c r="G15" i="63"/>
  <c r="G15" i="62"/>
  <c r="G15" i="61"/>
  <c r="G15" i="64"/>
  <c r="D24" i="47"/>
  <c r="D25" i="47"/>
  <c r="G21" i="62"/>
  <c r="G22" i="62"/>
  <c r="F20" i="64"/>
  <c r="F9" i="74"/>
  <c r="E9" i="74"/>
  <c r="F9" i="72"/>
  <c r="E9" i="72"/>
  <c r="E9" i="71"/>
  <c r="F9" i="71"/>
  <c r="F9" i="69"/>
  <c r="E9" i="69"/>
  <c r="E9" i="70"/>
  <c r="F9" i="70"/>
  <c r="F9" i="68"/>
  <c r="G15" i="68"/>
  <c r="E9" i="68"/>
  <c r="E9" i="67"/>
  <c r="F9" i="67"/>
  <c r="F9" i="66"/>
  <c r="G15" i="66"/>
  <c r="D10" i="64"/>
  <c r="C10" i="64"/>
  <c r="F13" i="64"/>
  <c r="F9" i="64" s="1"/>
  <c r="E13" i="64"/>
  <c r="E10" i="64"/>
  <c r="C21" i="64"/>
  <c r="E21" i="64"/>
  <c r="E20" i="64" s="1"/>
  <c r="C13" i="64"/>
  <c r="D14" i="64"/>
  <c r="D21" i="64"/>
  <c r="D22" i="64"/>
  <c r="G22" i="64" s="1"/>
  <c r="F21" i="74"/>
  <c r="D21" i="74"/>
  <c r="E21" i="74"/>
  <c r="C21" i="74"/>
  <c r="D9" i="74"/>
  <c r="C9" i="74"/>
  <c r="F22" i="74"/>
  <c r="D22" i="74"/>
  <c r="E22" i="74"/>
  <c r="C22" i="74"/>
  <c r="C9" i="73"/>
  <c r="D9" i="73"/>
  <c r="E22" i="73"/>
  <c r="C22" i="73"/>
  <c r="F22" i="73"/>
  <c r="D22" i="73"/>
  <c r="E9" i="73"/>
  <c r="E21" i="73"/>
  <c r="C21" i="73"/>
  <c r="F21" i="73"/>
  <c r="D21" i="73"/>
  <c r="G15" i="73"/>
  <c r="F21" i="72"/>
  <c r="D21" i="72"/>
  <c r="E21" i="72"/>
  <c r="C21" i="72"/>
  <c r="D9" i="72"/>
  <c r="C9" i="72"/>
  <c r="F22" i="72"/>
  <c r="D22" i="72"/>
  <c r="E22" i="72"/>
  <c r="C22" i="72"/>
  <c r="E21" i="71"/>
  <c r="C21" i="71"/>
  <c r="F21" i="71"/>
  <c r="D21" i="71"/>
  <c r="C9" i="71"/>
  <c r="D9" i="71"/>
  <c r="E22" i="71"/>
  <c r="C22" i="71"/>
  <c r="F22" i="71"/>
  <c r="D22" i="71"/>
  <c r="G15" i="71"/>
  <c r="F21" i="69"/>
  <c r="D21" i="69"/>
  <c r="E21" i="69"/>
  <c r="C21" i="69"/>
  <c r="D9" i="69"/>
  <c r="C9" i="69"/>
  <c r="F22" i="69"/>
  <c r="D22" i="69"/>
  <c r="E22" i="69"/>
  <c r="C22" i="69"/>
  <c r="E21" i="70"/>
  <c r="C21" i="70"/>
  <c r="F21" i="70"/>
  <c r="D21" i="70"/>
  <c r="C9" i="70"/>
  <c r="D9" i="70"/>
  <c r="E22" i="70"/>
  <c r="C22" i="70"/>
  <c r="F22" i="70"/>
  <c r="D22" i="70"/>
  <c r="G15" i="70"/>
  <c r="F21" i="68"/>
  <c r="D21" i="68"/>
  <c r="E21" i="68"/>
  <c r="C21" i="68"/>
  <c r="D9" i="68"/>
  <c r="C9" i="68"/>
  <c r="F22" i="68"/>
  <c r="D22" i="68"/>
  <c r="E22" i="68"/>
  <c r="C22" i="68"/>
  <c r="E21" i="67"/>
  <c r="C21" i="67"/>
  <c r="F21" i="67"/>
  <c r="D21" i="67"/>
  <c r="C9" i="67"/>
  <c r="D9" i="67"/>
  <c r="E22" i="67"/>
  <c r="C22" i="67"/>
  <c r="F22" i="67"/>
  <c r="D22" i="67"/>
  <c r="G15" i="67"/>
  <c r="D9" i="66"/>
  <c r="C9" i="66"/>
  <c r="F22" i="66"/>
  <c r="D22" i="66"/>
  <c r="E22" i="66"/>
  <c r="C22" i="66"/>
  <c r="E9" i="66"/>
  <c r="F21" i="66"/>
  <c r="D21" i="66"/>
  <c r="E21" i="66"/>
  <c r="C21" i="66"/>
  <c r="F24" i="74"/>
  <c r="D24" i="74"/>
  <c r="E24" i="74"/>
  <c r="C24" i="74"/>
  <c r="F25" i="74"/>
  <c r="D25" i="74"/>
  <c r="E25" i="74"/>
  <c r="C25" i="74"/>
  <c r="F24" i="73"/>
  <c r="D24" i="73"/>
  <c r="E24" i="73"/>
  <c r="C24" i="73"/>
  <c r="F25" i="73"/>
  <c r="D25" i="73"/>
  <c r="E25" i="73"/>
  <c r="C25" i="73"/>
  <c r="F24" i="72"/>
  <c r="D24" i="72"/>
  <c r="E24" i="72"/>
  <c r="C24" i="72"/>
  <c r="F25" i="72"/>
  <c r="D25" i="72"/>
  <c r="E25" i="72"/>
  <c r="C25" i="72"/>
  <c r="F24" i="71"/>
  <c r="D24" i="71"/>
  <c r="E24" i="71"/>
  <c r="C24" i="71"/>
  <c r="F25" i="71"/>
  <c r="D25" i="71"/>
  <c r="E25" i="71"/>
  <c r="C25" i="71"/>
  <c r="F24" i="69"/>
  <c r="D24" i="69"/>
  <c r="E24" i="69"/>
  <c r="C24" i="69"/>
  <c r="F25" i="69"/>
  <c r="D25" i="69"/>
  <c r="E25" i="69"/>
  <c r="C25" i="69"/>
  <c r="F24" i="70"/>
  <c r="D24" i="70"/>
  <c r="E24" i="70"/>
  <c r="C24" i="70"/>
  <c r="F25" i="70"/>
  <c r="D25" i="70"/>
  <c r="E25" i="70"/>
  <c r="C25" i="70"/>
  <c r="F24" i="68"/>
  <c r="D24" i="68"/>
  <c r="E24" i="68"/>
  <c r="C24" i="68"/>
  <c r="F25" i="68"/>
  <c r="D25" i="68"/>
  <c r="E25" i="68"/>
  <c r="C25" i="68"/>
  <c r="F24" i="67"/>
  <c r="D24" i="67"/>
  <c r="E24" i="67"/>
  <c r="C24" i="67"/>
  <c r="F25" i="67"/>
  <c r="D25" i="67"/>
  <c r="E25" i="67"/>
  <c r="C25" i="67"/>
  <c r="F24" i="66"/>
  <c r="D24" i="66"/>
  <c r="E24" i="66"/>
  <c r="C24" i="66"/>
  <c r="F25" i="66"/>
  <c r="D25" i="66"/>
  <c r="E25" i="66"/>
  <c r="C25" i="66"/>
  <c r="F24" i="64"/>
  <c r="D24" i="64"/>
  <c r="E24" i="64"/>
  <c r="C24" i="64"/>
  <c r="F25" i="64"/>
  <c r="D25" i="64"/>
  <c r="E25" i="64"/>
  <c r="C25" i="64"/>
  <c r="E24" i="62"/>
  <c r="C24" i="62"/>
  <c r="F24" i="62"/>
  <c r="D24" i="62"/>
  <c r="E25" i="62"/>
  <c r="C25" i="62"/>
  <c r="F25" i="62"/>
  <c r="D25" i="62"/>
  <c r="E24" i="61"/>
  <c r="C24" i="61"/>
  <c r="F24" i="61"/>
  <c r="D24" i="61"/>
  <c r="E25" i="61"/>
  <c r="C25" i="61"/>
  <c r="F25" i="61"/>
  <c r="D25" i="61"/>
  <c r="G10" i="72"/>
  <c r="G9" i="72" s="1"/>
  <c r="G10" i="71"/>
  <c r="G10" i="69"/>
  <c r="G9" i="69" s="1"/>
  <c r="G10" i="67"/>
  <c r="G9" i="67" s="1"/>
  <c r="G10" i="66"/>
  <c r="G10" i="63"/>
  <c r="G9" i="63" s="1"/>
  <c r="G10" i="62"/>
  <c r="G9" i="62" s="1"/>
  <c r="G10" i="61"/>
  <c r="G9" i="61" s="1"/>
  <c r="E21" i="63"/>
  <c r="C21" i="63"/>
  <c r="F21" i="63"/>
  <c r="D21" i="63"/>
  <c r="E24" i="63"/>
  <c r="C24" i="63"/>
  <c r="F24" i="63"/>
  <c r="D24" i="63"/>
  <c r="E22" i="63"/>
  <c r="C22" i="63"/>
  <c r="F22" i="63"/>
  <c r="D22" i="63"/>
  <c r="E25" i="63"/>
  <c r="C25" i="63"/>
  <c r="F25" i="63"/>
  <c r="D25" i="63"/>
  <c r="F10" i="47"/>
  <c r="F9" i="47" s="1"/>
  <c r="F18" i="74"/>
  <c r="E18" i="74"/>
  <c r="D18" i="74"/>
  <c r="C18" i="74"/>
  <c r="F17" i="74"/>
  <c r="E17" i="74"/>
  <c r="D17" i="74"/>
  <c r="C17" i="74"/>
  <c r="C16" i="74" s="1"/>
  <c r="F16" i="74"/>
  <c r="E16" i="74"/>
  <c r="D16" i="74"/>
  <c r="F18" i="73"/>
  <c r="E18" i="73"/>
  <c r="D18" i="73"/>
  <c r="C18" i="73"/>
  <c r="F17" i="73"/>
  <c r="E17" i="73"/>
  <c r="D17" i="73"/>
  <c r="C17" i="73"/>
  <c r="C16" i="73" s="1"/>
  <c r="F16" i="73"/>
  <c r="D16" i="73"/>
  <c r="F18" i="72"/>
  <c r="E18" i="72"/>
  <c r="D18" i="72"/>
  <c r="C18" i="72"/>
  <c r="F17" i="72"/>
  <c r="E17" i="72"/>
  <c r="D17" i="72"/>
  <c r="C17" i="72"/>
  <c r="C16" i="72" s="1"/>
  <c r="F16" i="72"/>
  <c r="E16" i="72"/>
  <c r="F18" i="71"/>
  <c r="E18" i="71"/>
  <c r="D18" i="71"/>
  <c r="C18" i="71"/>
  <c r="F17" i="71"/>
  <c r="E17" i="71"/>
  <c r="D17" i="71"/>
  <c r="D16" i="71" s="1"/>
  <c r="C17" i="71"/>
  <c r="C16" i="71" s="1"/>
  <c r="F16" i="71"/>
  <c r="F18" i="69"/>
  <c r="E18" i="69"/>
  <c r="D18" i="69"/>
  <c r="C18" i="69"/>
  <c r="F17" i="69"/>
  <c r="E17" i="69"/>
  <c r="D17" i="69"/>
  <c r="C17" i="69"/>
  <c r="C16" i="69" s="1"/>
  <c r="F16" i="69"/>
  <c r="E16" i="69"/>
  <c r="D16" i="69"/>
  <c r="F18" i="70"/>
  <c r="E18" i="70"/>
  <c r="D18" i="70"/>
  <c r="C18" i="70"/>
  <c r="F17" i="70"/>
  <c r="E17" i="70"/>
  <c r="D17" i="70"/>
  <c r="C17" i="70"/>
  <c r="C16" i="70" s="1"/>
  <c r="F16" i="70"/>
  <c r="E16" i="70"/>
  <c r="F18" i="68"/>
  <c r="E18" i="68"/>
  <c r="D18" i="68"/>
  <c r="C18" i="68"/>
  <c r="F17" i="68"/>
  <c r="E17" i="68"/>
  <c r="D17" i="68"/>
  <c r="C17" i="68"/>
  <c r="C16" i="68" s="1"/>
  <c r="F16" i="68"/>
  <c r="E16" i="68"/>
  <c r="F18" i="67"/>
  <c r="E18" i="67"/>
  <c r="D18" i="67"/>
  <c r="C18" i="67"/>
  <c r="F17" i="67"/>
  <c r="E17" i="67"/>
  <c r="D17" i="67"/>
  <c r="D16" i="67" s="1"/>
  <c r="C17" i="67"/>
  <c r="C16" i="67" s="1"/>
  <c r="F16" i="67"/>
  <c r="F18" i="66"/>
  <c r="E18" i="66"/>
  <c r="D18" i="66"/>
  <c r="C18" i="66"/>
  <c r="F17" i="66"/>
  <c r="E17" i="66"/>
  <c r="D17" i="66"/>
  <c r="D16" i="66" s="1"/>
  <c r="C17" i="66"/>
  <c r="C16" i="66" s="1"/>
  <c r="F16" i="66"/>
  <c r="E88" i="4" l="1"/>
  <c r="E52" i="4" s="1"/>
  <c r="C85" i="4"/>
  <c r="C84" i="4" s="1"/>
  <c r="G14" i="64"/>
  <c r="D11" i="4"/>
  <c r="F21" i="4"/>
  <c r="F20" i="4" s="1"/>
  <c r="E21" i="4"/>
  <c r="E20" i="4" s="1"/>
  <c r="C21" i="4"/>
  <c r="D21" i="4"/>
  <c r="D20" i="4" s="1"/>
  <c r="C20" i="4"/>
  <c r="E20" i="66"/>
  <c r="F20" i="66"/>
  <c r="G22" i="66"/>
  <c r="G22" i="69"/>
  <c r="G24" i="73"/>
  <c r="G24" i="67"/>
  <c r="C9" i="64"/>
  <c r="E9" i="64"/>
  <c r="G24" i="71"/>
  <c r="G25" i="74"/>
  <c r="F20" i="73"/>
  <c r="E20" i="73"/>
  <c r="G22" i="72"/>
  <c r="G25" i="69"/>
  <c r="G22" i="68"/>
  <c r="G25" i="66"/>
  <c r="G20" i="62"/>
  <c r="G9" i="71"/>
  <c r="G9" i="66"/>
  <c r="G10" i="74"/>
  <c r="G9" i="74" s="1"/>
  <c r="G22" i="74"/>
  <c r="G21" i="64"/>
  <c r="G20" i="64" s="1"/>
  <c r="C20" i="64"/>
  <c r="G10" i="64"/>
  <c r="G25" i="64"/>
  <c r="G24" i="64"/>
  <c r="D20" i="64"/>
  <c r="G13" i="64"/>
  <c r="D9" i="64"/>
  <c r="G21" i="74"/>
  <c r="C20" i="74"/>
  <c r="D20" i="74"/>
  <c r="E20" i="74"/>
  <c r="F20" i="74"/>
  <c r="G22" i="73"/>
  <c r="G10" i="73"/>
  <c r="G9" i="73" s="1"/>
  <c r="G25" i="73"/>
  <c r="G23" i="73" s="1"/>
  <c r="D20" i="73"/>
  <c r="G21" i="73"/>
  <c r="G20" i="73" s="1"/>
  <c r="C20" i="73"/>
  <c r="G21" i="72"/>
  <c r="G20" i="72" s="1"/>
  <c r="C20" i="72"/>
  <c r="D20" i="72"/>
  <c r="G25" i="72"/>
  <c r="E20" i="72"/>
  <c r="F20" i="72"/>
  <c r="G22" i="71"/>
  <c r="D20" i="71"/>
  <c r="G21" i="71"/>
  <c r="G20" i="71" s="1"/>
  <c r="C20" i="71"/>
  <c r="G25" i="71"/>
  <c r="G23" i="71" s="1"/>
  <c r="F20" i="71"/>
  <c r="E20" i="71"/>
  <c r="G21" i="69"/>
  <c r="G20" i="69" s="1"/>
  <c r="C20" i="69"/>
  <c r="D20" i="69"/>
  <c r="E20" i="69"/>
  <c r="F20" i="69"/>
  <c r="G22" i="70"/>
  <c r="D20" i="70"/>
  <c r="G21" i="70"/>
  <c r="G20" i="70" s="1"/>
  <c r="C20" i="70"/>
  <c r="G10" i="70"/>
  <c r="G9" i="70" s="1"/>
  <c r="F20" i="70"/>
  <c r="E20" i="70"/>
  <c r="G21" i="68"/>
  <c r="G20" i="68" s="1"/>
  <c r="C20" i="68"/>
  <c r="D20" i="68"/>
  <c r="G10" i="68"/>
  <c r="G9" i="68" s="1"/>
  <c r="G25" i="68"/>
  <c r="E20" i="68"/>
  <c r="F20" i="68"/>
  <c r="G22" i="67"/>
  <c r="D20" i="67"/>
  <c r="G21" i="67"/>
  <c r="G20" i="67" s="1"/>
  <c r="C20" i="67"/>
  <c r="G25" i="67"/>
  <c r="F20" i="67"/>
  <c r="E20" i="67"/>
  <c r="G21" i="66"/>
  <c r="G20" i="66" s="1"/>
  <c r="C20" i="66"/>
  <c r="D20" i="66"/>
  <c r="C23" i="74"/>
  <c r="D23" i="74"/>
  <c r="G24" i="74"/>
  <c r="E23" i="74"/>
  <c r="F23" i="74"/>
  <c r="C23" i="73"/>
  <c r="D23" i="73"/>
  <c r="E23" i="73"/>
  <c r="F23" i="73"/>
  <c r="C23" i="72"/>
  <c r="D23" i="72"/>
  <c r="G24" i="72"/>
  <c r="E23" i="72"/>
  <c r="F23" i="72"/>
  <c r="C23" i="71"/>
  <c r="D23" i="71"/>
  <c r="E23" i="71"/>
  <c r="F23" i="71"/>
  <c r="C23" i="69"/>
  <c r="D23" i="69"/>
  <c r="G24" i="69"/>
  <c r="E23" i="69"/>
  <c r="F23" i="69"/>
  <c r="E23" i="70"/>
  <c r="F23" i="70"/>
  <c r="G24" i="70"/>
  <c r="G25" i="70"/>
  <c r="C23" i="70"/>
  <c r="D23" i="70"/>
  <c r="C23" i="68"/>
  <c r="D23" i="68"/>
  <c r="G24" i="68"/>
  <c r="E23" i="68"/>
  <c r="F23" i="68"/>
  <c r="C23" i="67"/>
  <c r="D23" i="67"/>
  <c r="E23" i="67"/>
  <c r="F23" i="67"/>
  <c r="C23" i="66"/>
  <c r="D23" i="66"/>
  <c r="G24" i="66"/>
  <c r="E23" i="66"/>
  <c r="F23" i="66"/>
  <c r="C23" i="64"/>
  <c r="D23" i="64"/>
  <c r="E23" i="64"/>
  <c r="F23" i="64"/>
  <c r="C23" i="62"/>
  <c r="G25" i="62"/>
  <c r="D23" i="62"/>
  <c r="G24" i="62"/>
  <c r="F23" i="62"/>
  <c r="E23" i="62"/>
  <c r="G25" i="63"/>
  <c r="G22" i="63"/>
  <c r="D23" i="63"/>
  <c r="C23" i="63"/>
  <c r="D20" i="63"/>
  <c r="G21" i="63"/>
  <c r="G20" i="63" s="1"/>
  <c r="C20" i="63"/>
  <c r="G24" i="63"/>
  <c r="F23" i="63"/>
  <c r="E23" i="63"/>
  <c r="F20" i="63"/>
  <c r="E20" i="63"/>
  <c r="D16" i="68"/>
  <c r="E16" i="73"/>
  <c r="D16" i="72"/>
  <c r="E16" i="71"/>
  <c r="D16" i="70"/>
  <c r="E16" i="67"/>
  <c r="E16" i="66"/>
  <c r="B5" i="75"/>
  <c r="B20" i="75" s="1"/>
  <c r="B4" i="75"/>
  <c r="B3" i="75"/>
  <c r="B2" i="75"/>
  <c r="B19" i="75" s="1"/>
  <c r="B17" i="75"/>
  <c r="B16" i="75"/>
  <c r="B15" i="75"/>
  <c r="B14" i="75"/>
  <c r="B13" i="75"/>
  <c r="B11" i="75"/>
  <c r="B10" i="75"/>
  <c r="B9" i="75"/>
  <c r="B8" i="75"/>
  <c r="B7" i="75"/>
  <c r="B6" i="75"/>
  <c r="F16" i="64"/>
  <c r="E16" i="64"/>
  <c r="D16" i="64"/>
  <c r="C16" i="64"/>
  <c r="G16" i="63"/>
  <c r="F16" i="63"/>
  <c r="E16" i="63"/>
  <c r="D16" i="63"/>
  <c r="C16" i="63"/>
  <c r="G16" i="62"/>
  <c r="F16" i="62"/>
  <c r="E16" i="62"/>
  <c r="D16" i="62"/>
  <c r="C16" i="62"/>
  <c r="G16" i="61"/>
  <c r="F16" i="61"/>
  <c r="E16" i="61"/>
  <c r="D16" i="61"/>
  <c r="C16" i="61"/>
  <c r="D16" i="47"/>
  <c r="E16" i="47"/>
  <c r="F16" i="47"/>
  <c r="G16" i="47"/>
  <c r="C16" i="47"/>
  <c r="D8" i="4" l="1"/>
  <c r="D85" i="4" s="1"/>
  <c r="G11" i="4"/>
  <c r="G8" i="4" s="1"/>
  <c r="C86" i="4"/>
  <c r="C88" i="4" s="1"/>
  <c r="C52" i="4" s="1"/>
  <c r="D28" i="4"/>
  <c r="E28" i="4"/>
  <c r="C28" i="4"/>
  <c r="F28" i="4"/>
  <c r="G21" i="4"/>
  <c r="G20" i="4" s="1"/>
  <c r="G47" i="4"/>
  <c r="G23" i="67"/>
  <c r="G23" i="62"/>
  <c r="G23" i="74"/>
  <c r="G23" i="66"/>
  <c r="G23" i="69"/>
  <c r="G20" i="74"/>
  <c r="G23" i="68"/>
  <c r="G23" i="64"/>
  <c r="G9" i="64"/>
  <c r="G23" i="72"/>
  <c r="G23" i="70"/>
  <c r="G23" i="63"/>
  <c r="B18" i="75"/>
  <c r="C8" i="75" s="1"/>
  <c r="D8" i="75" s="1"/>
  <c r="C34" i="66" s="1"/>
  <c r="D34" i="66" s="1"/>
  <c r="E34" i="66" s="1"/>
  <c r="F34" i="66" s="1"/>
  <c r="F23" i="4" l="1"/>
  <c r="F32" i="4" s="1"/>
  <c r="F46" i="4"/>
  <c r="F66" i="4" s="1"/>
  <c r="E23" i="4"/>
  <c r="E32" i="4" s="1"/>
  <c r="E46" i="4"/>
  <c r="E66" i="4" s="1"/>
  <c r="D23" i="4"/>
  <c r="D32" i="4" s="1"/>
  <c r="C46" i="4"/>
  <c r="C66" i="4" s="1"/>
  <c r="D86" i="4"/>
  <c r="D84" i="4"/>
  <c r="C23" i="4"/>
  <c r="C32" i="4" s="1"/>
  <c r="G28" i="4"/>
  <c r="G23" i="4" s="1"/>
  <c r="G32" i="4" s="1"/>
  <c r="C15" i="75"/>
  <c r="D15" i="75" s="1"/>
  <c r="C34" i="72" s="1"/>
  <c r="D34" i="72" s="1"/>
  <c r="E34" i="72" s="1"/>
  <c r="F34" i="72" s="1"/>
  <c r="C9" i="75"/>
  <c r="D9" i="75" s="1"/>
  <c r="C34" i="67" s="1"/>
  <c r="D34" i="67" s="1"/>
  <c r="E34" i="67" s="1"/>
  <c r="F34" i="67" s="1"/>
  <c r="C10" i="75"/>
  <c r="D10" i="75" s="1"/>
  <c r="C34" i="68" s="1"/>
  <c r="D34" i="68" s="1"/>
  <c r="E34" i="68" s="1"/>
  <c r="F34" i="68" s="1"/>
  <c r="B21" i="75"/>
  <c r="C14" i="75"/>
  <c r="D14" i="75" s="1"/>
  <c r="C34" i="71" s="1"/>
  <c r="D34" i="71" s="1"/>
  <c r="E34" i="71" s="1"/>
  <c r="F34" i="71" s="1"/>
  <c r="C13" i="75"/>
  <c r="D13" i="75" s="1"/>
  <c r="C34" i="69" s="1"/>
  <c r="D34" i="69" s="1"/>
  <c r="E34" i="69" s="1"/>
  <c r="F34" i="69" s="1"/>
  <c r="C17" i="75"/>
  <c r="D17" i="75" s="1"/>
  <c r="C34" i="74" s="1"/>
  <c r="D34" i="74" s="1"/>
  <c r="E34" i="74" s="1"/>
  <c r="F34" i="74" s="1"/>
  <c r="C7" i="75"/>
  <c r="D7" i="75" s="1"/>
  <c r="C34" i="65" s="1"/>
  <c r="C11" i="75"/>
  <c r="D11" i="75" s="1"/>
  <c r="C34" i="70" s="1"/>
  <c r="D34" i="70" s="1"/>
  <c r="E34" i="70" s="1"/>
  <c r="F34" i="70" s="1"/>
  <c r="C16" i="75"/>
  <c r="D16" i="75" s="1"/>
  <c r="C34" i="73" s="1"/>
  <c r="D34" i="73" s="1"/>
  <c r="E34" i="73" s="1"/>
  <c r="F34" i="73" s="1"/>
  <c r="C6" i="75"/>
  <c r="D6" i="75" s="1"/>
  <c r="C34" i="64" s="1"/>
  <c r="E34" i="64" s="1"/>
  <c r="D71" i="74"/>
  <c r="C71" i="74"/>
  <c r="F58" i="74"/>
  <c r="E58" i="74"/>
  <c r="D58" i="74"/>
  <c r="C58" i="74"/>
  <c r="G58" i="74" s="1"/>
  <c r="G57" i="74"/>
  <c r="G56" i="74"/>
  <c r="G55" i="74"/>
  <c r="G54" i="74"/>
  <c r="G53" i="74"/>
  <c r="G52" i="74"/>
  <c r="G51" i="74"/>
  <c r="G50" i="74"/>
  <c r="G49" i="74"/>
  <c r="G48" i="74"/>
  <c r="G47" i="74"/>
  <c r="G46" i="74"/>
  <c r="G45" i="74"/>
  <c r="G44" i="74"/>
  <c r="G38" i="74"/>
  <c r="G37" i="74"/>
  <c r="G36" i="74" s="1"/>
  <c r="F36" i="74"/>
  <c r="E36" i="74"/>
  <c r="D36" i="74"/>
  <c r="C36" i="74"/>
  <c r="G35" i="74"/>
  <c r="G28" i="74"/>
  <c r="G27" i="74"/>
  <c r="F26" i="74"/>
  <c r="E26" i="74"/>
  <c r="D26" i="74"/>
  <c r="C26" i="74"/>
  <c r="F41" i="74"/>
  <c r="E41" i="74"/>
  <c r="D41" i="74"/>
  <c r="C41" i="74"/>
  <c r="D40" i="74"/>
  <c r="C40" i="74"/>
  <c r="G17" i="74"/>
  <c r="F33" i="74"/>
  <c r="E33" i="74"/>
  <c r="D33" i="74"/>
  <c r="D71" i="73"/>
  <c r="C71" i="73"/>
  <c r="F58" i="73"/>
  <c r="E58" i="73"/>
  <c r="D58" i="73"/>
  <c r="C58" i="73"/>
  <c r="G58" i="73" s="1"/>
  <c r="G57" i="73"/>
  <c r="G56" i="73"/>
  <c r="G55" i="73"/>
  <c r="G54" i="73"/>
  <c r="G53" i="73"/>
  <c r="G52" i="73"/>
  <c r="G51" i="73"/>
  <c r="G50" i="73"/>
  <c r="G49" i="73"/>
  <c r="G48" i="73"/>
  <c r="G47" i="73"/>
  <c r="G46" i="73"/>
  <c r="G45" i="73"/>
  <c r="G44" i="73"/>
  <c r="G38" i="73"/>
  <c r="G37" i="73"/>
  <c r="G36" i="73" s="1"/>
  <c r="F36" i="73"/>
  <c r="E36" i="73"/>
  <c r="D36" i="73"/>
  <c r="C36" i="73"/>
  <c r="G35" i="73"/>
  <c r="G28" i="73"/>
  <c r="G27" i="73"/>
  <c r="G26" i="73"/>
  <c r="F26" i="73"/>
  <c r="E26" i="73"/>
  <c r="D26" i="73"/>
  <c r="C26" i="73"/>
  <c r="F42" i="73"/>
  <c r="D42" i="73"/>
  <c r="F41" i="73"/>
  <c r="E41" i="73"/>
  <c r="D41" i="73"/>
  <c r="E40" i="73"/>
  <c r="D40" i="73"/>
  <c r="C40" i="73"/>
  <c r="G18" i="73"/>
  <c r="E77" i="73"/>
  <c r="G17" i="73"/>
  <c r="G16" i="73" s="1"/>
  <c r="F33" i="73"/>
  <c r="E33" i="73"/>
  <c r="D33" i="73"/>
  <c r="D32" i="73"/>
  <c r="D71" i="72"/>
  <c r="C71" i="72"/>
  <c r="F58" i="72"/>
  <c r="E58" i="72"/>
  <c r="D58" i="72"/>
  <c r="C58" i="72"/>
  <c r="G58" i="72" s="1"/>
  <c r="G57" i="72"/>
  <c r="G56" i="72"/>
  <c r="G55" i="72"/>
  <c r="G54" i="72"/>
  <c r="G53" i="72"/>
  <c r="G52" i="72"/>
  <c r="G51" i="72"/>
  <c r="G50" i="72"/>
  <c r="G49" i="72"/>
  <c r="G48" i="72"/>
  <c r="G47" i="72"/>
  <c r="G46" i="72"/>
  <c r="G45" i="72"/>
  <c r="G44" i="72"/>
  <c r="G38" i="72"/>
  <c r="G37" i="72"/>
  <c r="G36" i="72" s="1"/>
  <c r="F36" i="72"/>
  <c r="E36" i="72"/>
  <c r="D36" i="72"/>
  <c r="C36" i="72"/>
  <c r="G35" i="72"/>
  <c r="G28" i="72"/>
  <c r="G27" i="72"/>
  <c r="F26" i="72"/>
  <c r="E26" i="72"/>
  <c r="G26" i="72" s="1"/>
  <c r="D26" i="72"/>
  <c r="C26" i="72"/>
  <c r="F42" i="72"/>
  <c r="E42" i="72"/>
  <c r="D42" i="72"/>
  <c r="F41" i="72"/>
  <c r="E41" i="72"/>
  <c r="D41" i="72"/>
  <c r="E40" i="72"/>
  <c r="D40" i="72"/>
  <c r="C40" i="72"/>
  <c r="G17" i="72"/>
  <c r="F33" i="72"/>
  <c r="E33" i="72"/>
  <c r="D33" i="72"/>
  <c r="D71" i="71"/>
  <c r="C71" i="71"/>
  <c r="F58" i="71"/>
  <c r="E58" i="71"/>
  <c r="D58" i="71"/>
  <c r="C58" i="71"/>
  <c r="G58" i="71" s="1"/>
  <c r="G57" i="71"/>
  <c r="G56" i="71"/>
  <c r="G55" i="71"/>
  <c r="G54" i="71"/>
  <c r="G53" i="71"/>
  <c r="G52" i="71"/>
  <c r="G51" i="71"/>
  <c r="G50" i="71"/>
  <c r="G49" i="71"/>
  <c r="G48" i="71"/>
  <c r="G47" i="71"/>
  <c r="G46" i="71"/>
  <c r="G45" i="71"/>
  <c r="G44" i="71"/>
  <c r="G38" i="71"/>
  <c r="G37" i="71"/>
  <c r="G36" i="71" s="1"/>
  <c r="F36" i="71"/>
  <c r="E36" i="71"/>
  <c r="D36" i="71"/>
  <c r="C36" i="71"/>
  <c r="G35" i="71"/>
  <c r="G34" i="71"/>
  <c r="G28" i="71"/>
  <c r="G27" i="71"/>
  <c r="F26" i="71"/>
  <c r="E26" i="71"/>
  <c r="D26" i="71"/>
  <c r="C26" i="71"/>
  <c r="G26" i="71" s="1"/>
  <c r="F42" i="71"/>
  <c r="D42" i="71"/>
  <c r="F41" i="71"/>
  <c r="E41" i="71"/>
  <c r="D41" i="71"/>
  <c r="E40" i="71"/>
  <c r="C40" i="71"/>
  <c r="G18" i="71"/>
  <c r="C77" i="71"/>
  <c r="F33" i="71"/>
  <c r="E33" i="71"/>
  <c r="D33" i="71"/>
  <c r="F32" i="71"/>
  <c r="D71" i="70"/>
  <c r="C71" i="70"/>
  <c r="F58" i="70"/>
  <c r="E58" i="70"/>
  <c r="D58" i="70"/>
  <c r="C58" i="70"/>
  <c r="G58" i="70" s="1"/>
  <c r="G57" i="70"/>
  <c r="G56" i="70"/>
  <c r="G55" i="70"/>
  <c r="G54" i="70"/>
  <c r="G53" i="70"/>
  <c r="G52" i="70"/>
  <c r="G51" i="70"/>
  <c r="G50" i="70"/>
  <c r="G49" i="70"/>
  <c r="G48" i="70"/>
  <c r="G47" i="70"/>
  <c r="G46" i="70"/>
  <c r="G45" i="70"/>
  <c r="G44" i="70"/>
  <c r="G38" i="70"/>
  <c r="G37" i="70"/>
  <c r="G36" i="70" s="1"/>
  <c r="F36" i="70"/>
  <c r="E36" i="70"/>
  <c r="D36" i="70"/>
  <c r="C36" i="70"/>
  <c r="G35" i="70"/>
  <c r="G28" i="70"/>
  <c r="G27" i="70"/>
  <c r="F26" i="70"/>
  <c r="E26" i="70"/>
  <c r="D26" i="70"/>
  <c r="C26" i="70"/>
  <c r="G26" i="70" s="1"/>
  <c r="F42" i="70"/>
  <c r="D42" i="70"/>
  <c r="F41" i="70"/>
  <c r="E41" i="70"/>
  <c r="D41" i="70"/>
  <c r="E40" i="70"/>
  <c r="E77" i="70"/>
  <c r="G17" i="70"/>
  <c r="C77" i="70"/>
  <c r="F33" i="70"/>
  <c r="E33" i="70"/>
  <c r="D33" i="70"/>
  <c r="D71" i="69"/>
  <c r="C71" i="69"/>
  <c r="F58" i="69"/>
  <c r="E58" i="69"/>
  <c r="D58" i="69"/>
  <c r="C58" i="69"/>
  <c r="G58" i="69" s="1"/>
  <c r="G57" i="69"/>
  <c r="G56" i="69"/>
  <c r="G55" i="69"/>
  <c r="G54" i="69"/>
  <c r="G53" i="69"/>
  <c r="G52" i="69"/>
  <c r="G51" i="69"/>
  <c r="G50" i="69"/>
  <c r="G49" i="69"/>
  <c r="G48" i="69"/>
  <c r="G47" i="69"/>
  <c r="G46" i="69"/>
  <c r="G45" i="69"/>
  <c r="G44" i="69"/>
  <c r="G38" i="69"/>
  <c r="G37" i="69"/>
  <c r="G36" i="69"/>
  <c r="F36" i="69"/>
  <c r="E36" i="69"/>
  <c r="D36" i="69"/>
  <c r="C36" i="69"/>
  <c r="G35" i="69"/>
  <c r="G28" i="69"/>
  <c r="G27" i="69"/>
  <c r="F26" i="69"/>
  <c r="E26" i="69"/>
  <c r="D26" i="69"/>
  <c r="C26" i="69"/>
  <c r="G26" i="69" s="1"/>
  <c r="F42" i="69"/>
  <c r="D42" i="69"/>
  <c r="F41" i="69"/>
  <c r="E41" i="69"/>
  <c r="C41" i="69"/>
  <c r="G18" i="69"/>
  <c r="F77" i="69"/>
  <c r="E77" i="69"/>
  <c r="G17" i="69"/>
  <c r="F33" i="69"/>
  <c r="E33" i="69"/>
  <c r="D33" i="69"/>
  <c r="C33" i="69"/>
  <c r="D71" i="68"/>
  <c r="C71" i="68"/>
  <c r="F58" i="68"/>
  <c r="E58" i="68"/>
  <c r="D58" i="68"/>
  <c r="C58" i="68"/>
  <c r="G58" i="68" s="1"/>
  <c r="G57" i="68"/>
  <c r="G56" i="68"/>
  <c r="G55" i="68"/>
  <c r="G54" i="68"/>
  <c r="G53" i="68"/>
  <c r="G52" i="68"/>
  <c r="G51" i="68"/>
  <c r="G50" i="68"/>
  <c r="G49" i="68"/>
  <c r="G48" i="68"/>
  <c r="G47" i="68"/>
  <c r="G46" i="68"/>
  <c r="G45" i="68"/>
  <c r="G44" i="68"/>
  <c r="G38" i="68"/>
  <c r="G37" i="68"/>
  <c r="G36" i="68" s="1"/>
  <c r="F36" i="68"/>
  <c r="E36" i="68"/>
  <c r="D36" i="68"/>
  <c r="C36" i="68"/>
  <c r="G35" i="68"/>
  <c r="G28" i="68"/>
  <c r="G27" i="68"/>
  <c r="F26" i="68"/>
  <c r="E26" i="68"/>
  <c r="G26" i="68" s="1"/>
  <c r="D26" i="68"/>
  <c r="C26" i="68"/>
  <c r="F42" i="68"/>
  <c r="D42" i="68"/>
  <c r="F41" i="68"/>
  <c r="E41" i="68"/>
  <c r="D41" i="68"/>
  <c r="E40" i="68"/>
  <c r="D40" i="68"/>
  <c r="C40" i="68"/>
  <c r="G18" i="68"/>
  <c r="G17" i="68"/>
  <c r="F33" i="68"/>
  <c r="D33" i="68"/>
  <c r="F32" i="68"/>
  <c r="D71" i="67"/>
  <c r="C71" i="67"/>
  <c r="F58" i="67"/>
  <c r="E58" i="67"/>
  <c r="D58" i="67"/>
  <c r="C58" i="67"/>
  <c r="G58" i="67" s="1"/>
  <c r="G57" i="67"/>
  <c r="G56" i="67"/>
  <c r="G55" i="67"/>
  <c r="G54" i="67"/>
  <c r="G53" i="67"/>
  <c r="G52" i="67"/>
  <c r="G51" i="67"/>
  <c r="G50" i="67"/>
  <c r="G49" i="67"/>
  <c r="G48" i="67"/>
  <c r="G47" i="67"/>
  <c r="G46" i="67"/>
  <c r="G45" i="67"/>
  <c r="G44" i="67"/>
  <c r="G38" i="67"/>
  <c r="G37" i="67"/>
  <c r="G36" i="67" s="1"/>
  <c r="F36" i="67"/>
  <c r="E36" i="67"/>
  <c r="D36" i="67"/>
  <c r="C36" i="67"/>
  <c r="G35" i="67"/>
  <c r="G28" i="67"/>
  <c r="G27" i="67"/>
  <c r="G26" i="67"/>
  <c r="F26" i="67"/>
  <c r="E26" i="67"/>
  <c r="D26" i="67"/>
  <c r="C26" i="67"/>
  <c r="F42" i="67"/>
  <c r="D42" i="67"/>
  <c r="F41" i="67"/>
  <c r="E41" i="67"/>
  <c r="D41" i="67"/>
  <c r="E40" i="67"/>
  <c r="D40" i="67"/>
  <c r="C40" i="67"/>
  <c r="G18" i="67"/>
  <c r="F33" i="67"/>
  <c r="E33" i="67"/>
  <c r="D33" i="67"/>
  <c r="C33" i="67"/>
  <c r="D71" i="66"/>
  <c r="C71" i="66"/>
  <c r="F58" i="66"/>
  <c r="E58" i="66"/>
  <c r="D58" i="66"/>
  <c r="C58" i="66"/>
  <c r="G58" i="66" s="1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38" i="66"/>
  <c r="G37" i="66"/>
  <c r="G36" i="66" s="1"/>
  <c r="F36" i="66"/>
  <c r="E36" i="66"/>
  <c r="D36" i="66"/>
  <c r="C36" i="66"/>
  <c r="G35" i="66"/>
  <c r="G34" i="66"/>
  <c r="G28" i="66"/>
  <c r="G27" i="66"/>
  <c r="G26" i="66"/>
  <c r="F26" i="66"/>
  <c r="E26" i="66"/>
  <c r="D26" i="66"/>
  <c r="C26" i="66"/>
  <c r="F42" i="66"/>
  <c r="E42" i="66"/>
  <c r="D42" i="66"/>
  <c r="E41" i="66"/>
  <c r="F41" i="66"/>
  <c r="D41" i="66"/>
  <c r="F40" i="66"/>
  <c r="E40" i="66"/>
  <c r="E39" i="66" s="1"/>
  <c r="D40" i="66"/>
  <c r="C40" i="66"/>
  <c r="E77" i="66"/>
  <c r="D77" i="66"/>
  <c r="G17" i="66"/>
  <c r="F33" i="66"/>
  <c r="E33" i="66"/>
  <c r="D33" i="66"/>
  <c r="C33" i="66"/>
  <c r="D71" i="65"/>
  <c r="C71" i="65"/>
  <c r="E77" i="65"/>
  <c r="C77" i="65"/>
  <c r="D71" i="64"/>
  <c r="C71" i="64"/>
  <c r="F58" i="64"/>
  <c r="E58" i="64"/>
  <c r="D58" i="64"/>
  <c r="C58" i="64"/>
  <c r="G58" i="64" s="1"/>
  <c r="G57" i="64"/>
  <c r="G56" i="64"/>
  <c r="G55" i="64"/>
  <c r="G54" i="64"/>
  <c r="G53" i="64"/>
  <c r="G52" i="64"/>
  <c r="G51" i="64"/>
  <c r="G50" i="64"/>
  <c r="G49" i="64"/>
  <c r="G48" i="64"/>
  <c r="G47" i="64"/>
  <c r="G46" i="64"/>
  <c r="G45" i="64"/>
  <c r="G44" i="64"/>
  <c r="G38" i="64"/>
  <c r="G37" i="64"/>
  <c r="G36" i="64" s="1"/>
  <c r="F36" i="64"/>
  <c r="E36" i="64"/>
  <c r="D36" i="64"/>
  <c r="C36" i="64"/>
  <c r="G35" i="64"/>
  <c r="G28" i="64"/>
  <c r="G27" i="64"/>
  <c r="F26" i="64"/>
  <c r="E26" i="64"/>
  <c r="D26" i="64"/>
  <c r="C26" i="64"/>
  <c r="G17" i="64"/>
  <c r="F33" i="64"/>
  <c r="E33" i="64"/>
  <c r="D33" i="64"/>
  <c r="F32" i="64"/>
  <c r="F58" i="63"/>
  <c r="E58" i="63"/>
  <c r="D58" i="63"/>
  <c r="C58" i="63"/>
  <c r="G58" i="63" s="1"/>
  <c r="G57" i="63"/>
  <c r="G56" i="63"/>
  <c r="G55" i="63"/>
  <c r="G54" i="63"/>
  <c r="G53" i="63"/>
  <c r="G52" i="63"/>
  <c r="G51" i="63"/>
  <c r="G50" i="63"/>
  <c r="G49" i="63"/>
  <c r="G48" i="63"/>
  <c r="G47" i="63"/>
  <c r="G46" i="63"/>
  <c r="G45" i="63"/>
  <c r="G44" i="63"/>
  <c r="G38" i="63"/>
  <c r="G37" i="63"/>
  <c r="G36" i="63" s="1"/>
  <c r="F36" i="63"/>
  <c r="E36" i="63"/>
  <c r="D36" i="63"/>
  <c r="C36" i="63"/>
  <c r="G35" i="63"/>
  <c r="G34" i="63"/>
  <c r="G28" i="63"/>
  <c r="G27" i="63"/>
  <c r="F26" i="63"/>
  <c r="E26" i="63"/>
  <c r="D26" i="63"/>
  <c r="G26" i="63" s="1"/>
  <c r="C26" i="63"/>
  <c r="G18" i="63"/>
  <c r="G17" i="63"/>
  <c r="F33" i="63"/>
  <c r="E33" i="63"/>
  <c r="D33" i="63"/>
  <c r="F32" i="63"/>
  <c r="E32" i="63"/>
  <c r="D32" i="63"/>
  <c r="C32" i="63"/>
  <c r="G58" i="62"/>
  <c r="G57" i="62"/>
  <c r="G56" i="62"/>
  <c r="G55" i="62"/>
  <c r="G54" i="62"/>
  <c r="G53" i="62"/>
  <c r="G52" i="62"/>
  <c r="G51" i="62"/>
  <c r="G50" i="62"/>
  <c r="G49" i="62"/>
  <c r="G48" i="62"/>
  <c r="G47" i="62"/>
  <c r="G46" i="62"/>
  <c r="G45" i="62"/>
  <c r="G44" i="62"/>
  <c r="G36" i="62"/>
  <c r="F36" i="62"/>
  <c r="E36" i="62"/>
  <c r="D36" i="62"/>
  <c r="C36" i="62"/>
  <c r="G35" i="62"/>
  <c r="G28" i="62"/>
  <c r="G27" i="62"/>
  <c r="F26" i="62"/>
  <c r="E26" i="62"/>
  <c r="G26" i="62" s="1"/>
  <c r="D26" i="62"/>
  <c r="C26" i="62"/>
  <c r="F42" i="62"/>
  <c r="D42" i="62"/>
  <c r="F41" i="62"/>
  <c r="C62" i="62"/>
  <c r="D32" i="62"/>
  <c r="F58" i="61"/>
  <c r="E58" i="61"/>
  <c r="D58" i="61"/>
  <c r="C58" i="61"/>
  <c r="G58" i="61" s="1"/>
  <c r="G57" i="61"/>
  <c r="G56" i="61"/>
  <c r="G55" i="61"/>
  <c r="G54" i="61"/>
  <c r="G53" i="61"/>
  <c r="G52" i="61"/>
  <c r="G51" i="61"/>
  <c r="G50" i="61"/>
  <c r="G49" i="61"/>
  <c r="G48" i="61"/>
  <c r="G47" i="61"/>
  <c r="G46" i="61"/>
  <c r="G45" i="61"/>
  <c r="G44" i="61"/>
  <c r="G38" i="61"/>
  <c r="G37" i="61"/>
  <c r="F36" i="61"/>
  <c r="E36" i="61"/>
  <c r="D36" i="61"/>
  <c r="C36" i="61"/>
  <c r="G35" i="61"/>
  <c r="G34" i="61"/>
  <c r="G28" i="61"/>
  <c r="G27" i="61"/>
  <c r="F26" i="61"/>
  <c r="E26" i="61"/>
  <c r="G26" i="61" s="1"/>
  <c r="D26" i="61"/>
  <c r="C26" i="61"/>
  <c r="F41" i="61"/>
  <c r="F33" i="61"/>
  <c r="E33" i="61"/>
  <c r="D33" i="61"/>
  <c r="E67" i="4" l="1"/>
  <c r="F67" i="4"/>
  <c r="C67" i="4"/>
  <c r="D88" i="4"/>
  <c r="D52" i="4" s="1"/>
  <c r="D34" i="65"/>
  <c r="C31" i="65"/>
  <c r="C59" i="65" s="1"/>
  <c r="G34" i="73"/>
  <c r="G26" i="64"/>
  <c r="G34" i="68"/>
  <c r="E39" i="71"/>
  <c r="E39" i="70"/>
  <c r="G26" i="74"/>
  <c r="E39" i="72"/>
  <c r="G16" i="68"/>
  <c r="G34" i="72"/>
  <c r="G34" i="69"/>
  <c r="E42" i="73"/>
  <c r="G34" i="67"/>
  <c r="G34" i="70"/>
  <c r="G34" i="74"/>
  <c r="F34" i="64"/>
  <c r="D34" i="64"/>
  <c r="F41" i="63"/>
  <c r="D31" i="73"/>
  <c r="G16" i="69"/>
  <c r="E42" i="67"/>
  <c r="C39" i="74"/>
  <c r="D39" i="66"/>
  <c r="C40" i="64"/>
  <c r="E40" i="64"/>
  <c r="D41" i="64"/>
  <c r="E41" i="64"/>
  <c r="F41" i="64"/>
  <c r="C77" i="73"/>
  <c r="C77" i="72"/>
  <c r="G17" i="71"/>
  <c r="G16" i="71" s="1"/>
  <c r="C77" i="68"/>
  <c r="C78" i="68" s="1"/>
  <c r="G17" i="67"/>
  <c r="G16" i="67" s="1"/>
  <c r="G18" i="74"/>
  <c r="G16" i="74" s="1"/>
  <c r="G18" i="72"/>
  <c r="G16" i="72" s="1"/>
  <c r="F77" i="70"/>
  <c r="F78" i="70" s="1"/>
  <c r="G18" i="70"/>
  <c r="G16" i="70" s="1"/>
  <c r="F77" i="68"/>
  <c r="F78" i="68" s="1"/>
  <c r="C77" i="67"/>
  <c r="G18" i="66"/>
  <c r="G16" i="66" s="1"/>
  <c r="D32" i="74"/>
  <c r="D31" i="74" s="1"/>
  <c r="E32" i="74"/>
  <c r="E32" i="73"/>
  <c r="F32" i="73"/>
  <c r="F31" i="73" s="1"/>
  <c r="C32" i="73"/>
  <c r="E32" i="72"/>
  <c r="E31" i="72" s="1"/>
  <c r="E59" i="72" s="1"/>
  <c r="F32" i="72"/>
  <c r="F31" i="72" s="1"/>
  <c r="D32" i="72"/>
  <c r="D31" i="72" s="1"/>
  <c r="E32" i="71"/>
  <c r="E31" i="71" s="1"/>
  <c r="C32" i="71"/>
  <c r="D32" i="71"/>
  <c r="D31" i="71" s="1"/>
  <c r="C79" i="71"/>
  <c r="F32" i="70"/>
  <c r="F31" i="70" s="1"/>
  <c r="C32" i="70"/>
  <c r="D32" i="70"/>
  <c r="D31" i="70" s="1"/>
  <c r="D32" i="68"/>
  <c r="D31" i="68" s="1"/>
  <c r="E32" i="68"/>
  <c r="F32" i="67"/>
  <c r="F31" i="67" s="1"/>
  <c r="E79" i="74"/>
  <c r="E80" i="74" s="1"/>
  <c r="C79" i="73"/>
  <c r="G33" i="69"/>
  <c r="C79" i="70"/>
  <c r="E79" i="68"/>
  <c r="E80" i="68" s="1"/>
  <c r="C77" i="64"/>
  <c r="C78" i="64" s="1"/>
  <c r="G18" i="64"/>
  <c r="G16" i="64" s="1"/>
  <c r="C32" i="64"/>
  <c r="E32" i="64"/>
  <c r="E31" i="64" s="1"/>
  <c r="D32" i="64"/>
  <c r="C79" i="64"/>
  <c r="G25" i="61"/>
  <c r="G36" i="61"/>
  <c r="E41" i="61"/>
  <c r="C41" i="61"/>
  <c r="D41" i="61"/>
  <c r="C40" i="61"/>
  <c r="D40" i="62"/>
  <c r="D41" i="62"/>
  <c r="E41" i="62"/>
  <c r="E40" i="62"/>
  <c r="C40" i="62"/>
  <c r="D32" i="61"/>
  <c r="D31" i="61" s="1"/>
  <c r="E32" i="61"/>
  <c r="E31" i="61" s="1"/>
  <c r="C32" i="61"/>
  <c r="E32" i="62"/>
  <c r="E31" i="62" s="1"/>
  <c r="F32" i="62"/>
  <c r="F31" i="62" s="1"/>
  <c r="C32" i="62"/>
  <c r="E64" i="61"/>
  <c r="E65" i="61" s="1"/>
  <c r="C42" i="63"/>
  <c r="D42" i="63"/>
  <c r="F42" i="63"/>
  <c r="C62" i="63"/>
  <c r="F31" i="63"/>
  <c r="D77" i="74"/>
  <c r="D78" i="74" s="1"/>
  <c r="D39" i="74"/>
  <c r="F40" i="74"/>
  <c r="F39" i="74" s="1"/>
  <c r="F32" i="74"/>
  <c r="F31" i="74" s="1"/>
  <c r="G41" i="74"/>
  <c r="E31" i="74"/>
  <c r="E77" i="74"/>
  <c r="F77" i="74"/>
  <c r="F78" i="74" s="1"/>
  <c r="C33" i="74"/>
  <c r="G33" i="74" s="1"/>
  <c r="F77" i="73"/>
  <c r="F78" i="73" s="1"/>
  <c r="C42" i="73"/>
  <c r="C41" i="73"/>
  <c r="G41" i="73" s="1"/>
  <c r="D39" i="73"/>
  <c r="E39" i="73"/>
  <c r="F40" i="73"/>
  <c r="F39" i="73" s="1"/>
  <c r="E31" i="73"/>
  <c r="D77" i="73"/>
  <c r="D78" i="73" s="1"/>
  <c r="C33" i="73"/>
  <c r="G33" i="73" s="1"/>
  <c r="E78" i="73"/>
  <c r="C78" i="73"/>
  <c r="F40" i="72"/>
  <c r="F39" i="72" s="1"/>
  <c r="D77" i="72"/>
  <c r="D78" i="72" s="1"/>
  <c r="E77" i="72"/>
  <c r="E78" i="72" s="1"/>
  <c r="C41" i="72"/>
  <c r="G41" i="72" s="1"/>
  <c r="G43" i="72"/>
  <c r="C42" i="72"/>
  <c r="G42" i="72" s="1"/>
  <c r="F77" i="72"/>
  <c r="F78" i="72" s="1"/>
  <c r="C32" i="72"/>
  <c r="D39" i="72"/>
  <c r="C33" i="72"/>
  <c r="G33" i="72" s="1"/>
  <c r="C78" i="72"/>
  <c r="E77" i="71"/>
  <c r="E78" i="71" s="1"/>
  <c r="C41" i="71"/>
  <c r="G41" i="71" s="1"/>
  <c r="D77" i="71"/>
  <c r="C42" i="71"/>
  <c r="F31" i="71"/>
  <c r="F77" i="71"/>
  <c r="D40" i="71"/>
  <c r="D39" i="71" s="1"/>
  <c r="E42" i="71"/>
  <c r="C33" i="71"/>
  <c r="G33" i="71" s="1"/>
  <c r="C78" i="71"/>
  <c r="D40" i="70"/>
  <c r="D39" i="70" s="1"/>
  <c r="E32" i="70"/>
  <c r="E31" i="70" s="1"/>
  <c r="E42" i="70"/>
  <c r="C41" i="70"/>
  <c r="G41" i="70" s="1"/>
  <c r="C42" i="70"/>
  <c r="D77" i="70"/>
  <c r="D78" i="70" s="1"/>
  <c r="C78" i="70"/>
  <c r="C33" i="70"/>
  <c r="G33" i="70" s="1"/>
  <c r="E78" i="70"/>
  <c r="D41" i="69"/>
  <c r="G41" i="69" s="1"/>
  <c r="D77" i="69"/>
  <c r="D78" i="69" s="1"/>
  <c r="E32" i="69"/>
  <c r="E31" i="69" s="1"/>
  <c r="D40" i="69"/>
  <c r="E42" i="69"/>
  <c r="F78" i="69"/>
  <c r="E78" i="69"/>
  <c r="C42" i="69"/>
  <c r="E77" i="68"/>
  <c r="E78" i="68" s="1"/>
  <c r="C41" i="68"/>
  <c r="G41" i="68" s="1"/>
  <c r="F31" i="68"/>
  <c r="C42" i="68"/>
  <c r="D39" i="68"/>
  <c r="E39" i="68"/>
  <c r="F40" i="68"/>
  <c r="F39" i="68" s="1"/>
  <c r="E42" i="68"/>
  <c r="D77" i="68"/>
  <c r="D78" i="68" s="1"/>
  <c r="C33" i="68"/>
  <c r="E33" i="68"/>
  <c r="D77" i="67"/>
  <c r="D78" i="67" s="1"/>
  <c r="E77" i="67"/>
  <c r="F77" i="67"/>
  <c r="F78" i="67" s="1"/>
  <c r="C41" i="67"/>
  <c r="G41" i="67" s="1"/>
  <c r="E32" i="67"/>
  <c r="E31" i="67" s="1"/>
  <c r="C42" i="67"/>
  <c r="D39" i="67"/>
  <c r="E39" i="67"/>
  <c r="G33" i="67"/>
  <c r="F40" i="67"/>
  <c r="F39" i="67" s="1"/>
  <c r="F77" i="66"/>
  <c r="F78" i="66" s="1"/>
  <c r="G40" i="66"/>
  <c r="G43" i="66"/>
  <c r="C42" i="66"/>
  <c r="G42" i="66" s="1"/>
  <c r="G33" i="66"/>
  <c r="F39" i="66"/>
  <c r="D78" i="66"/>
  <c r="E78" i="66"/>
  <c r="D77" i="65"/>
  <c r="F77" i="65"/>
  <c r="F78" i="65" s="1"/>
  <c r="C78" i="65"/>
  <c r="E78" i="65"/>
  <c r="F77" i="64"/>
  <c r="F78" i="64" s="1"/>
  <c r="D40" i="64"/>
  <c r="D77" i="64"/>
  <c r="D78" i="64" s="1"/>
  <c r="E77" i="64"/>
  <c r="E78" i="64" s="1"/>
  <c r="C41" i="64"/>
  <c r="C33" i="64"/>
  <c r="G33" i="64" s="1"/>
  <c r="G32" i="63"/>
  <c r="D31" i="63"/>
  <c r="D62" i="63"/>
  <c r="D63" i="63" s="1"/>
  <c r="E31" i="63"/>
  <c r="E62" i="63"/>
  <c r="E63" i="63" s="1"/>
  <c r="F62" i="63"/>
  <c r="F63" i="63" s="1"/>
  <c r="F40" i="63"/>
  <c r="E42" i="63"/>
  <c r="C63" i="63"/>
  <c r="C33" i="63"/>
  <c r="G33" i="63" s="1"/>
  <c r="E42" i="62"/>
  <c r="D31" i="62"/>
  <c r="D62" i="62"/>
  <c r="D63" i="62" s="1"/>
  <c r="E62" i="62"/>
  <c r="F62" i="62"/>
  <c r="F63" i="62" s="1"/>
  <c r="C42" i="62"/>
  <c r="F40" i="62"/>
  <c r="F39" i="62" s="1"/>
  <c r="C63" i="62"/>
  <c r="F20" i="61"/>
  <c r="F40" i="61"/>
  <c r="F39" i="61" s="1"/>
  <c r="F32" i="61"/>
  <c r="F31" i="61" s="1"/>
  <c r="F62" i="61"/>
  <c r="F63" i="61" s="1"/>
  <c r="D62" i="61"/>
  <c r="D63" i="61" s="1"/>
  <c r="E62" i="61"/>
  <c r="E63" i="61" s="1"/>
  <c r="C42" i="61"/>
  <c r="F42" i="61"/>
  <c r="F23" i="61"/>
  <c r="G24" i="61"/>
  <c r="C33" i="61"/>
  <c r="G33" i="61" s="1"/>
  <c r="G21" i="61"/>
  <c r="C23" i="61"/>
  <c r="D46" i="4" l="1"/>
  <c r="D66" i="4" s="1"/>
  <c r="D67" i="4" s="1"/>
  <c r="G52" i="4"/>
  <c r="G46" i="4" s="1"/>
  <c r="G66" i="4" s="1"/>
  <c r="G67" i="4" s="1"/>
  <c r="G42" i="67"/>
  <c r="E31" i="68"/>
  <c r="G43" i="67"/>
  <c r="E34" i="65"/>
  <c r="D31" i="65"/>
  <c r="D59" i="65" s="1"/>
  <c r="D39" i="64"/>
  <c r="F31" i="64"/>
  <c r="D59" i="68"/>
  <c r="E39" i="64"/>
  <c r="G41" i="64"/>
  <c r="G32" i="73"/>
  <c r="G31" i="73" s="1"/>
  <c r="G32" i="71"/>
  <c r="F39" i="63"/>
  <c r="F59" i="63" s="1"/>
  <c r="G23" i="61"/>
  <c r="D39" i="62"/>
  <c r="D59" i="62" s="1"/>
  <c r="G43" i="73"/>
  <c r="G42" i="70"/>
  <c r="E29" i="68"/>
  <c r="C39" i="68"/>
  <c r="D29" i="62"/>
  <c r="E39" i="62"/>
  <c r="E59" i="62" s="1"/>
  <c r="C20" i="61"/>
  <c r="C29" i="61" s="1"/>
  <c r="G22" i="61"/>
  <c r="G20" i="61" s="1"/>
  <c r="G42" i="73"/>
  <c r="G43" i="69"/>
  <c r="G43" i="70"/>
  <c r="G32" i="64"/>
  <c r="G41" i="61"/>
  <c r="G43" i="71"/>
  <c r="G43" i="68"/>
  <c r="G34" i="64"/>
  <c r="D59" i="73"/>
  <c r="E42" i="64"/>
  <c r="D42" i="64"/>
  <c r="F42" i="64"/>
  <c r="D40" i="63"/>
  <c r="C40" i="63"/>
  <c r="E41" i="63"/>
  <c r="E40" i="63"/>
  <c r="D41" i="63"/>
  <c r="D59" i="72"/>
  <c r="E59" i="71"/>
  <c r="D31" i="64"/>
  <c r="G32" i="61"/>
  <c r="G31" i="61" s="1"/>
  <c r="F59" i="73"/>
  <c r="G42" i="69"/>
  <c r="E59" i="70"/>
  <c r="E59" i="73"/>
  <c r="G40" i="72"/>
  <c r="G39" i="72" s="1"/>
  <c r="C39" i="71"/>
  <c r="D39" i="69"/>
  <c r="E59" i="68"/>
  <c r="F59" i="67"/>
  <c r="G40" i="67"/>
  <c r="G39" i="67" s="1"/>
  <c r="E59" i="67"/>
  <c r="C39" i="61"/>
  <c r="C39" i="64"/>
  <c r="C78" i="67"/>
  <c r="C80" i="73"/>
  <c r="C81" i="73" s="1"/>
  <c r="C29" i="71"/>
  <c r="C80" i="71"/>
  <c r="C81" i="71" s="1"/>
  <c r="C80" i="70"/>
  <c r="C81" i="70" s="1"/>
  <c r="C32" i="74"/>
  <c r="G32" i="74" s="1"/>
  <c r="G31" i="74" s="1"/>
  <c r="C32" i="68"/>
  <c r="G32" i="68" s="1"/>
  <c r="F79" i="67"/>
  <c r="F80" i="67" s="1"/>
  <c r="G33" i="68"/>
  <c r="C29" i="64"/>
  <c r="C80" i="64"/>
  <c r="C81" i="64" s="1"/>
  <c r="G32" i="62"/>
  <c r="G31" i="62" s="1"/>
  <c r="D20" i="61"/>
  <c r="D40" i="61"/>
  <c r="D39" i="61" s="1"/>
  <c r="C41" i="62"/>
  <c r="F59" i="62"/>
  <c r="G43" i="63"/>
  <c r="C41" i="63"/>
  <c r="E40" i="74"/>
  <c r="F42" i="74"/>
  <c r="F59" i="74" s="1"/>
  <c r="D42" i="74"/>
  <c r="D59" i="74" s="1"/>
  <c r="D29" i="74"/>
  <c r="E78" i="74"/>
  <c r="E81" i="74" s="1"/>
  <c r="C42" i="74"/>
  <c r="E42" i="74"/>
  <c r="C77" i="74"/>
  <c r="F79" i="74"/>
  <c r="F29" i="74"/>
  <c r="F80" i="74"/>
  <c r="D79" i="74"/>
  <c r="D80" i="74" s="1"/>
  <c r="C79" i="74"/>
  <c r="C80" i="74" s="1"/>
  <c r="C29" i="74"/>
  <c r="F79" i="73"/>
  <c r="F80" i="73" s="1"/>
  <c r="F29" i="73"/>
  <c r="D79" i="73"/>
  <c r="D80" i="73" s="1"/>
  <c r="D29" i="73"/>
  <c r="C31" i="73"/>
  <c r="C29" i="73"/>
  <c r="G40" i="73"/>
  <c r="G39" i="73" s="1"/>
  <c r="C39" i="73"/>
  <c r="E79" i="73"/>
  <c r="E29" i="73"/>
  <c r="D79" i="72"/>
  <c r="D80" i="72" s="1"/>
  <c r="D81" i="72" s="1"/>
  <c r="D29" i="72"/>
  <c r="C39" i="72"/>
  <c r="C79" i="72"/>
  <c r="C80" i="72" s="1"/>
  <c r="C81" i="72" s="1"/>
  <c r="F79" i="72"/>
  <c r="F80" i="72" s="1"/>
  <c r="F29" i="72"/>
  <c r="E79" i="72"/>
  <c r="E80" i="72" s="1"/>
  <c r="E81" i="72" s="1"/>
  <c r="E29" i="72"/>
  <c r="E60" i="72" s="1"/>
  <c r="C29" i="72"/>
  <c r="C31" i="72"/>
  <c r="G32" i="72"/>
  <c r="G31" i="72" s="1"/>
  <c r="F59" i="72"/>
  <c r="C31" i="71"/>
  <c r="D79" i="71"/>
  <c r="D80" i="71" s="1"/>
  <c r="D29" i="71"/>
  <c r="E79" i="71"/>
  <c r="E80" i="71" s="1"/>
  <c r="E29" i="71"/>
  <c r="D59" i="71"/>
  <c r="G42" i="71"/>
  <c r="F40" i="71"/>
  <c r="F39" i="71" s="1"/>
  <c r="F59" i="71" s="1"/>
  <c r="F29" i="71"/>
  <c r="F79" i="71"/>
  <c r="F80" i="71" s="1"/>
  <c r="F78" i="71"/>
  <c r="D78" i="71"/>
  <c r="G31" i="71"/>
  <c r="G32" i="70"/>
  <c r="G31" i="70" s="1"/>
  <c r="C31" i="70"/>
  <c r="D79" i="70"/>
  <c r="D80" i="70" s="1"/>
  <c r="D29" i="70"/>
  <c r="D59" i="70"/>
  <c r="F40" i="70"/>
  <c r="F39" i="70" s="1"/>
  <c r="F59" i="70" s="1"/>
  <c r="F29" i="70"/>
  <c r="F79" i="70"/>
  <c r="C40" i="70"/>
  <c r="C29" i="70"/>
  <c r="E79" i="70"/>
  <c r="E29" i="70"/>
  <c r="C40" i="69"/>
  <c r="D32" i="69"/>
  <c r="D31" i="69" s="1"/>
  <c r="E40" i="69"/>
  <c r="E39" i="69" s="1"/>
  <c r="E59" i="69" s="1"/>
  <c r="E29" i="69"/>
  <c r="C77" i="69"/>
  <c r="C78" i="69" s="1"/>
  <c r="E79" i="69"/>
  <c r="F32" i="69"/>
  <c r="F31" i="69" s="1"/>
  <c r="C32" i="69"/>
  <c r="F40" i="69"/>
  <c r="F39" i="69" s="1"/>
  <c r="E81" i="68"/>
  <c r="F79" i="68"/>
  <c r="F80" i="68" s="1"/>
  <c r="F29" i="68"/>
  <c r="D79" i="68"/>
  <c r="D80" i="68" s="1"/>
  <c r="D29" i="68"/>
  <c r="F59" i="68"/>
  <c r="G42" i="68"/>
  <c r="G40" i="68"/>
  <c r="G39" i="68" s="1"/>
  <c r="E79" i="67"/>
  <c r="E29" i="67"/>
  <c r="E80" i="67"/>
  <c r="D32" i="67"/>
  <c r="D31" i="67" s="1"/>
  <c r="D59" i="67" s="1"/>
  <c r="C32" i="67"/>
  <c r="C39" i="67"/>
  <c r="E78" i="67"/>
  <c r="C41" i="66"/>
  <c r="C77" i="66"/>
  <c r="C78" i="66" s="1"/>
  <c r="F32" i="66"/>
  <c r="F31" i="66" s="1"/>
  <c r="F59" i="66" s="1"/>
  <c r="C32" i="66"/>
  <c r="F79" i="65"/>
  <c r="F80" i="65" s="1"/>
  <c r="E79" i="65"/>
  <c r="D78" i="65"/>
  <c r="D79" i="64"/>
  <c r="D80" i="64" s="1"/>
  <c r="D81" i="64" s="1"/>
  <c r="D29" i="64"/>
  <c r="C31" i="64"/>
  <c r="E79" i="64"/>
  <c r="E80" i="64" s="1"/>
  <c r="E29" i="64"/>
  <c r="F40" i="64"/>
  <c r="F39" i="64" s="1"/>
  <c r="F79" i="64"/>
  <c r="F80" i="64" s="1"/>
  <c r="D64" i="63"/>
  <c r="D65" i="63" s="1"/>
  <c r="D29" i="63"/>
  <c r="F64" i="63"/>
  <c r="F65" i="63" s="1"/>
  <c r="F29" i="63"/>
  <c r="E64" i="63"/>
  <c r="E29" i="63"/>
  <c r="G31" i="63"/>
  <c r="G42" i="63"/>
  <c r="C31" i="63"/>
  <c r="D64" i="62"/>
  <c r="F64" i="62"/>
  <c r="F65" i="62" s="1"/>
  <c r="F29" i="62"/>
  <c r="G40" i="62"/>
  <c r="E64" i="62"/>
  <c r="E65" i="62" s="1"/>
  <c r="E29" i="62"/>
  <c r="G42" i="62"/>
  <c r="G43" i="62"/>
  <c r="E63" i="62"/>
  <c r="C31" i="62"/>
  <c r="D64" i="61"/>
  <c r="D65" i="61" s="1"/>
  <c r="D66" i="61" s="1"/>
  <c r="C62" i="61"/>
  <c r="C63" i="61" s="1"/>
  <c r="C64" i="61"/>
  <c r="C65" i="61" s="1"/>
  <c r="D23" i="61"/>
  <c r="E66" i="61"/>
  <c r="E42" i="61"/>
  <c r="E23" i="61"/>
  <c r="C31" i="61"/>
  <c r="E20" i="61"/>
  <c r="E40" i="61"/>
  <c r="F59" i="61"/>
  <c r="F29" i="61"/>
  <c r="F64" i="61"/>
  <c r="F65" i="61" s="1"/>
  <c r="F66" i="61" s="1"/>
  <c r="F34" i="65" l="1"/>
  <c r="F31" i="65" s="1"/>
  <c r="F59" i="65" s="1"/>
  <c r="F60" i="65" s="1"/>
  <c r="E31" i="65"/>
  <c r="E59" i="65" s="1"/>
  <c r="E60" i="65" s="1"/>
  <c r="G34" i="65"/>
  <c r="G31" i="65" s="1"/>
  <c r="G59" i="65" s="1"/>
  <c r="E59" i="64"/>
  <c r="E60" i="64" s="1"/>
  <c r="G41" i="63"/>
  <c r="D60" i="72"/>
  <c r="E60" i="73"/>
  <c r="G31" i="64"/>
  <c r="C31" i="74"/>
  <c r="C59" i="74" s="1"/>
  <c r="C60" i="74" s="1"/>
  <c r="D60" i="68"/>
  <c r="F60" i="63"/>
  <c r="D59" i="69"/>
  <c r="F59" i="64"/>
  <c r="E60" i="68"/>
  <c r="D59" i="64"/>
  <c r="D60" i="64" s="1"/>
  <c r="E60" i="62"/>
  <c r="C59" i="61"/>
  <c r="C60" i="61" s="1"/>
  <c r="C29" i="68"/>
  <c r="G29" i="68" s="1"/>
  <c r="F29" i="64"/>
  <c r="F60" i="64" s="1"/>
  <c r="D60" i="73"/>
  <c r="E39" i="63"/>
  <c r="E59" i="63" s="1"/>
  <c r="E60" i="63" s="1"/>
  <c r="G40" i="63"/>
  <c r="C64" i="63"/>
  <c r="C65" i="63" s="1"/>
  <c r="E29" i="74"/>
  <c r="G29" i="74" s="1"/>
  <c r="G43" i="64"/>
  <c r="C42" i="64"/>
  <c r="G42" i="64" s="1"/>
  <c r="D39" i="63"/>
  <c r="D59" i="63" s="1"/>
  <c r="D60" i="63" s="1"/>
  <c r="F60" i="73"/>
  <c r="E60" i="71"/>
  <c r="E60" i="70"/>
  <c r="C31" i="68"/>
  <c r="C59" i="68" s="1"/>
  <c r="G31" i="68"/>
  <c r="G59" i="68" s="1"/>
  <c r="E60" i="67"/>
  <c r="G59" i="73"/>
  <c r="C59" i="73"/>
  <c r="C60" i="73" s="1"/>
  <c r="G59" i="72"/>
  <c r="C59" i="72"/>
  <c r="C60" i="72" s="1"/>
  <c r="C59" i="71"/>
  <c r="C60" i="71" s="1"/>
  <c r="F60" i="62"/>
  <c r="F60" i="61"/>
  <c r="D29" i="61"/>
  <c r="G40" i="64"/>
  <c r="G39" i="64" s="1"/>
  <c r="D81" i="74"/>
  <c r="C79" i="68"/>
  <c r="C80" i="68" s="1"/>
  <c r="C81" i="68" s="1"/>
  <c r="F29" i="67"/>
  <c r="F60" i="67" s="1"/>
  <c r="F81" i="72"/>
  <c r="E60" i="69"/>
  <c r="D81" i="70"/>
  <c r="E80" i="70"/>
  <c r="E81" i="70" s="1"/>
  <c r="D81" i="68"/>
  <c r="F60" i="68"/>
  <c r="F81" i="68"/>
  <c r="E81" i="67"/>
  <c r="F81" i="74"/>
  <c r="F81" i="71"/>
  <c r="F80" i="70"/>
  <c r="F81" i="70" s="1"/>
  <c r="F81" i="67"/>
  <c r="E80" i="65"/>
  <c r="E81" i="65" s="1"/>
  <c r="D60" i="62"/>
  <c r="G41" i="62"/>
  <c r="G39" i="62" s="1"/>
  <c r="G59" i="62" s="1"/>
  <c r="C39" i="62"/>
  <c r="C59" i="62" s="1"/>
  <c r="D65" i="62"/>
  <c r="D66" i="62" s="1"/>
  <c r="C64" i="62"/>
  <c r="C65" i="62" s="1"/>
  <c r="C66" i="62" s="1"/>
  <c r="E66" i="62"/>
  <c r="C29" i="62"/>
  <c r="C29" i="63"/>
  <c r="G29" i="63" s="1"/>
  <c r="C39" i="63"/>
  <c r="C59" i="63" s="1"/>
  <c r="D60" i="74"/>
  <c r="E39" i="74"/>
  <c r="E59" i="74" s="1"/>
  <c r="G40" i="74"/>
  <c r="G39" i="74" s="1"/>
  <c r="G42" i="74"/>
  <c r="F60" i="74"/>
  <c r="G43" i="74"/>
  <c r="C78" i="74"/>
  <c r="C81" i="74" s="1"/>
  <c r="G29" i="73"/>
  <c r="D81" i="73"/>
  <c r="F81" i="73"/>
  <c r="E80" i="73"/>
  <c r="E81" i="73" s="1"/>
  <c r="F60" i="72"/>
  <c r="G29" i="72"/>
  <c r="F60" i="71"/>
  <c r="G29" i="71"/>
  <c r="D81" i="71"/>
  <c r="G40" i="71"/>
  <c r="G39" i="71" s="1"/>
  <c r="G59" i="71" s="1"/>
  <c r="E81" i="71"/>
  <c r="D60" i="71"/>
  <c r="F60" i="70"/>
  <c r="C39" i="70"/>
  <c r="C59" i="70" s="1"/>
  <c r="C60" i="70" s="1"/>
  <c r="G40" i="70"/>
  <c r="G39" i="70" s="1"/>
  <c r="G59" i="70" s="1"/>
  <c r="G29" i="70"/>
  <c r="D60" i="70"/>
  <c r="C39" i="69"/>
  <c r="G40" i="69"/>
  <c r="G39" i="69" s="1"/>
  <c r="C79" i="69"/>
  <c r="C29" i="69"/>
  <c r="C80" i="69"/>
  <c r="C81" i="69" s="1"/>
  <c r="E80" i="69"/>
  <c r="E81" i="69" s="1"/>
  <c r="D79" i="69"/>
  <c r="D80" i="69" s="1"/>
  <c r="D29" i="69"/>
  <c r="C31" i="69"/>
  <c r="G32" i="69"/>
  <c r="G31" i="69" s="1"/>
  <c r="F79" i="69"/>
  <c r="F80" i="69" s="1"/>
  <c r="F29" i="69"/>
  <c r="F59" i="69"/>
  <c r="D79" i="67"/>
  <c r="D80" i="67" s="1"/>
  <c r="D29" i="67"/>
  <c r="D60" i="67" s="1"/>
  <c r="C79" i="67"/>
  <c r="C80" i="67" s="1"/>
  <c r="C29" i="67"/>
  <c r="C31" i="67"/>
  <c r="C59" i="67" s="1"/>
  <c r="G32" i="67"/>
  <c r="G31" i="67" s="1"/>
  <c r="G59" i="67" s="1"/>
  <c r="F79" i="66"/>
  <c r="F29" i="66"/>
  <c r="F60" i="66" s="1"/>
  <c r="C29" i="66"/>
  <c r="C79" i="66"/>
  <c r="C80" i="66" s="1"/>
  <c r="C31" i="66"/>
  <c r="G41" i="66"/>
  <c r="G39" i="66" s="1"/>
  <c r="C39" i="66"/>
  <c r="F81" i="65"/>
  <c r="C79" i="65"/>
  <c r="C80" i="65" s="1"/>
  <c r="D79" i="65"/>
  <c r="D80" i="65" s="1"/>
  <c r="D81" i="65" s="1"/>
  <c r="D60" i="65"/>
  <c r="E81" i="64"/>
  <c r="F81" i="64"/>
  <c r="F66" i="63"/>
  <c r="D66" i="63"/>
  <c r="E65" i="63"/>
  <c r="E66" i="63" s="1"/>
  <c r="F66" i="62"/>
  <c r="D42" i="61"/>
  <c r="G43" i="61"/>
  <c r="E29" i="61"/>
  <c r="E39" i="61"/>
  <c r="E59" i="61" s="1"/>
  <c r="G40" i="61"/>
  <c r="G39" i="61" s="1"/>
  <c r="C66" i="61"/>
  <c r="G39" i="63" l="1"/>
  <c r="G59" i="63" s="1"/>
  <c r="G29" i="64"/>
  <c r="G59" i="64"/>
  <c r="D60" i="69"/>
  <c r="C59" i="66"/>
  <c r="C60" i="66" s="1"/>
  <c r="G60" i="72"/>
  <c r="G61" i="72" s="1"/>
  <c r="C60" i="68"/>
  <c r="E60" i="74"/>
  <c r="C66" i="63"/>
  <c r="C59" i="64"/>
  <c r="C60" i="64" s="1"/>
  <c r="G60" i="73"/>
  <c r="G61" i="73" s="1"/>
  <c r="G29" i="61"/>
  <c r="G59" i="74"/>
  <c r="G60" i="74" s="1"/>
  <c r="G61" i="74" s="1"/>
  <c r="C59" i="69"/>
  <c r="C60" i="69" s="1"/>
  <c r="G60" i="68"/>
  <c r="G61" i="68" s="1"/>
  <c r="G60" i="71"/>
  <c r="G61" i="71" s="1"/>
  <c r="C60" i="62"/>
  <c r="G29" i="62"/>
  <c r="G60" i="62" s="1"/>
  <c r="C60" i="63"/>
  <c r="G60" i="63"/>
  <c r="G60" i="70"/>
  <c r="G61" i="70" s="1"/>
  <c r="D81" i="69"/>
  <c r="F60" i="69"/>
  <c r="F81" i="69"/>
  <c r="G29" i="69"/>
  <c r="G59" i="69"/>
  <c r="D81" i="67"/>
  <c r="G29" i="67"/>
  <c r="G60" i="67" s="1"/>
  <c r="G61" i="67" s="1"/>
  <c r="C60" i="67"/>
  <c r="C81" i="67"/>
  <c r="C81" i="66"/>
  <c r="F80" i="66"/>
  <c r="F81" i="66" s="1"/>
  <c r="C60" i="65"/>
  <c r="C81" i="65"/>
  <c r="D59" i="61"/>
  <c r="D60" i="61" s="1"/>
  <c r="G42" i="61"/>
  <c r="G59" i="61" s="1"/>
  <c r="E60" i="61"/>
  <c r="G60" i="64" l="1"/>
  <c r="G61" i="64" s="1"/>
  <c r="G60" i="61"/>
  <c r="G60" i="65"/>
  <c r="G61" i="65" s="1"/>
  <c r="G60" i="69"/>
  <c r="G61" i="69" s="1"/>
  <c r="E33" i="47" l="1"/>
  <c r="E63" i="47"/>
  <c r="C63" i="47"/>
  <c r="C33" i="47"/>
  <c r="G57" i="47"/>
  <c r="G56" i="47"/>
  <c r="G55" i="47"/>
  <c r="G54" i="47"/>
  <c r="G53" i="47"/>
  <c r="G52" i="47"/>
  <c r="G51" i="47"/>
  <c r="G50" i="47"/>
  <c r="G49" i="47"/>
  <c r="G48" i="47"/>
  <c r="G47" i="47"/>
  <c r="G46" i="47"/>
  <c r="G45" i="47"/>
  <c r="G44" i="47"/>
  <c r="G38" i="47"/>
  <c r="G37" i="47"/>
  <c r="F36" i="47"/>
  <c r="E36" i="47"/>
  <c r="D36" i="47"/>
  <c r="C36" i="47"/>
  <c r="G35" i="47"/>
  <c r="G34" i="47"/>
  <c r="F33" i="47"/>
  <c r="D33" i="47"/>
  <c r="G28" i="47"/>
  <c r="G27" i="47"/>
  <c r="F26" i="47"/>
  <c r="E26" i="47"/>
  <c r="D26" i="47"/>
  <c r="C26" i="47"/>
  <c r="G36" i="47" l="1"/>
  <c r="C41" i="47"/>
  <c r="E20" i="47"/>
  <c r="D32" i="47"/>
  <c r="D31" i="47" s="1"/>
  <c r="E40" i="47"/>
  <c r="E42" i="47"/>
  <c r="D42" i="47"/>
  <c r="G58" i="47"/>
  <c r="F63" i="47"/>
  <c r="F64" i="47" s="1"/>
  <c r="E32" i="47"/>
  <c r="G15" i="47"/>
  <c r="G26" i="47"/>
  <c r="G33" i="47"/>
  <c r="C64" i="47"/>
  <c r="E64" i="47"/>
  <c r="G25" i="47" l="1"/>
  <c r="G43" i="47"/>
  <c r="G10" i="47"/>
  <c r="G9" i="47" s="1"/>
  <c r="F65" i="47"/>
  <c r="F32" i="47"/>
  <c r="F31" i="47" s="1"/>
  <c r="D23" i="47"/>
  <c r="C40" i="47"/>
  <c r="D41" i="47"/>
  <c r="F41" i="47"/>
  <c r="G22" i="47"/>
  <c r="F42" i="47"/>
  <c r="E23" i="47"/>
  <c r="E41" i="47"/>
  <c r="E39" i="47" s="1"/>
  <c r="E65" i="47"/>
  <c r="C65" i="47"/>
  <c r="C66" i="47" s="1"/>
  <c r="C32" i="47"/>
  <c r="C31" i="47" s="1"/>
  <c r="C39" i="47"/>
  <c r="F23" i="47"/>
  <c r="D20" i="47"/>
  <c r="D40" i="47"/>
  <c r="C20" i="47"/>
  <c r="D65" i="47"/>
  <c r="D66" i="47" s="1"/>
  <c r="D63" i="47"/>
  <c r="D64" i="47" s="1"/>
  <c r="F40" i="47"/>
  <c r="F20" i="47"/>
  <c r="G24" i="47"/>
  <c r="G21" i="47"/>
  <c r="E31" i="47"/>
  <c r="E59" i="47" s="1"/>
  <c r="C42" i="47" l="1"/>
  <c r="G20" i="47"/>
  <c r="G23" i="47"/>
  <c r="F29" i="47"/>
  <c r="F66" i="47"/>
  <c r="F67" i="47" s="1"/>
  <c r="D39" i="47"/>
  <c r="D59" i="47" s="1"/>
  <c r="C67" i="47"/>
  <c r="G42" i="47"/>
  <c r="G32" i="47"/>
  <c r="G31" i="47" s="1"/>
  <c r="E66" i="47"/>
  <c r="E67" i="47" s="1"/>
  <c r="E29" i="47"/>
  <c r="E60" i="47" s="1"/>
  <c r="G41" i="47"/>
  <c r="C59" i="47"/>
  <c r="C29" i="47"/>
  <c r="D29" i="47"/>
  <c r="G40" i="47"/>
  <c r="F39" i="47"/>
  <c r="F59" i="47" s="1"/>
  <c r="D67" i="47"/>
  <c r="D60" i="47" l="1"/>
  <c r="F60" i="47"/>
  <c r="C60" i="47"/>
  <c r="G39" i="47"/>
  <c r="G59" i="47" s="1"/>
  <c r="G29" i="47"/>
  <c r="G60" i="47" l="1"/>
  <c r="D32" i="66" l="1"/>
  <c r="D31" i="66" l="1"/>
  <c r="D59" i="66" s="1"/>
  <c r="E32" i="66"/>
  <c r="E31" i="66" s="1"/>
  <c r="E59" i="66" s="1"/>
  <c r="D29" i="66"/>
  <c r="D79" i="66"/>
  <c r="D80" i="66" l="1"/>
  <c r="D81" i="66" s="1"/>
  <c r="D60" i="66"/>
  <c r="E29" i="66"/>
  <c r="E60" i="66" s="1"/>
  <c r="E79" i="66"/>
  <c r="G32" i="66"/>
  <c r="G31" i="66" s="1"/>
  <c r="G59" i="66" s="1"/>
  <c r="G29" i="66" l="1"/>
  <c r="G60" i="66" s="1"/>
  <c r="G61" i="66" s="1"/>
  <c r="E80" i="66"/>
  <c r="E81" i="66" s="1"/>
</calcChain>
</file>

<file path=xl/sharedStrings.xml><?xml version="1.0" encoding="utf-8"?>
<sst xmlns="http://schemas.openxmlformats.org/spreadsheetml/2006/main" count="2808" uniqueCount="316">
  <si>
    <t>№ п/п</t>
  </si>
  <si>
    <t>Наименование статей</t>
  </si>
  <si>
    <t>ДОХОДЫ</t>
  </si>
  <si>
    <t>Техническое обслуживание</t>
  </si>
  <si>
    <t>Прочие:</t>
  </si>
  <si>
    <t>Аренда велопарковок</t>
  </si>
  <si>
    <t>ВСЕГО ДОХОДОВ</t>
  </si>
  <si>
    <t>5</t>
  </si>
  <si>
    <t>План</t>
  </si>
  <si>
    <t>4</t>
  </si>
  <si>
    <t>Санитарное содержание вспомогательных помещений</t>
  </si>
  <si>
    <t>Техническое обслуживание лифта</t>
  </si>
  <si>
    <t>Обращение с твёрдыми коммунальными отходами</t>
  </si>
  <si>
    <t>Текущий ремонт</t>
  </si>
  <si>
    <t>Возмещение расходов на электроэнергию, потребляемую на работу лифта</t>
  </si>
  <si>
    <t>Основные жилищно-коммунальные услуги:</t>
  </si>
  <si>
    <t>Возмещаемые жилищно-коммунальные услуги:</t>
  </si>
  <si>
    <t>Дополнительные жилищно-коммунальные услуги:</t>
  </si>
  <si>
    <t>Техническое обслуживание системы видеонаблюдения</t>
  </si>
  <si>
    <t>Проценты по вкладам вступительного взноса</t>
  </si>
  <si>
    <t>Возмещение расходов на электроэнергию, потребляемую на освещение вспомогательных помещений и работу оборудования, кроме лифта</t>
  </si>
  <si>
    <t>Ставка обслуживающей организации</t>
  </si>
  <si>
    <t>Членский взнос:</t>
  </si>
  <si>
    <t xml:space="preserve">Фонд оплаты труда </t>
  </si>
  <si>
    <t>Комиссия банка за ведение расчетного счета</t>
  </si>
  <si>
    <t>Расходы по регистрации и использованию радиочастотного устройства</t>
  </si>
  <si>
    <t>Услуга по обеспечению эксплуатационной готовности радиочастотного спектра устройств</t>
  </si>
  <si>
    <t>Налог при УСН</t>
  </si>
  <si>
    <t>3</t>
  </si>
  <si>
    <t>Аренда помещения</t>
  </si>
  <si>
    <t>Возмещение коммунальных услуг арендуемого помещения</t>
  </si>
  <si>
    <t>Отчисления из заработной платы (ФСЗН и Белгосстрах)</t>
  </si>
  <si>
    <t xml:space="preserve">Комиссия банка по расчетам за членский взнос и дополнительные услуги </t>
  </si>
  <si>
    <t>Прочие расходы:</t>
  </si>
  <si>
    <t>РАСХОДЫ</t>
  </si>
  <si>
    <t>Услуга по обеспечению начислений за ЖКУ с исп. системы "Комплат"</t>
  </si>
  <si>
    <t>Вознаграждение расчетных агентов</t>
  </si>
  <si>
    <t>ВСЕГО РАСХОДОВ</t>
  </si>
  <si>
    <t>Услуги обслуживающей организации</t>
  </si>
  <si>
    <t>Техническое обслуживание подъемников</t>
  </si>
  <si>
    <t>Техническое обслуживание запорно-переговорных устройств</t>
  </si>
  <si>
    <t>Техническое обслуживание лифта с учетом технического освидетельствования с электрофмзическими измерениями и стоимостью расходного материала</t>
  </si>
  <si>
    <t>Услуга по обеспечению начислений за ЖКУ с исп. системы "Комплат" (обслуживание лицевого счета)</t>
  </si>
  <si>
    <t>Комиссия банка по расчетам за членский взнос и дополнительные услуги (2%)</t>
  </si>
  <si>
    <t>Земельный налог</t>
  </si>
  <si>
    <t>Материалы для технического обслуживания и эксплуатации зданий, дворовой территории и элементов благоустройства</t>
  </si>
  <si>
    <t>0.24 руб</t>
  </si>
  <si>
    <t>2% от суммы извещения</t>
  </si>
  <si>
    <t>Прочие услуги и работы по ремонту, обслуживанию и эксплуатации общедомового оборудования, дворовой территории и элементов благоустройства</t>
  </si>
  <si>
    <t>Согласно декларации по земельному налогу за 2020 год</t>
  </si>
  <si>
    <t>Членский взнос</t>
  </si>
  <si>
    <t>Справочная информация</t>
  </si>
  <si>
    <t>Количество помещений - 328</t>
  </si>
  <si>
    <t>Общая площадь - 15210.56</t>
  </si>
  <si>
    <t>Согласно дефектного акта и сметы на каждый подъезд</t>
  </si>
  <si>
    <t>Возмещение экономически обоснованных затрат</t>
  </si>
  <si>
    <t>*Разрешить обоснованное отклонение по статьям доходов и расходов в пределах 20%</t>
  </si>
  <si>
    <t>Водоснабжение МОП, в том числе сезонный полив</t>
  </si>
  <si>
    <t>Техническое обслуживание по ЭОЗ</t>
  </si>
  <si>
    <t>Тариф</t>
  </si>
  <si>
    <t>Площадь по тарифу, м.кв</t>
  </si>
  <si>
    <t>Количество Квартир</t>
  </si>
  <si>
    <t>Кол-во кв</t>
  </si>
  <si>
    <t>Сумма</t>
  </si>
  <si>
    <t>Кол-во м.кв</t>
  </si>
  <si>
    <t>Водоснабжение МОП</t>
  </si>
  <si>
    <t>Возмещение расходов на электроэнергию, потребляемую уличное освещение</t>
  </si>
  <si>
    <t>тх2</t>
  </si>
  <si>
    <t>тх4</t>
  </si>
  <si>
    <t>тх6</t>
  </si>
  <si>
    <t>кт</t>
  </si>
  <si>
    <t>ув1</t>
  </si>
  <si>
    <t>ув3</t>
  </si>
  <si>
    <t>ув5</t>
  </si>
  <si>
    <t>ув7</t>
  </si>
  <si>
    <t>ув9</t>
  </si>
  <si>
    <t>ув11</t>
  </si>
  <si>
    <t>ув13</t>
  </si>
  <si>
    <t>ув15</t>
  </si>
  <si>
    <t>ув17</t>
  </si>
  <si>
    <t>ув19</t>
  </si>
  <si>
    <t>ув21</t>
  </si>
  <si>
    <t>Водоснабжение (сезонный полив)</t>
  </si>
  <si>
    <t>ув</t>
  </si>
  <si>
    <t>тх</t>
  </si>
  <si>
    <t>ул, Морской Бриз, д, 1</t>
  </si>
  <si>
    <t>ул, Морской Бриз, д, 2</t>
  </si>
  <si>
    <t>ул, Морской Бриз, д, 3</t>
  </si>
  <si>
    <t>ул, Морской Бриз, д, 4</t>
  </si>
  <si>
    <t>ул, Морской Бриз, д, 5</t>
  </si>
  <si>
    <t>ул, Морской Бриз, д, 6</t>
  </si>
  <si>
    <t>ул, Морской Бриз, д, 7</t>
  </si>
  <si>
    <t>ул, Морской Бриз, д, 8</t>
  </si>
  <si>
    <t>ул, Морской Бриз, д, 9</t>
  </si>
  <si>
    <t>ул, Солнечный Пляж, д, 1</t>
  </si>
  <si>
    <t>ул, Солнечный Пляж, д, 11</t>
  </si>
  <si>
    <t>ул, Солнечный Пляж, д, 13</t>
  </si>
  <si>
    <t>ул, Солнечный Пляж, д, 15</t>
  </si>
  <si>
    <t>ул, Солнечный Пляж, д, 17</t>
  </si>
  <si>
    <t>ул, Солнечный Пляж, д, 19</t>
  </si>
  <si>
    <t>ул, Солнечный Пляж, д, 2</t>
  </si>
  <si>
    <t>ул, Солнечный Пляж, д, 21</t>
  </si>
  <si>
    <t>ул, Солнечный Пляж, д, 3</t>
  </si>
  <si>
    <t>ул, Солнечный Пляж, д, 4</t>
  </si>
  <si>
    <t>ул, Солнечный Пляж, д, 5</t>
  </si>
  <si>
    <t>ул, Солнечный Пляж, д, 6</t>
  </si>
  <si>
    <t>ул, Солнечный Пляж, д, 7</t>
  </si>
  <si>
    <t>ул, Солнечный Пляж, д, 9</t>
  </si>
  <si>
    <t>ув 3</t>
  </si>
  <si>
    <t>ув 5</t>
  </si>
  <si>
    <t>ув 1</t>
  </si>
  <si>
    <t>ув 7</t>
  </si>
  <si>
    <t>ув 9</t>
  </si>
  <si>
    <t xml:space="preserve">С ЯНВАРЯ </t>
  </si>
  <si>
    <t>С СЕНТЯБРЯ</t>
  </si>
  <si>
    <t xml:space="preserve">Сумма </t>
  </si>
  <si>
    <t>Тариф ЭОЗ</t>
  </si>
  <si>
    <t xml:space="preserve">Техническое обслуживание запорнопереговорных устройств жилого дома </t>
  </si>
  <si>
    <t xml:space="preserve"> Обращение с твердыми коммунальными отходами</t>
  </si>
  <si>
    <t>Тариф субсидируемый</t>
  </si>
  <si>
    <t xml:space="preserve"> Санитарное содержание вспомогательных помещений жилого дома</t>
  </si>
  <si>
    <t>Э/Э МОП</t>
  </si>
  <si>
    <t>Э/Э ЛИФТ</t>
  </si>
  <si>
    <t>С ИЮНЯ</t>
  </si>
  <si>
    <t>Видео</t>
  </si>
  <si>
    <t xml:space="preserve"> Техническое обслуживание</t>
  </si>
  <si>
    <t>Членский взнос, ставка обслуживающей организации</t>
  </si>
  <si>
    <t>Членский взнос, возмещение экономически обоснованных затрат</t>
  </si>
  <si>
    <t>норма/объем</t>
  </si>
  <si>
    <t>усл</t>
  </si>
  <si>
    <t xml:space="preserve"> Техническое обслуживание </t>
  </si>
  <si>
    <t>кол-во квартир</t>
  </si>
  <si>
    <t>Номер дома</t>
  </si>
  <si>
    <t>Прочее( конверты, марки, бумага)</t>
  </si>
  <si>
    <t>Вступительные взносы</t>
  </si>
  <si>
    <t>Интернет, Wi-Fi, белтелеком</t>
  </si>
  <si>
    <t xml:space="preserve">СМЕТА  ДОХОДОВ И РАСХОДОВ ТОВАРИЩЕСТВА СОБСТВЕННИКОВ "КВАРТАЛ ПИРС-1" </t>
  </si>
  <si>
    <t>Электроэнергия уличного отвещения</t>
  </si>
  <si>
    <t>Аренда "Пряничный домик"</t>
  </si>
  <si>
    <t>Компенсация комиссии ЕРИП</t>
  </si>
  <si>
    <t xml:space="preserve">Страховое возмещение </t>
  </si>
  <si>
    <t>Пени</t>
  </si>
  <si>
    <t>Техническое обслуживание запорно-переговорных устройств, техническое обслуживание системы видеонаблюдения (БайТехСерис ООО)</t>
  </si>
  <si>
    <t>Дополнительные расходы А100-комфорт - уборка снега механиз., альпинисты и тп</t>
  </si>
  <si>
    <t>Вознаграждение расчетного агента (РЦС) по основным ЖКУ</t>
  </si>
  <si>
    <t>Фонд оплаты труда</t>
  </si>
  <si>
    <t>Отчисления из заработной платы (ФСЗН и Белгосстрах</t>
  </si>
  <si>
    <t xml:space="preserve">Возмещение коммунальных услуг арендуемого </t>
  </si>
  <si>
    <t>Убытки прошлого периода</t>
  </si>
  <si>
    <t>ПРИБЫЛЬ/УБЫТОК</t>
  </si>
  <si>
    <t>УВ</t>
  </si>
  <si>
    <t>ТХ,КТ</t>
  </si>
  <si>
    <t>Наименование работ</t>
  </si>
  <si>
    <t>Перечень материалов</t>
  </si>
  <si>
    <t>Кол-во материалов, кг, шт</t>
  </si>
  <si>
    <t>Стоимость материалов, руб</t>
  </si>
  <si>
    <t>Время работы, час</t>
  </si>
  <si>
    <t>Стоимость работ</t>
  </si>
  <si>
    <t>Итого</t>
  </si>
  <si>
    <t>окраска водоприемников, труб канализации, регистра, станины итп, торца крыльца</t>
  </si>
  <si>
    <t>Краска маслянная серая 2 кг</t>
  </si>
  <si>
    <t>окраска отливов парапета кровли</t>
  </si>
  <si>
    <t>Краска маслянная белая 2 кг</t>
  </si>
  <si>
    <t>окраска стен подъезда</t>
  </si>
  <si>
    <t>Краска RAL 7043 Антроцит, Капарол 10 л</t>
  </si>
  <si>
    <t>Краска RAL 9003 Амфиболин, Капарол 10 л</t>
  </si>
  <si>
    <t>окраска стен фасада</t>
  </si>
  <si>
    <t>шпатлевание сколов стен и мех повреждений</t>
  </si>
  <si>
    <t>Шпатлевка 20 кг</t>
  </si>
  <si>
    <t>фуговка швов напольной плитки</t>
  </si>
  <si>
    <t>Фуга 2 кг</t>
  </si>
  <si>
    <t>Отмывка кистей, подготовка оснований под окраску</t>
  </si>
  <si>
    <t>Расстворитель 5 литр</t>
  </si>
  <si>
    <t>герметизация поддона лапомойки</t>
  </si>
  <si>
    <t>Герметик белый 1 шт</t>
  </si>
  <si>
    <t>переупаковка полотенцесушителя лапомойки</t>
  </si>
  <si>
    <t>Рем. комплект сантех. прокладок 1 компл.</t>
  </si>
  <si>
    <t>подготовка углов, стен МОП под окраску</t>
  </si>
  <si>
    <t>Наждачная бумага 1 шт</t>
  </si>
  <si>
    <t>для точечной окраски</t>
  </si>
  <si>
    <t>Кисти маленькие 1 уп.</t>
  </si>
  <si>
    <t>для производства работ</t>
  </si>
  <si>
    <t>Кисти большие 1 шт</t>
  </si>
  <si>
    <t>Валики 1 шт</t>
  </si>
  <si>
    <t>грунтовка стен, подгатовка под окраску</t>
  </si>
  <si>
    <t>Грунтовка 5 л.</t>
  </si>
  <si>
    <t>Малярная лента 1 шт</t>
  </si>
  <si>
    <t>Малярнные ванночки 1 шт</t>
  </si>
  <si>
    <t>Шлифовка и пропитка уличных деревянных МАФов, беседок, лавочек, площадок ТБО</t>
  </si>
  <si>
    <t>Состав деревозащитный "Профитекс" барбарис 10 л</t>
  </si>
  <si>
    <t>Окраска люков Ливневой и фикальной канализации</t>
  </si>
  <si>
    <t>Краска эмаль светло серая  2 кг</t>
  </si>
  <si>
    <t>Краска эмаль черная  2 кг</t>
  </si>
  <si>
    <t xml:space="preserve">кисти флейцевые </t>
  </si>
  <si>
    <t>Окраска решеток для обуви</t>
  </si>
  <si>
    <t>Краска RAL 7043 2,5 л</t>
  </si>
  <si>
    <t>для производства работ моп</t>
  </si>
  <si>
    <t>Пленка 1 шт</t>
  </si>
  <si>
    <t>% выхода из строя</t>
  </si>
  <si>
    <t>Насос ГВС шт</t>
  </si>
  <si>
    <t>поверка манометров</t>
  </si>
  <si>
    <t xml:space="preserve"> ХимПромывка теплообменников</t>
  </si>
  <si>
    <t>поверка счетчиков  электричества, тепла</t>
  </si>
  <si>
    <t>ЭФИ</t>
  </si>
  <si>
    <t xml:space="preserve">Насос СО </t>
  </si>
  <si>
    <t xml:space="preserve">Теплообменник ГВС и СО </t>
  </si>
  <si>
    <t xml:space="preserve">Фильтр ГВС и СО </t>
  </si>
  <si>
    <t xml:space="preserve">Вибровставка ГВС и СО </t>
  </si>
  <si>
    <t xml:space="preserve">Обратный клапан ГВС </t>
  </si>
  <si>
    <t xml:space="preserve">Автоматический выключатель 125 А </t>
  </si>
  <si>
    <t xml:space="preserve">Автоматический выключатель 63 А </t>
  </si>
  <si>
    <t xml:space="preserve">Автоматический выключатель 32 А </t>
  </si>
  <si>
    <t xml:space="preserve">Автоматический выключатель 16 А </t>
  </si>
  <si>
    <t>Замок электромагнитный/защелка электромагнитная</t>
  </si>
  <si>
    <t>Доводчик входной двери</t>
  </si>
  <si>
    <t xml:space="preserve">Ручка ухват (дворовая калитка) </t>
  </si>
  <si>
    <t xml:space="preserve">Доводчик (дворовая калитка) </t>
  </si>
  <si>
    <t xml:space="preserve">Замок врезной (тамбурные двери, тех. Помещения) </t>
  </si>
  <si>
    <t xml:space="preserve">Ручка дверная (тамбурные двери, тех помещения) </t>
  </si>
  <si>
    <t xml:space="preserve">Преобразователь напряжения 220 -12В (освещение тамбуров, лестничных клеток. входной группы) </t>
  </si>
  <si>
    <t>Светодиодная лента (освещение тамбуров, лестничных клеток. В ходной группы)  5 м</t>
  </si>
  <si>
    <t xml:space="preserve">Датчик движения, включения (освещение тамбуров, лестничных клеток. входной группы) </t>
  </si>
  <si>
    <t xml:space="preserve">Дверной стопор (входные двери) </t>
  </si>
  <si>
    <t xml:space="preserve">Магнит на калитку 120 кг </t>
  </si>
  <si>
    <t>ИТОГО</t>
  </si>
  <si>
    <t>Солнечный Пляж 1-21</t>
  </si>
  <si>
    <t>Краска RAL 7047 Фасадная, Капарол 10 л</t>
  </si>
  <si>
    <t>Краска RAL 7022 Фасадная, Капарол 10 л</t>
  </si>
  <si>
    <t>укрепление порога вых на кповлю</t>
  </si>
  <si>
    <t>Пена монтажная 1 баллон</t>
  </si>
  <si>
    <t>замена доводчика вх. дверей</t>
  </si>
  <si>
    <t>Доводчик 1 шт</t>
  </si>
  <si>
    <t>замена спускника в ИТП</t>
  </si>
  <si>
    <t>Воздухоотводчик 1 шт</t>
  </si>
  <si>
    <t>Перечень предполагаемого оборудования и материалов на 2022 ПИРС - 1</t>
  </si>
  <si>
    <t>Общая площадь жилых помещений по свидетельству</t>
  </si>
  <si>
    <t>Общая площадь жилых помещений фактическая</t>
  </si>
  <si>
    <t xml:space="preserve">Предельно допустимый тариф (цена), размер возмещения расходов, рублей с 1 января с 1 июня </t>
  </si>
  <si>
    <t>м.кв.</t>
  </si>
  <si>
    <t xml:space="preserve">Площадь фактическая </t>
  </si>
  <si>
    <t>Площадь по св. о гос. регистрации</t>
  </si>
  <si>
    <t>Количество жилых помещений</t>
  </si>
  <si>
    <t>Начисления по ТБО (регистрация, условные)</t>
  </si>
  <si>
    <t>кол-во зарег</t>
  </si>
  <si>
    <t>кол-во уловных в квартире пусто = 1</t>
  </si>
  <si>
    <t>Общая площадь жилых помещений по свидетельству ТХ</t>
  </si>
  <si>
    <t>Общая площадь жилых помещений по свидетельству УВ</t>
  </si>
  <si>
    <t>Общая площадь жилых помещений по свидетельству КТ</t>
  </si>
  <si>
    <t>Фактическая площадь жилых помещений на 31.12.2021 ТХ</t>
  </si>
  <si>
    <t>Фактическая площадь жилых помещений на 31.12.2021 КТ</t>
  </si>
  <si>
    <t>Фактическая площадь жилых помещений на 31.12.2021 УВ</t>
  </si>
  <si>
    <t>Членский взнос, ставка обслуживающей организации ДОХОД</t>
  </si>
  <si>
    <t>Членский взнос, возмещение экономически обоснованных затрат ДОХОД</t>
  </si>
  <si>
    <t>Членский взнос, ставка обслуживающей организации РАСХОД</t>
  </si>
  <si>
    <t>Аренда</t>
  </si>
  <si>
    <t>ПИРС-1</t>
  </si>
  <si>
    <t>ПИРС-2</t>
  </si>
  <si>
    <t>1 КВ</t>
  </si>
  <si>
    <t>2 КВ</t>
  </si>
  <si>
    <t>3 КВ</t>
  </si>
  <si>
    <t>4 КВ</t>
  </si>
  <si>
    <t>ТАРИФ С УЧЕТОМ УВЕЛИЧЕНИЯ 15%</t>
  </si>
  <si>
    <t>ПЛОЩАДЬ ПИРС-1+ПИРС-2</t>
  </si>
  <si>
    <t>расчет фактический э/э лифт</t>
  </si>
  <si>
    <t>расчет фактический э/э моп</t>
  </si>
  <si>
    <t>ув 11</t>
  </si>
  <si>
    <t>ув 13</t>
  </si>
  <si>
    <t>ув 15</t>
  </si>
  <si>
    <t>ув 17</t>
  </si>
  <si>
    <t>ув 19</t>
  </si>
  <si>
    <t>ув 21</t>
  </si>
  <si>
    <t>1-3</t>
  </si>
  <si>
    <t>4 -6</t>
  </si>
  <si>
    <t>7 -9</t>
  </si>
  <si>
    <t>10 -12</t>
  </si>
  <si>
    <t>Договор подряда ( лифт)</t>
  </si>
  <si>
    <t>январь</t>
  </si>
  <si>
    <t>февраль</t>
  </si>
  <si>
    <t>март</t>
  </si>
  <si>
    <t>апрель</t>
  </si>
  <si>
    <t>май</t>
  </si>
  <si>
    <t xml:space="preserve">июнь </t>
  </si>
  <si>
    <t>июль</t>
  </si>
  <si>
    <t>август</t>
  </si>
  <si>
    <t>сентябрь</t>
  </si>
  <si>
    <t>октябрь</t>
  </si>
  <si>
    <t>ноябрь</t>
  </si>
  <si>
    <t>декабрь</t>
  </si>
  <si>
    <t>моп</t>
  </si>
  <si>
    <t>лифт</t>
  </si>
  <si>
    <t>КВт</t>
  </si>
  <si>
    <t>ДОХОД</t>
  </si>
  <si>
    <t>Количество ЛИЦЕВЫХ</t>
  </si>
  <si>
    <t>информация от Датком</t>
  </si>
  <si>
    <t>расчет согласно вкладке МОП, ЛИФТ расход</t>
  </si>
  <si>
    <t>необходима информация от Байтех, внесла временно по 2021 1260 руб мес</t>
  </si>
  <si>
    <t xml:space="preserve"> I квартал 2022г.</t>
  </si>
  <si>
    <t xml:space="preserve"> II квартал 2022г.</t>
  </si>
  <si>
    <t xml:space="preserve"> III квартал 2022г.</t>
  </si>
  <si>
    <t xml:space="preserve"> IV квартал 2022г.</t>
  </si>
  <si>
    <t xml:space="preserve"> 2022г.</t>
  </si>
  <si>
    <t>договор подряда</t>
  </si>
  <si>
    <t>согласно информации от инженера, счет сквэм ооо 1710,01,</t>
  </si>
  <si>
    <t>необходима информация</t>
  </si>
  <si>
    <t>необходима информация о ставке асток</t>
  </si>
  <si>
    <t xml:space="preserve"> I квартал 2023г.</t>
  </si>
  <si>
    <t>необходима плановая информация о работах на 2022 год, 1520 технопарт фактически оплачена, 1 и 4 квартал уборка снега</t>
  </si>
  <si>
    <t>необходима плановая информация о работах на 2022 год, 2000 снег</t>
  </si>
  <si>
    <t>68,94*3+27</t>
  </si>
  <si>
    <t>ПИРС 1</t>
  </si>
  <si>
    <t>лампа Е27 60шт 162 руб</t>
  </si>
  <si>
    <t>Данные у поставщика , суммы без учета запасных материалов и оборудования. Данные по 2022 году 36288 на два пирса, информация от Максима</t>
  </si>
  <si>
    <t>расчет согласно вкладке ШНО по тарифу 0,41</t>
  </si>
  <si>
    <t>согласно акта за январь 2022</t>
  </si>
  <si>
    <t xml:space="preserve">Дополнительные расходы А100-комфорт - уборка снега механиз., альпинисты и тп, </t>
  </si>
  <si>
    <t>уборка снега механиз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</si>
</sst>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DejaVu Serif"/>
      <family val="2"/>
    </font>
    <font>
      <sz val="13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3" applyNumberFormat="0" applyAlignment="0" applyProtection="0"/>
    <xf numFmtId="0" fontId="17" fillId="7" borderId="14" applyNumberFormat="0" applyAlignment="0" applyProtection="0"/>
    <xf numFmtId="0" fontId="18" fillId="7" borderId="13" applyNumberFormat="0" applyAlignment="0" applyProtection="0"/>
    <xf numFmtId="0" fontId="19" fillId="0" borderId="15" applyNumberFormat="0" applyFill="0" applyAlignment="0" applyProtection="0"/>
    <xf numFmtId="0" fontId="20" fillId="8" borderId="1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4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7" applyNumberFormat="0" applyFont="0" applyAlignment="0" applyProtection="0"/>
    <xf numFmtId="0" fontId="25" fillId="0" borderId="0"/>
    <xf numFmtId="0" fontId="26" fillId="0" borderId="0"/>
    <xf numFmtId="0" fontId="27" fillId="0" borderId="0"/>
  </cellStyleXfs>
  <cellXfs count="405">
    <xf numFmtId="0" fontId="0" fillId="0" borderId="0" xfId="0"/>
    <xf numFmtId="0" fontId="5" fillId="0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4" fontId="5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vertical="center"/>
    </xf>
    <xf numFmtId="4" fontId="6" fillId="2" borderId="3" xfId="1" applyNumberFormat="1" applyFont="1" applyFill="1" applyBorder="1" applyAlignment="1">
      <alignment horizontal="right" vertical="center"/>
    </xf>
    <xf numFmtId="4" fontId="5" fillId="2" borderId="20" xfId="1" applyNumberFormat="1" applyFont="1" applyFill="1" applyBorder="1" applyAlignment="1">
      <alignment horizontal="right" vertical="center"/>
    </xf>
    <xf numFmtId="0" fontId="5" fillId="2" borderId="20" xfId="1" applyFont="1" applyFill="1" applyBorder="1" applyAlignment="1">
      <alignment horizontal="left" vertical="center" wrapText="1"/>
    </xf>
    <xf numFmtId="4" fontId="5" fillId="2" borderId="20" xfId="1" applyNumberFormat="1" applyFont="1" applyFill="1" applyBorder="1" applyAlignment="1">
      <alignment horizontal="right"/>
    </xf>
    <xf numFmtId="4" fontId="5" fillId="2" borderId="20" xfId="1" applyNumberFormat="1" applyFont="1" applyFill="1" applyBorder="1" applyAlignment="1">
      <alignment horizontal="right" vertical="center" wrapText="1"/>
    </xf>
    <xf numFmtId="0" fontId="6" fillId="2" borderId="24" xfId="1" applyFont="1" applyFill="1" applyBorder="1" applyAlignment="1">
      <alignment horizontal="center" vertical="center" wrapText="1"/>
    </xf>
    <xf numFmtId="1" fontId="6" fillId="2" borderId="24" xfId="1" applyNumberFormat="1" applyFont="1" applyFill="1" applyBorder="1" applyAlignment="1">
      <alignment horizontal="center" vertical="center" wrapText="1"/>
    </xf>
    <xf numFmtId="1" fontId="6" fillId="2" borderId="25" xfId="1" applyNumberFormat="1" applyFont="1" applyFill="1" applyBorder="1" applyAlignment="1">
      <alignment horizontal="center" vertical="center" wrapText="1"/>
    </xf>
    <xf numFmtId="4" fontId="6" fillId="2" borderId="5" xfId="1" applyNumberFormat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horizontal="right" vertical="center"/>
    </xf>
    <xf numFmtId="1" fontId="5" fillId="2" borderId="22" xfId="1" applyNumberFormat="1" applyFont="1" applyFill="1" applyBorder="1" applyAlignment="1">
      <alignment horizontal="center" vertical="center" wrapText="1"/>
    </xf>
    <xf numFmtId="0" fontId="5" fillId="2" borderId="24" xfId="1" applyFont="1" applyFill="1" applyBorder="1" applyAlignment="1">
      <alignment horizontal="left" vertical="center" wrapText="1"/>
    </xf>
    <xf numFmtId="4" fontId="5" fillId="2" borderId="24" xfId="1" applyNumberFormat="1" applyFont="1" applyFill="1" applyBorder="1" applyAlignment="1">
      <alignment horizontal="right" vertical="center"/>
    </xf>
    <xf numFmtId="0" fontId="5" fillId="2" borderId="2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5" fillId="2" borderId="22" xfId="1" applyFont="1" applyFill="1" applyBorder="1" applyAlignment="1">
      <alignment horizontal="center" vertical="center" wrapText="1"/>
    </xf>
    <xf numFmtId="4" fontId="6" fillId="2" borderId="6" xfId="1" applyNumberFormat="1" applyFont="1" applyFill="1" applyBorder="1" applyAlignment="1">
      <alignment horizontal="right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49" fontId="5" fillId="2" borderId="22" xfId="1" applyNumberFormat="1" applyFont="1" applyFill="1" applyBorder="1" applyAlignment="1">
      <alignment horizontal="center" vertical="center" wrapText="1"/>
    </xf>
    <xf numFmtId="49" fontId="5" fillId="2" borderId="23" xfId="1" applyNumberFormat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vertical="center" wrapText="1"/>
    </xf>
    <xf numFmtId="4" fontId="6" fillId="2" borderId="2" xfId="1" applyNumberFormat="1" applyFont="1" applyFill="1" applyBorder="1" applyAlignment="1">
      <alignment horizontal="right" vertical="center" wrapText="1"/>
    </xf>
    <xf numFmtId="0" fontId="6" fillId="2" borderId="6" xfId="1" applyFont="1" applyFill="1" applyBorder="1" applyAlignment="1">
      <alignment horizontal="left" vertical="center" wrapText="1"/>
    </xf>
    <xf numFmtId="4" fontId="6" fillId="2" borderId="8" xfId="1" applyNumberFormat="1" applyFont="1" applyFill="1" applyBorder="1" applyAlignment="1">
      <alignment horizontal="right" vertical="center"/>
    </xf>
    <xf numFmtId="4" fontId="8" fillId="2" borderId="4" xfId="1" applyNumberFormat="1" applyFont="1" applyFill="1" applyBorder="1" applyAlignment="1">
      <alignment horizontal="right" vertical="center"/>
    </xf>
    <xf numFmtId="4" fontId="8" fillId="2" borderId="27" xfId="1" applyNumberFormat="1" applyFont="1" applyFill="1" applyBorder="1" applyAlignment="1">
      <alignment horizontal="right" vertical="center"/>
    </xf>
    <xf numFmtId="4" fontId="5" fillId="2" borderId="20" xfId="1" applyNumberFormat="1" applyFont="1" applyFill="1" applyBorder="1" applyAlignment="1">
      <alignment vertical="center"/>
    </xf>
    <xf numFmtId="2" fontId="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9" fontId="29" fillId="0" borderId="22" xfId="1" applyNumberFormat="1" applyFont="1" applyBorder="1" applyAlignment="1">
      <alignment horizontal="center" vertical="center" wrapText="1"/>
    </xf>
    <xf numFmtId="49" fontId="30" fillId="0" borderId="22" xfId="1" applyNumberFormat="1" applyFont="1" applyBorder="1" applyAlignment="1">
      <alignment horizontal="center" vertical="center" wrapText="1"/>
    </xf>
    <xf numFmtId="49" fontId="29" fillId="0" borderId="7" xfId="1" applyNumberFormat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5" fillId="0" borderId="24" xfId="1" applyFont="1" applyBorder="1" applyAlignment="1">
      <alignment horizontal="left" vertical="center" wrapText="1"/>
    </xf>
    <xf numFmtId="0" fontId="5" fillId="0" borderId="20" xfId="1" applyFont="1" applyBorder="1" applyAlignment="1">
      <alignment vertical="center" wrapText="1"/>
    </xf>
    <xf numFmtId="4" fontId="8" fillId="2" borderId="29" xfId="1" applyNumberFormat="1" applyFont="1" applyFill="1" applyBorder="1" applyAlignment="1">
      <alignment horizontal="right" vertical="center"/>
    </xf>
    <xf numFmtId="4" fontId="8" fillId="2" borderId="30" xfId="1" applyNumberFormat="1" applyFont="1" applyFill="1" applyBorder="1" applyAlignment="1">
      <alignment horizontal="right" vertical="center"/>
    </xf>
    <xf numFmtId="4" fontId="6" fillId="2" borderId="29" xfId="1" applyNumberFormat="1" applyFont="1" applyFill="1" applyBorder="1" applyAlignment="1">
      <alignment horizontal="center" vertical="center" wrapText="1"/>
    </xf>
    <xf numFmtId="4" fontId="6" fillId="2" borderId="30" xfId="1" applyNumberFormat="1" applyFont="1" applyFill="1" applyBorder="1" applyAlignment="1">
      <alignment horizontal="center" vertical="center" wrapText="1"/>
    </xf>
    <xf numFmtId="0" fontId="30" fillId="0" borderId="23" xfId="1" applyFont="1" applyBorder="1" applyAlignment="1">
      <alignment vertical="center"/>
    </xf>
    <xf numFmtId="4" fontId="5" fillId="2" borderId="24" xfId="1" applyNumberFormat="1" applyFont="1" applyFill="1" applyBorder="1" applyAlignment="1">
      <alignment vertical="center"/>
    </xf>
    <xf numFmtId="0" fontId="30" fillId="0" borderId="22" xfId="1" applyFont="1" applyBorder="1" applyAlignment="1">
      <alignment vertical="center"/>
    </xf>
    <xf numFmtId="0" fontId="29" fillId="0" borderId="7" xfId="1" applyFont="1" applyBorder="1" applyAlignment="1">
      <alignment horizontal="left" vertical="center" wrapText="1"/>
    </xf>
    <xf numFmtId="0" fontId="30" fillId="0" borderId="22" xfId="1" applyFont="1" applyBorder="1" applyAlignment="1">
      <alignment vertical="center" wrapText="1"/>
    </xf>
    <xf numFmtId="0" fontId="30" fillId="0" borderId="22" xfId="1" applyFont="1" applyBorder="1" applyAlignment="1">
      <alignment horizontal="left" vertical="center" wrapText="1"/>
    </xf>
    <xf numFmtId="0" fontId="29" fillId="0" borderId="22" xfId="1" applyFont="1" applyBorder="1" applyAlignment="1">
      <alignment horizontal="left" vertical="center" wrapText="1"/>
    </xf>
    <xf numFmtId="0" fontId="29" fillId="0" borderId="23" xfId="1" applyFont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vertical="center"/>
    </xf>
    <xf numFmtId="9" fontId="5" fillId="2" borderId="0" xfId="1" applyNumberFormat="1" applyFont="1" applyFill="1" applyAlignment="1">
      <alignment vertical="center"/>
    </xf>
    <xf numFmtId="4" fontId="6" fillId="2" borderId="3" xfId="1" applyNumberFormat="1" applyFont="1" applyFill="1" applyBorder="1" applyAlignment="1">
      <alignment vertical="center"/>
    </xf>
    <xf numFmtId="2" fontId="6" fillId="2" borderId="0" xfId="1" applyNumberFormat="1" applyFont="1" applyFill="1" applyAlignment="1">
      <alignment vertical="center"/>
    </xf>
    <xf numFmtId="4" fontId="5" fillId="0" borderId="20" xfId="1" applyNumberFormat="1" applyFont="1" applyFill="1" applyBorder="1" applyAlignment="1">
      <alignment vertical="center"/>
    </xf>
    <xf numFmtId="0" fontId="30" fillId="0" borderId="0" xfId="1" applyFont="1" applyBorder="1" applyAlignment="1">
      <alignment vertical="center" wrapText="1"/>
    </xf>
    <xf numFmtId="0" fontId="29" fillId="0" borderId="0" xfId="1" applyFont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4" fontId="8" fillId="2" borderId="0" xfId="1" applyNumberFormat="1" applyFont="1" applyFill="1" applyBorder="1" applyAlignment="1">
      <alignment horizontal="right" vertical="center"/>
    </xf>
    <xf numFmtId="4" fontId="6" fillId="2" borderId="21" xfId="1" applyNumberFormat="1" applyFont="1" applyFill="1" applyBorder="1" applyAlignment="1">
      <alignment vertical="center"/>
    </xf>
    <xf numFmtId="4" fontId="6" fillId="0" borderId="20" xfId="1" applyNumberFormat="1" applyFont="1" applyFill="1" applyBorder="1" applyAlignment="1">
      <alignment vertical="center"/>
    </xf>
    <xf numFmtId="4" fontId="6" fillId="2" borderId="25" xfId="1" applyNumberFormat="1" applyFont="1" applyFill="1" applyBorder="1" applyAlignment="1">
      <alignment vertical="center"/>
    </xf>
    <xf numFmtId="4" fontId="6" fillId="2" borderId="21" xfId="1" applyNumberFormat="1" applyFont="1" applyFill="1" applyBorder="1" applyAlignment="1">
      <alignment horizontal="right" vertical="center" wrapText="1"/>
    </xf>
    <xf numFmtId="4" fontId="6" fillId="2" borderId="21" xfId="1" applyNumberFormat="1" applyFont="1" applyFill="1" applyBorder="1" applyAlignment="1">
      <alignment horizontal="right" vertical="center"/>
    </xf>
    <xf numFmtId="4" fontId="6" fillId="2" borderId="25" xfId="1" applyNumberFormat="1" applyFont="1" applyFill="1" applyBorder="1" applyAlignment="1">
      <alignment horizontal="right" vertical="center"/>
    </xf>
    <xf numFmtId="165" fontId="8" fillId="2" borderId="0" xfId="1" applyNumberFormat="1" applyFont="1" applyFill="1" applyBorder="1" applyAlignment="1">
      <alignment horizontal="right" vertical="center"/>
    </xf>
    <xf numFmtId="0" fontId="5" fillId="0" borderId="20" xfId="1" applyFont="1" applyFill="1" applyBorder="1" applyAlignment="1">
      <alignment horizontal="left" vertical="center" wrapText="1"/>
    </xf>
    <xf numFmtId="4" fontId="6" fillId="0" borderId="21" xfId="1" applyNumberFormat="1" applyFont="1" applyFill="1" applyBorder="1" applyAlignment="1">
      <alignment vertical="center"/>
    </xf>
    <xf numFmtId="0" fontId="5" fillId="0" borderId="0" xfId="1" applyFont="1" applyBorder="1" applyAlignment="1">
      <alignment horizontal="left" vertical="center" wrapText="1"/>
    </xf>
    <xf numFmtId="4" fontId="5" fillId="2" borderId="2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4" fontId="6" fillId="2" borderId="20" xfId="1" applyNumberFormat="1" applyFont="1" applyFill="1" applyBorder="1" applyAlignment="1">
      <alignment horizontal="center" vertical="center"/>
    </xf>
    <xf numFmtId="3" fontId="5" fillId="2" borderId="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4" fontId="6" fillId="2" borderId="0" xfId="1" applyNumberFormat="1" applyFont="1" applyFill="1" applyAlignment="1">
      <alignment horizontal="right" vertical="center"/>
    </xf>
    <xf numFmtId="0" fontId="6" fillId="2" borderId="0" xfId="1" applyFont="1" applyFill="1" applyAlignment="1">
      <alignment horizontal="left" vertical="center"/>
    </xf>
    <xf numFmtId="4" fontId="5" fillId="2" borderId="34" xfId="1" applyNumberFormat="1" applyFont="1" applyFill="1" applyBorder="1" applyAlignment="1">
      <alignment horizontal="center" vertical="center"/>
    </xf>
    <xf numFmtId="4" fontId="5" fillId="2" borderId="35" xfId="1" applyNumberFormat="1" applyFont="1" applyFill="1" applyBorder="1" applyAlignment="1">
      <alignment horizontal="center" vertical="center"/>
    </xf>
    <xf numFmtId="4" fontId="5" fillId="2" borderId="36" xfId="1" applyNumberFormat="1" applyFont="1" applyFill="1" applyBorder="1" applyAlignment="1">
      <alignment horizontal="center" vertical="center"/>
    </xf>
    <xf numFmtId="4" fontId="5" fillId="2" borderId="38" xfId="1" applyNumberFormat="1" applyFont="1" applyFill="1" applyBorder="1" applyAlignment="1">
      <alignment horizontal="center" vertical="center"/>
    </xf>
    <xf numFmtId="4" fontId="5" fillId="2" borderId="39" xfId="1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39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4" fontId="5" fillId="2" borderId="20" xfId="1" applyNumberFormat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left" vertical="center" wrapText="1"/>
    </xf>
    <xf numFmtId="4" fontId="5" fillId="2" borderId="5" xfId="1" applyNumberFormat="1" applyFont="1" applyFill="1" applyBorder="1" applyAlignment="1">
      <alignment horizontal="right" vertical="center"/>
    </xf>
    <xf numFmtId="4" fontId="6" fillId="2" borderId="42" xfId="1" applyNumberFormat="1" applyFont="1" applyFill="1" applyBorder="1" applyAlignment="1">
      <alignment horizontal="right" vertical="center"/>
    </xf>
    <xf numFmtId="4" fontId="0" fillId="0" borderId="0" xfId="0" applyNumberFormat="1"/>
    <xf numFmtId="2" fontId="0" fillId="0" borderId="0" xfId="0" applyNumberFormat="1"/>
    <xf numFmtId="0" fontId="6" fillId="2" borderId="1" xfId="1" applyFont="1" applyFill="1" applyBorder="1" applyAlignment="1">
      <alignment horizontal="center" vertical="center" wrapText="1"/>
    </xf>
    <xf numFmtId="0" fontId="0" fillId="0" borderId="34" xfId="0" applyBorder="1"/>
    <xf numFmtId="4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0" fillId="0" borderId="19" xfId="0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9" xfId="0" applyBorder="1"/>
    <xf numFmtId="0" fontId="0" fillId="0" borderId="39" xfId="0" applyBorder="1"/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vertical="center" wrapText="1"/>
    </xf>
    <xf numFmtId="0" fontId="5" fillId="2" borderId="19" xfId="1" applyFont="1" applyFill="1" applyBorder="1" applyAlignment="1">
      <alignment vertical="center" wrapText="1"/>
    </xf>
    <xf numFmtId="164" fontId="5" fillId="2" borderId="0" xfId="1" applyNumberFormat="1" applyFont="1" applyFill="1" applyAlignment="1">
      <alignment vertical="center" wrapText="1"/>
    </xf>
    <xf numFmtId="2" fontId="5" fillId="2" borderId="0" xfId="1" applyNumberFormat="1" applyFont="1" applyFill="1" applyAlignment="1">
      <alignment vertical="center" wrapText="1"/>
    </xf>
    <xf numFmtId="0" fontId="0" fillId="0" borderId="20" xfId="0" applyBorder="1"/>
    <xf numFmtId="4" fontId="0" fillId="0" borderId="20" xfId="0" applyNumberFormat="1" applyBorder="1"/>
    <xf numFmtId="4" fontId="0" fillId="0" borderId="0" xfId="0" applyNumberFormat="1" applyFill="1"/>
    <xf numFmtId="0" fontId="0" fillId="34" borderId="20" xfId="0" applyFill="1" applyBorder="1"/>
    <xf numFmtId="0" fontId="6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0" borderId="23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1" fontId="6" fillId="0" borderId="23" xfId="1" applyNumberFormat="1" applyFont="1" applyBorder="1" applyAlignment="1">
      <alignment horizontal="center" vertical="center" wrapText="1"/>
    </xf>
    <xf numFmtId="1" fontId="6" fillId="0" borderId="25" xfId="1" applyNumberFormat="1" applyFont="1" applyBorder="1" applyAlignment="1">
      <alignment horizontal="center" vertical="center" wrapText="1"/>
    </xf>
    <xf numFmtId="4" fontId="6" fillId="0" borderId="34" xfId="1" applyNumberFormat="1" applyFont="1" applyBorder="1" applyAlignment="1">
      <alignment horizontal="center" vertical="center" wrapText="1"/>
    </xf>
    <xf numFmtId="4" fontId="6" fillId="0" borderId="28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left" vertical="center" wrapText="1"/>
    </xf>
    <xf numFmtId="4" fontId="6" fillId="0" borderId="47" xfId="1" applyNumberFormat="1" applyFont="1" applyBorder="1" applyAlignment="1">
      <alignment vertical="center"/>
    </xf>
    <xf numFmtId="4" fontId="6" fillId="0" borderId="47" xfId="1" applyNumberFormat="1" applyFont="1" applyBorder="1" applyAlignment="1">
      <alignment horizontal="right" vertical="center"/>
    </xf>
    <xf numFmtId="4" fontId="6" fillId="0" borderId="1" xfId="1" applyNumberFormat="1" applyFont="1" applyBorder="1" applyAlignment="1">
      <alignment horizontal="right" vertical="center"/>
    </xf>
    <xf numFmtId="0" fontId="6" fillId="0" borderId="22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left" vertical="center" wrapText="1"/>
    </xf>
    <xf numFmtId="4" fontId="5" fillId="0" borderId="48" xfId="1" applyNumberFormat="1" applyFont="1" applyBorder="1" applyAlignment="1">
      <alignment vertical="center" wrapText="1"/>
    </xf>
    <xf numFmtId="4" fontId="5" fillId="0" borderId="48" xfId="1" applyNumberFormat="1" applyFont="1" applyBorder="1" applyAlignment="1">
      <alignment horizontal="right" vertical="center" wrapText="1"/>
    </xf>
    <xf numFmtId="4" fontId="5" fillId="0" borderId="22" xfId="1" applyNumberFormat="1" applyFont="1" applyBorder="1" applyAlignment="1">
      <alignment horizontal="right" vertical="center" wrapText="1"/>
    </xf>
    <xf numFmtId="1" fontId="5" fillId="0" borderId="22" xfId="1" applyNumberFormat="1" applyFont="1" applyBorder="1" applyAlignment="1">
      <alignment horizontal="center" vertical="center" wrapText="1"/>
    </xf>
    <xf numFmtId="1" fontId="5" fillId="0" borderId="23" xfId="1" applyNumberFormat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4" fontId="6" fillId="0" borderId="47" xfId="1" applyNumberFormat="1" applyFont="1" applyBorder="1" applyAlignment="1">
      <alignment vertical="center" wrapText="1"/>
    </xf>
    <xf numFmtId="4" fontId="6" fillId="0" borderId="47" xfId="1" applyNumberFormat="1" applyFont="1" applyBorder="1" applyAlignment="1">
      <alignment horizontal="right" vertical="center" wrapText="1"/>
    </xf>
    <xf numFmtId="4" fontId="6" fillId="0" borderId="1" xfId="1" applyNumberFormat="1" applyFont="1" applyBorder="1" applyAlignment="1">
      <alignment horizontal="right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44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left" vertical="center" wrapText="1"/>
    </xf>
    <xf numFmtId="0" fontId="5" fillId="0" borderId="23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49" fontId="5" fillId="0" borderId="23" xfId="1" applyNumberFormat="1" applyFont="1" applyBorder="1" applyAlignment="1">
      <alignment horizontal="center" vertical="center" wrapText="1"/>
    </xf>
    <xf numFmtId="49" fontId="5" fillId="0" borderId="44" xfId="1" applyNumberFormat="1" applyFont="1" applyBorder="1" applyAlignment="1">
      <alignment horizontal="center" vertical="center" wrapText="1"/>
    </xf>
    <xf numFmtId="4" fontId="6" fillId="0" borderId="49" xfId="1" applyNumberFormat="1" applyFont="1" applyBorder="1" applyAlignment="1">
      <alignment vertical="center"/>
    </xf>
    <xf numFmtId="4" fontId="6" fillId="0" borderId="49" xfId="1" applyNumberFormat="1" applyFont="1" applyBorder="1" applyAlignment="1">
      <alignment horizontal="right" vertical="center"/>
    </xf>
    <xf numFmtId="4" fontId="6" fillId="0" borderId="51" xfId="1" applyNumberFormat="1" applyFont="1" applyBorder="1" applyAlignment="1">
      <alignment horizontal="right" vertical="center"/>
    </xf>
    <xf numFmtId="4" fontId="8" fillId="0" borderId="26" xfId="1" applyNumberFormat="1" applyFont="1" applyBorder="1" applyAlignment="1">
      <alignment horizontal="right" vertical="center"/>
    </xf>
    <xf numFmtId="4" fontId="6" fillId="0" borderId="19" xfId="1" applyNumberFormat="1" applyFont="1" applyBorder="1" applyAlignment="1">
      <alignment vertical="center" wrapText="1"/>
    </xf>
    <xf numFmtId="4" fontId="6" fillId="0" borderId="19" xfId="1" applyNumberFormat="1" applyFont="1" applyBorder="1" applyAlignment="1">
      <alignment horizontal="right" vertical="center" wrapText="1"/>
    </xf>
    <xf numFmtId="4" fontId="6" fillId="0" borderId="40" xfId="1" applyNumberFormat="1" applyFont="1" applyBorder="1" applyAlignment="1">
      <alignment horizontal="right" vertical="center" wrapText="1"/>
    </xf>
    <xf numFmtId="49" fontId="29" fillId="0" borderId="44" xfId="1" applyNumberFormat="1" applyFont="1" applyBorder="1" applyAlignment="1">
      <alignment horizontal="center" vertical="center" wrapText="1"/>
    </xf>
    <xf numFmtId="4" fontId="5" fillId="0" borderId="23" xfId="1" applyNumberFormat="1" applyFont="1" applyBorder="1" applyAlignment="1">
      <alignment horizontal="right" vertical="center" wrapText="1"/>
    </xf>
    <xf numFmtId="4" fontId="6" fillId="0" borderId="6" xfId="1" applyNumberFormat="1" applyFont="1" applyBorder="1" applyAlignment="1">
      <alignment horizontal="right" vertical="center"/>
    </xf>
    <xf numFmtId="0" fontId="5" fillId="0" borderId="6" xfId="1" applyFont="1" applyBorder="1" applyAlignment="1">
      <alignment horizontal="left" vertical="center" wrapText="1"/>
    </xf>
    <xf numFmtId="4" fontId="8" fillId="0" borderId="6" xfId="1" applyNumberFormat="1" applyFont="1" applyBorder="1" applyAlignment="1">
      <alignment horizontal="right" vertical="center"/>
    </xf>
    <xf numFmtId="0" fontId="5" fillId="0" borderId="0" xfId="1" applyFont="1" applyAlignment="1">
      <alignment vertical="center"/>
    </xf>
    <xf numFmtId="4" fontId="5" fillId="0" borderId="0" xfId="1" applyNumberFormat="1" applyFont="1" applyAlignment="1">
      <alignment vertical="center"/>
    </xf>
    <xf numFmtId="0" fontId="0" fillId="0" borderId="0" xfId="0"/>
    <xf numFmtId="0" fontId="0" fillId="0" borderId="0" xfId="0"/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164" fontId="5" fillId="2" borderId="20" xfId="1" applyNumberFormat="1" applyFont="1" applyFill="1" applyBorder="1"/>
    <xf numFmtId="4" fontId="5" fillId="2" borderId="0" xfId="1" applyNumberFormat="1" applyFont="1" applyFill="1" applyAlignment="1">
      <alignment horizontal="center" vertical="center"/>
    </xf>
    <xf numFmtId="3" fontId="5" fillId="2" borderId="0" xfId="1" applyNumberFormat="1" applyFont="1" applyFill="1" applyAlignment="1">
      <alignment horizontal="center" vertical="center"/>
    </xf>
    <xf numFmtId="0" fontId="5" fillId="0" borderId="38" xfId="1" applyFont="1" applyBorder="1" applyAlignment="1">
      <alignment horizontal="center"/>
    </xf>
    <xf numFmtId="0" fontId="5" fillId="0" borderId="9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164" fontId="32" fillId="0" borderId="20" xfId="0" applyNumberFormat="1" applyFont="1" applyBorder="1"/>
    <xf numFmtId="164" fontId="32" fillId="2" borderId="20" xfId="1" applyNumberFormat="1" applyFont="1" applyFill="1" applyBorder="1"/>
    <xf numFmtId="0" fontId="5" fillId="2" borderId="19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vertical="center"/>
    </xf>
    <xf numFmtId="0" fontId="5" fillId="0" borderId="39" xfId="1" applyFont="1" applyBorder="1" applyAlignment="1">
      <alignment horizontal="center" vertical="center"/>
    </xf>
    <xf numFmtId="0" fontId="0" fillId="0" borderId="20" xfId="0" applyFill="1" applyBorder="1"/>
    <xf numFmtId="0" fontId="0" fillId="0" borderId="57" xfId="0" applyFill="1" applyBorder="1" applyAlignment="1">
      <alignment horizontal="right"/>
    </xf>
    <xf numFmtId="0" fontId="0" fillId="0" borderId="0" xfId="0" applyFill="1"/>
    <xf numFmtId="4" fontId="0" fillId="0" borderId="20" xfId="0" applyNumberFormat="1" applyFill="1" applyBorder="1"/>
    <xf numFmtId="4" fontId="5" fillId="36" borderId="0" xfId="1" applyNumberFormat="1" applyFont="1" applyFill="1" applyAlignment="1">
      <alignment vertical="center"/>
    </xf>
    <xf numFmtId="0" fontId="5" fillId="36" borderId="0" xfId="1" applyFont="1" applyFill="1" applyAlignment="1">
      <alignment vertical="center"/>
    </xf>
    <xf numFmtId="0" fontId="33" fillId="2" borderId="0" xfId="1" applyFont="1" applyFill="1" applyAlignment="1">
      <alignment vertical="center"/>
    </xf>
    <xf numFmtId="0" fontId="33" fillId="36" borderId="0" xfId="1" applyFont="1" applyFill="1" applyAlignment="1">
      <alignment vertical="center"/>
    </xf>
    <xf numFmtId="2" fontId="5" fillId="36" borderId="0" xfId="1" applyNumberFormat="1" applyFont="1" applyFill="1" applyAlignment="1">
      <alignment horizontal="center" vertical="center"/>
    </xf>
    <xf numFmtId="0" fontId="5" fillId="36" borderId="0" xfId="1" applyFont="1" applyFill="1" applyAlignment="1">
      <alignment horizontal="center" vertical="center"/>
    </xf>
    <xf numFmtId="4" fontId="5" fillId="36" borderId="0" xfId="1" applyNumberFormat="1" applyFont="1" applyFill="1" applyAlignment="1">
      <alignment horizontal="center" vertical="center"/>
    </xf>
    <xf numFmtId="0" fontId="34" fillId="0" borderId="0" xfId="0" applyFont="1" applyAlignment="1">
      <alignment horizontal="left" vertical="center" indent="1"/>
    </xf>
    <xf numFmtId="0" fontId="5" fillId="34" borderId="0" xfId="1" applyFont="1" applyFill="1" applyAlignment="1">
      <alignment vertical="center"/>
    </xf>
    <xf numFmtId="3" fontId="0" fillId="0" borderId="0" xfId="0" applyNumberFormat="1" applyFill="1"/>
    <xf numFmtId="3" fontId="6" fillId="2" borderId="0" xfId="1" applyNumberFormat="1" applyFont="1" applyFill="1" applyAlignment="1">
      <alignment vertical="center"/>
    </xf>
    <xf numFmtId="0" fontId="0" fillId="0" borderId="20" xfId="0" applyBorder="1" applyAlignment="1">
      <alignment wrapText="1"/>
    </xf>
    <xf numFmtId="0" fontId="0" fillId="0" borderId="58" xfId="0" applyFill="1" applyBorder="1" applyAlignment="1">
      <alignment horizontal="right"/>
    </xf>
    <xf numFmtId="0" fontId="0" fillId="0" borderId="59" xfId="0" applyBorder="1"/>
    <xf numFmtId="0" fontId="0" fillId="0" borderId="20" xfId="0" applyFill="1" applyBorder="1" applyAlignment="1">
      <alignment wrapText="1"/>
    </xf>
    <xf numFmtId="0" fontId="0" fillId="34" borderId="0" xfId="0" applyFill="1"/>
    <xf numFmtId="0" fontId="6" fillId="2" borderId="0" xfId="1" applyFont="1" applyFill="1" applyAlignment="1">
      <alignment horizontal="left" vertical="center" wrapText="1"/>
    </xf>
    <xf numFmtId="4" fontId="6" fillId="2" borderId="0" xfId="1" applyNumberFormat="1" applyFont="1" applyFill="1" applyAlignment="1">
      <alignment horizontal="right" vertical="center" wrapText="1"/>
    </xf>
    <xf numFmtId="0" fontId="6" fillId="2" borderId="0" xfId="1" applyFont="1" applyFill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4" fontId="5" fillId="2" borderId="48" xfId="1" applyNumberFormat="1" applyFont="1" applyFill="1" applyBorder="1" applyAlignment="1">
      <alignment vertical="center" wrapText="1"/>
    </xf>
    <xf numFmtId="0" fontId="0" fillId="0" borderId="61" xfId="0" applyBorder="1"/>
    <xf numFmtId="0" fontId="0" fillId="0" borderId="61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6" fillId="0" borderId="0" xfId="1" applyNumberFormat="1" applyFont="1" applyBorder="1" applyAlignment="1">
      <alignment horizontal="center" vertical="center" wrapText="1"/>
    </xf>
    <xf numFmtId="4" fontId="6" fillId="0" borderId="0" xfId="1" applyNumberFormat="1" applyFont="1" applyBorder="1" applyAlignment="1">
      <alignment horizontal="center" vertical="center" wrapText="1"/>
    </xf>
    <xf numFmtId="4" fontId="6" fillId="0" borderId="0" xfId="1" applyNumberFormat="1" applyFont="1" applyBorder="1" applyAlignment="1">
      <alignment horizontal="right" vertical="center"/>
    </xf>
    <xf numFmtId="4" fontId="5" fillId="0" borderId="0" xfId="1" applyNumberFormat="1" applyFont="1" applyBorder="1" applyAlignment="1">
      <alignment horizontal="right" vertical="center" wrapText="1"/>
    </xf>
    <xf numFmtId="4" fontId="6" fillId="0" borderId="0" xfId="1" applyNumberFormat="1" applyFont="1" applyBorder="1" applyAlignment="1">
      <alignment horizontal="right" vertical="center" wrapText="1"/>
    </xf>
    <xf numFmtId="4" fontId="8" fillId="0" borderId="0" xfId="1" applyNumberFormat="1" applyFont="1" applyBorder="1" applyAlignment="1">
      <alignment horizontal="right" vertical="center"/>
    </xf>
    <xf numFmtId="4" fontId="6" fillId="2" borderId="0" xfId="1" applyNumberFormat="1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23" fillId="0" borderId="61" xfId="0" applyFont="1" applyBorder="1" applyAlignment="1">
      <alignment vertical="center"/>
    </xf>
    <xf numFmtId="1" fontId="0" fillId="0" borderId="0" xfId="0" applyNumberFormat="1"/>
    <xf numFmtId="4" fontId="6" fillId="0" borderId="47" xfId="1" applyNumberFormat="1" applyFont="1" applyFill="1" applyBorder="1" applyAlignment="1">
      <alignment vertical="center"/>
    </xf>
    <xf numFmtId="4" fontId="5" fillId="0" borderId="48" xfId="1" applyNumberFormat="1" applyFont="1" applyFill="1" applyBorder="1" applyAlignment="1">
      <alignment vertical="center" wrapText="1"/>
    </xf>
    <xf numFmtId="4" fontId="6" fillId="0" borderId="0" xfId="1" applyNumberFormat="1" applyFont="1" applyBorder="1" applyAlignment="1">
      <alignment horizontal="left" vertical="top"/>
    </xf>
    <xf numFmtId="0" fontId="33" fillId="2" borderId="0" xfId="1" applyFont="1" applyFill="1" applyAlignment="1">
      <alignment horizontal="left" vertical="top"/>
    </xf>
    <xf numFmtId="4" fontId="5" fillId="0" borderId="0" xfId="1" applyNumberFormat="1" applyFont="1" applyBorder="1" applyAlignment="1">
      <alignment horizontal="left" vertical="top" wrapText="1"/>
    </xf>
    <xf numFmtId="0" fontId="5" fillId="2" borderId="0" xfId="1" applyFont="1" applyFill="1" applyAlignment="1">
      <alignment horizontal="left" vertical="top"/>
    </xf>
    <xf numFmtId="0" fontId="5" fillId="36" borderId="0" xfId="1" applyFont="1" applyFill="1" applyAlignment="1">
      <alignment horizontal="left" vertical="top"/>
    </xf>
    <xf numFmtId="0" fontId="5" fillId="34" borderId="0" xfId="1" applyFont="1" applyFill="1" applyAlignment="1">
      <alignment horizontal="left" vertical="top"/>
    </xf>
    <xf numFmtId="0" fontId="34" fillId="0" borderId="0" xfId="0" applyFont="1" applyAlignment="1">
      <alignment horizontal="left" vertical="top"/>
    </xf>
    <xf numFmtId="164" fontId="5" fillId="2" borderId="0" xfId="1" applyNumberFormat="1" applyFont="1" applyFill="1" applyAlignment="1">
      <alignment horizontal="left" vertical="top"/>
    </xf>
    <xf numFmtId="4" fontId="5" fillId="0" borderId="0" xfId="1" applyNumberFormat="1" applyFont="1" applyBorder="1" applyAlignment="1">
      <alignment horizontal="left" vertical="top"/>
    </xf>
    <xf numFmtId="4" fontId="5" fillId="0" borderId="64" xfId="1" applyNumberFormat="1" applyFont="1" applyFill="1" applyBorder="1" applyAlignment="1">
      <alignment vertical="center" wrapText="1"/>
    </xf>
    <xf numFmtId="4" fontId="5" fillId="0" borderId="22" xfId="1" applyNumberFormat="1" applyFont="1" applyFill="1" applyBorder="1" applyAlignment="1">
      <alignment horizontal="right" vertical="center" wrapText="1"/>
    </xf>
    <xf numFmtId="4" fontId="5" fillId="0" borderId="55" xfId="1" applyNumberFormat="1" applyFont="1" applyFill="1" applyBorder="1" applyAlignment="1">
      <alignment vertical="center" wrapText="1"/>
    </xf>
    <xf numFmtId="0" fontId="30" fillId="0" borderId="22" xfId="1" applyFont="1" applyFill="1" applyBorder="1" applyAlignment="1">
      <alignment vertical="center"/>
    </xf>
    <xf numFmtId="0" fontId="5" fillId="0" borderId="31" xfId="1" applyFont="1" applyFill="1" applyBorder="1" applyAlignment="1">
      <alignment horizontal="left" vertical="center" wrapText="1"/>
    </xf>
    <xf numFmtId="4" fontId="5" fillId="0" borderId="0" xfId="1" applyNumberFormat="1" applyFont="1" applyFill="1" applyBorder="1" applyAlignment="1">
      <alignment horizontal="right" vertical="center" wrapText="1"/>
    </xf>
    <xf numFmtId="0" fontId="33" fillId="0" borderId="0" xfId="1" applyFont="1" applyFill="1" applyAlignment="1">
      <alignment vertical="center"/>
    </xf>
    <xf numFmtId="4" fontId="5" fillId="0" borderId="48" xfId="1" applyNumberFormat="1" applyFont="1" applyFill="1" applyBorder="1" applyAlignment="1">
      <alignment horizontal="right" vertical="center" wrapText="1"/>
    </xf>
    <xf numFmtId="4" fontId="6" fillId="0" borderId="47" xfId="1" applyNumberFormat="1" applyFont="1" applyFill="1" applyBorder="1" applyAlignment="1">
      <alignment horizontal="right" vertical="center"/>
    </xf>
    <xf numFmtId="4" fontId="6" fillId="0" borderId="1" xfId="1" applyNumberFormat="1" applyFont="1" applyFill="1" applyBorder="1" applyAlignment="1">
      <alignment horizontal="right" vertical="center"/>
    </xf>
    <xf numFmtId="49" fontId="5" fillId="34" borderId="22" xfId="1" applyNumberFormat="1" applyFont="1" applyFill="1" applyBorder="1" applyAlignment="1">
      <alignment horizontal="center" vertical="center" wrapText="1"/>
    </xf>
    <xf numFmtId="49" fontId="5" fillId="34" borderId="44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29" fillId="0" borderId="22" xfId="1" applyFont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vertical="center" wrapText="1"/>
    </xf>
    <xf numFmtId="0" fontId="30" fillId="0" borderId="22" xfId="1" applyFont="1" applyFill="1" applyBorder="1" applyAlignment="1">
      <alignment horizontal="left" vertical="center" wrapText="1"/>
    </xf>
    <xf numFmtId="0" fontId="29" fillId="0" borderId="62" xfId="1" applyFont="1" applyFill="1" applyBorder="1" applyAlignment="1">
      <alignment horizontal="left" vertical="center" wrapText="1"/>
    </xf>
    <xf numFmtId="0" fontId="5" fillId="0" borderId="63" xfId="1" applyFont="1" applyFill="1" applyBorder="1" applyAlignment="1">
      <alignment horizontal="left" vertical="center" wrapText="1"/>
    </xf>
    <xf numFmtId="0" fontId="30" fillId="0" borderId="22" xfId="1" applyFont="1" applyFill="1" applyBorder="1" applyAlignment="1">
      <alignment vertical="center" wrapText="1"/>
    </xf>
    <xf numFmtId="0" fontId="30" fillId="0" borderId="44" xfId="1" applyFont="1" applyFill="1" applyBorder="1" applyAlignment="1">
      <alignment vertical="center" wrapText="1"/>
    </xf>
    <xf numFmtId="0" fontId="5" fillId="0" borderId="54" xfId="1" applyFont="1" applyFill="1" applyBorder="1" applyAlignment="1">
      <alignment vertical="center" wrapText="1"/>
    </xf>
    <xf numFmtId="0" fontId="29" fillId="0" borderId="44" xfId="1" applyFont="1" applyFill="1" applyBorder="1" applyAlignment="1">
      <alignment horizontal="left" vertical="center" wrapText="1"/>
    </xf>
    <xf numFmtId="0" fontId="5" fillId="0" borderId="54" xfId="1" applyFont="1" applyFill="1" applyBorder="1" applyAlignment="1">
      <alignment horizontal="left" vertical="center" wrapText="1"/>
    </xf>
    <xf numFmtId="4" fontId="5" fillId="0" borderId="23" xfId="1" applyNumberFormat="1" applyFont="1" applyFill="1" applyBorder="1" applyAlignment="1">
      <alignment horizontal="right" vertical="center" wrapText="1"/>
    </xf>
    <xf numFmtId="0" fontId="6" fillId="0" borderId="26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left" vertical="center" wrapText="1"/>
    </xf>
    <xf numFmtId="4" fontId="5" fillId="0" borderId="56" xfId="1" applyNumberFormat="1" applyFont="1" applyFill="1" applyBorder="1" applyAlignment="1">
      <alignment vertical="center" wrapText="1"/>
    </xf>
    <xf numFmtId="4" fontId="5" fillId="0" borderId="56" xfId="1" applyNumberFormat="1" applyFont="1" applyFill="1" applyBorder="1" applyAlignment="1">
      <alignment horizontal="right" vertical="center" wrapText="1"/>
    </xf>
    <xf numFmtId="4" fontId="5" fillId="0" borderId="26" xfId="1" applyNumberFormat="1" applyFont="1" applyFill="1" applyBorder="1" applyAlignment="1">
      <alignment horizontal="right" vertical="center" wrapText="1"/>
    </xf>
    <xf numFmtId="4" fontId="8" fillId="0" borderId="41" xfId="1" applyNumberFormat="1" applyFont="1" applyFill="1" applyBorder="1" applyAlignment="1">
      <alignment horizontal="right" vertical="center"/>
    </xf>
    <xf numFmtId="4" fontId="8" fillId="0" borderId="0" xfId="1" applyNumberFormat="1" applyFont="1" applyFill="1" applyBorder="1" applyAlignment="1">
      <alignment horizontal="right" vertical="center"/>
    </xf>
    <xf numFmtId="4" fontId="8" fillId="0" borderId="52" xfId="1" applyNumberFormat="1" applyFont="1" applyFill="1" applyBorder="1" applyAlignment="1">
      <alignment horizontal="right" vertical="center"/>
    </xf>
    <xf numFmtId="4" fontId="6" fillId="0" borderId="38" xfId="1" applyNumberFormat="1" applyFont="1" applyFill="1" applyBorder="1" applyAlignment="1">
      <alignment horizontal="right" vertical="center"/>
    </xf>
    <xf numFmtId="4" fontId="6" fillId="0" borderId="52" xfId="1" applyNumberFormat="1" applyFont="1" applyFill="1" applyBorder="1" applyAlignment="1">
      <alignment horizontal="right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4" fontId="6" fillId="0" borderId="7" xfId="1" applyNumberFormat="1" applyFont="1" applyFill="1" applyBorder="1" applyAlignment="1">
      <alignment horizontal="right" vertical="center"/>
    </xf>
    <xf numFmtId="0" fontId="6" fillId="0" borderId="7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left" vertical="center" wrapText="1"/>
    </xf>
    <xf numFmtId="49" fontId="29" fillId="0" borderId="23" xfId="1" applyNumberFormat="1" applyFont="1" applyFill="1" applyBorder="1" applyAlignment="1">
      <alignment horizontal="center" vertical="center" wrapText="1"/>
    </xf>
    <xf numFmtId="0" fontId="5" fillId="0" borderId="25" xfId="1" applyFont="1" applyFill="1" applyBorder="1" applyAlignment="1">
      <alignment horizontal="left" vertical="center" wrapText="1"/>
    </xf>
    <xf numFmtId="0" fontId="6" fillId="0" borderId="53" xfId="1" applyFont="1" applyFill="1" applyBorder="1" applyAlignment="1">
      <alignment horizontal="left" vertical="center" wrapText="1"/>
    </xf>
    <xf numFmtId="49" fontId="30" fillId="0" borderId="22" xfId="1" applyNumberFormat="1" applyFont="1" applyFill="1" applyBorder="1" applyAlignment="1">
      <alignment horizontal="center" vertical="center" wrapText="1"/>
    </xf>
    <xf numFmtId="0" fontId="5" fillId="0" borderId="46" xfId="1" applyFont="1" applyFill="1" applyBorder="1" applyAlignment="1">
      <alignment horizontal="left" vertical="center" wrapText="1"/>
    </xf>
    <xf numFmtId="4" fontId="5" fillId="0" borderId="60" xfId="1" applyNumberFormat="1" applyFont="1" applyFill="1" applyBorder="1" applyAlignment="1">
      <alignment vertical="center"/>
    </xf>
    <xf numFmtId="49" fontId="5" fillId="0" borderId="22" xfId="1" applyNumberFormat="1" applyFont="1" applyFill="1" applyBorder="1" applyAlignment="1">
      <alignment horizontal="center" vertical="center" wrapText="1"/>
    </xf>
    <xf numFmtId="49" fontId="5" fillId="0" borderId="44" xfId="1" applyNumberFormat="1" applyFont="1" applyFill="1" applyBorder="1" applyAlignment="1">
      <alignment horizontal="center" vertical="center" wrapText="1"/>
    </xf>
    <xf numFmtId="0" fontId="6" fillId="0" borderId="66" xfId="1" applyFont="1" applyBorder="1" applyAlignment="1">
      <alignment horizontal="center" vertical="center" wrapText="1"/>
    </xf>
    <xf numFmtId="0" fontId="7" fillId="0" borderId="65" xfId="1" applyFont="1" applyBorder="1" applyAlignment="1">
      <alignment horizontal="left" vertical="center" wrapText="1"/>
    </xf>
    <xf numFmtId="0" fontId="5" fillId="0" borderId="63" xfId="1" applyFont="1" applyBorder="1" applyAlignment="1">
      <alignment horizontal="left" vertical="center" wrapText="1"/>
    </xf>
    <xf numFmtId="0" fontId="5" fillId="0" borderId="66" xfId="1" applyFont="1" applyBorder="1" applyAlignment="1">
      <alignment horizontal="left" vertical="center" wrapText="1"/>
    </xf>
    <xf numFmtId="0" fontId="6" fillId="0" borderId="65" xfId="1" applyFont="1" applyBorder="1" applyAlignment="1">
      <alignment horizontal="left" vertical="center" wrapText="1"/>
    </xf>
    <xf numFmtId="0" fontId="5" fillId="0" borderId="54" xfId="1" applyFont="1" applyBorder="1" applyAlignment="1">
      <alignment horizontal="left" vertical="center" wrapText="1"/>
    </xf>
    <xf numFmtId="0" fontId="5" fillId="34" borderId="63" xfId="1" applyFont="1" applyFill="1" applyBorder="1" applyAlignment="1">
      <alignment horizontal="left" vertical="center" wrapText="1"/>
    </xf>
    <xf numFmtId="0" fontId="5" fillId="34" borderId="54" xfId="1" applyFont="1" applyFill="1" applyBorder="1" applyAlignment="1">
      <alignment horizontal="left" vertical="center" wrapText="1"/>
    </xf>
    <xf numFmtId="0" fontId="6" fillId="0" borderId="65" xfId="1" applyFont="1" applyFill="1" applyBorder="1" applyAlignment="1">
      <alignment horizontal="left" vertical="center" wrapText="1"/>
    </xf>
    <xf numFmtId="0" fontId="5" fillId="0" borderId="66" xfId="1" applyFont="1" applyFill="1" applyBorder="1" applyAlignment="1">
      <alignment horizontal="left" vertical="center" wrapText="1"/>
    </xf>
    <xf numFmtId="0" fontId="5" fillId="0" borderId="63" xfId="1" applyFont="1" applyFill="1" applyBorder="1" applyAlignment="1">
      <alignment vertical="center" wrapText="1"/>
    </xf>
    <xf numFmtId="0" fontId="5" fillId="0" borderId="68" xfId="1" applyFont="1" applyFill="1" applyBorder="1" applyAlignment="1">
      <alignment horizontal="left" vertical="center" wrapText="1"/>
    </xf>
    <xf numFmtId="0" fontId="5" fillId="0" borderId="53" xfId="1" applyFont="1" applyBorder="1" applyAlignment="1">
      <alignment horizontal="left" vertical="center" wrapText="1"/>
    </xf>
    <xf numFmtId="1" fontId="6" fillId="0" borderId="71" xfId="1" applyNumberFormat="1" applyFont="1" applyBorder="1" applyAlignment="1">
      <alignment horizontal="center" vertical="center" wrapText="1"/>
    </xf>
    <xf numFmtId="4" fontId="6" fillId="0" borderId="72" xfId="1" applyNumberFormat="1" applyFont="1" applyBorder="1" applyAlignment="1">
      <alignment horizontal="center" vertical="center" wrapText="1"/>
    </xf>
    <xf numFmtId="4" fontId="6" fillId="0" borderId="70" xfId="1" applyNumberFormat="1" applyFont="1" applyFill="1" applyBorder="1" applyAlignment="1">
      <alignment vertical="center"/>
    </xf>
    <xf numFmtId="4" fontId="5" fillId="0" borderId="60" xfId="1" applyNumberFormat="1" applyFont="1" applyFill="1" applyBorder="1" applyAlignment="1">
      <alignment vertical="center" wrapText="1"/>
    </xf>
    <xf numFmtId="4" fontId="6" fillId="0" borderId="70" xfId="1" applyNumberFormat="1" applyFont="1" applyBorder="1" applyAlignment="1">
      <alignment vertical="center" wrapText="1"/>
    </xf>
    <xf numFmtId="4" fontId="5" fillId="0" borderId="60" xfId="1" applyNumberFormat="1" applyFont="1" applyBorder="1" applyAlignment="1">
      <alignment vertical="center" wrapText="1"/>
    </xf>
    <xf numFmtId="4" fontId="6" fillId="0" borderId="70" xfId="1" applyNumberFormat="1" applyFont="1" applyBorder="1" applyAlignment="1">
      <alignment vertical="center"/>
    </xf>
    <xf numFmtId="4" fontId="5" fillId="34" borderId="60" xfId="1" applyNumberFormat="1" applyFont="1" applyFill="1" applyBorder="1" applyAlignment="1">
      <alignment vertical="center" wrapText="1"/>
    </xf>
    <xf numFmtId="4" fontId="6" fillId="0" borderId="50" xfId="1" applyNumberFormat="1" applyFont="1" applyBorder="1" applyAlignment="1">
      <alignment vertical="center"/>
    </xf>
    <xf numFmtId="4" fontId="6" fillId="0" borderId="73" xfId="1" applyNumberFormat="1" applyFont="1" applyBorder="1" applyAlignment="1">
      <alignment vertical="center" wrapText="1"/>
    </xf>
    <xf numFmtId="4" fontId="5" fillId="2" borderId="60" xfId="1" applyNumberFormat="1" applyFont="1" applyFill="1" applyBorder="1" applyAlignment="1">
      <alignment vertical="center" wrapText="1"/>
    </xf>
    <xf numFmtId="4" fontId="5" fillId="0" borderId="50" xfId="1" applyNumberFormat="1" applyFont="1" applyFill="1" applyBorder="1" applyAlignment="1">
      <alignment vertical="center" wrapText="1"/>
    </xf>
    <xf numFmtId="4" fontId="8" fillId="0" borderId="74" xfId="1" applyNumberFormat="1" applyFont="1" applyFill="1" applyBorder="1" applyAlignment="1">
      <alignment horizontal="right" vertical="center"/>
    </xf>
    <xf numFmtId="4" fontId="8" fillId="0" borderId="74" xfId="1" applyNumberFormat="1" applyFont="1" applyBorder="1" applyAlignment="1">
      <alignment horizontal="right" vertical="center"/>
    </xf>
    <xf numFmtId="4" fontId="5" fillId="0" borderId="75" xfId="1" applyNumberFormat="1" applyFont="1" applyFill="1" applyBorder="1" applyAlignment="1">
      <alignment vertical="center" wrapText="1"/>
    </xf>
    <xf numFmtId="164" fontId="5" fillId="0" borderId="0" xfId="1" applyNumberFormat="1" applyFont="1" applyFill="1" applyAlignment="1">
      <alignment vertical="center"/>
    </xf>
    <xf numFmtId="0" fontId="1" fillId="0" borderId="0" xfId="0" applyFont="1"/>
    <xf numFmtId="4" fontId="5" fillId="0" borderId="24" xfId="1" applyNumberFormat="1" applyFont="1" applyBorder="1" applyAlignment="1">
      <alignment vertical="center"/>
    </xf>
    <xf numFmtId="4" fontId="6" fillId="0" borderId="25" xfId="1" applyNumberFormat="1" applyFont="1" applyBorder="1" applyAlignment="1">
      <alignment vertical="center"/>
    </xf>
    <xf numFmtId="4" fontId="5" fillId="2" borderId="0" xfId="1" applyNumberFormat="1" applyFont="1" applyFill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left" vertical="center" wrapText="1"/>
    </xf>
    <xf numFmtId="0" fontId="0" fillId="0" borderId="27" xfId="0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 wrapText="1"/>
    </xf>
    <xf numFmtId="0" fontId="6" fillId="0" borderId="52" xfId="1" applyFont="1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6" fillId="0" borderId="52" xfId="1" applyFont="1" applyBorder="1" applyAlignment="1">
      <alignment horizontal="center" vertical="center" wrapText="1"/>
    </xf>
    <xf numFmtId="0" fontId="6" fillId="0" borderId="41" xfId="1" applyFont="1" applyBorder="1" applyAlignment="1">
      <alignment horizontal="center" vertical="center" wrapText="1"/>
    </xf>
    <xf numFmtId="0" fontId="0" fillId="0" borderId="69" xfId="0" applyFill="1" applyBorder="1" applyAlignment="1">
      <alignment vertical="center" wrapText="1"/>
    </xf>
    <xf numFmtId="0" fontId="6" fillId="0" borderId="65" xfId="1" applyFont="1" applyBorder="1" applyAlignment="1">
      <alignment horizontal="center" vertical="center" wrapText="1"/>
    </xf>
    <xf numFmtId="0" fontId="6" fillId="0" borderId="63" xfId="1" applyFont="1" applyBorder="1" applyAlignment="1">
      <alignment horizontal="center" vertical="center" wrapText="1"/>
    </xf>
    <xf numFmtId="0" fontId="6" fillId="0" borderId="70" xfId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6" fillId="0" borderId="67" xfId="1" applyFont="1" applyBorder="1" applyAlignment="1">
      <alignment horizontal="center" vertical="center" wrapText="1"/>
    </xf>
    <xf numFmtId="0" fontId="0" fillId="0" borderId="68" xfId="0" applyBorder="1" applyAlignment="1">
      <alignment vertical="center" wrapText="1"/>
    </xf>
    <xf numFmtId="0" fontId="6" fillId="0" borderId="69" xfId="1" applyFont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2" borderId="28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6" fillId="2" borderId="26" xfId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28" xfId="1" applyFont="1" applyFill="1" applyBorder="1" applyAlignment="1">
      <alignment horizontal="left" vertical="center" wrapText="1"/>
    </xf>
    <xf numFmtId="0" fontId="0" fillId="2" borderId="29" xfId="0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0" xfId="1" applyFont="1" applyFill="1" applyBorder="1" applyAlignment="1">
      <alignment horizontal="center" vertical="center" wrapText="1"/>
    </xf>
    <xf numFmtId="4" fontId="5" fillId="2" borderId="31" xfId="1" applyNumberFormat="1" applyFont="1" applyFill="1" applyBorder="1" applyAlignment="1">
      <alignment horizontal="center" vertical="center"/>
    </xf>
    <xf numFmtId="4" fontId="5" fillId="2" borderId="32" xfId="1" applyNumberFormat="1" applyFont="1" applyFill="1" applyBorder="1" applyAlignment="1">
      <alignment horizontal="center" vertical="center"/>
    </xf>
    <xf numFmtId="4" fontId="5" fillId="2" borderId="33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31" fillId="35" borderId="20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" fontId="23" fillId="0" borderId="61" xfId="0" applyNumberFormat="1" applyFont="1" applyBorder="1" applyAlignment="1">
      <alignment vertical="center"/>
    </xf>
    <xf numFmtId="0" fontId="23" fillId="0" borderId="61" xfId="0" applyFont="1" applyBorder="1" applyAlignment="1">
      <alignment vertical="center"/>
    </xf>
    <xf numFmtId="1" fontId="23" fillId="0" borderId="45" xfId="0" applyNumberFormat="1" applyFont="1" applyBorder="1" applyAlignment="1">
      <alignment vertical="center"/>
    </xf>
    <xf numFmtId="1" fontId="0" fillId="0" borderId="61" xfId="0" applyNumberFormat="1" applyBorder="1" applyAlignment="1">
      <alignment horizontal="center"/>
    </xf>
    <xf numFmtId="0" fontId="0" fillId="0" borderId="61" xfId="0" applyBorder="1" applyAlignment="1">
      <alignment horizontal="center"/>
    </xf>
    <xf numFmtId="49" fontId="30" fillId="0" borderId="62" xfId="1" applyNumberFormat="1" applyFont="1" applyFill="1" applyBorder="1" applyAlignment="1">
      <alignment horizontal="center" vertical="center" wrapText="1"/>
    </xf>
    <xf numFmtId="4" fontId="5" fillId="0" borderId="64" xfId="1" applyNumberFormat="1" applyFont="1" applyFill="1" applyBorder="1" applyAlignment="1">
      <alignment horizontal="right" vertical="center" wrapText="1"/>
    </xf>
    <xf numFmtId="4" fontId="5" fillId="0" borderId="62" xfId="1" applyNumberFormat="1" applyFont="1" applyFill="1" applyBorder="1" applyAlignment="1">
      <alignment horizontal="right" vertical="center" wrapText="1"/>
    </xf>
    <xf numFmtId="4" fontId="5" fillId="0" borderId="75" xfId="1" applyNumberFormat="1" applyFont="1" applyFill="1" applyBorder="1" applyAlignment="1">
      <alignment vertical="center"/>
    </xf>
    <xf numFmtId="4" fontId="5" fillId="0" borderId="75" xfId="1" applyNumberFormat="1" applyFont="1" applyFill="1" applyBorder="1" applyAlignment="1">
      <alignment horizontal="right" vertical="center" wrapText="1"/>
    </xf>
    <xf numFmtId="4" fontId="5" fillId="0" borderId="71" xfId="1" applyNumberFormat="1" applyFont="1" applyFill="1" applyBorder="1" applyAlignment="1">
      <alignment vertical="center" wrapText="1"/>
    </xf>
  </cellXfs>
  <cellStyles count="47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" xfId="45" xr:uid="{659137CD-3943-4139-AC4C-B18E1441787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 xr:uid="{00000000-0005-0000-0000-000001000000}"/>
    <cellStyle name="Обычный 3" xfId="42" xr:uid="{8DF518EB-2C68-4609-A81F-6ADC846899D0}"/>
    <cellStyle name="Обычный 4" xfId="44" xr:uid="{53DE2654-AF92-4A8C-8F01-ABC2844E1AC9}"/>
    <cellStyle name="Обычный 5" xfId="46" xr:uid="{D1E6B386-E91F-41C6-8CC3-D5399CA4BFCC}"/>
    <cellStyle name="Плохой" xfId="8" builtinId="27" customBuiltin="1"/>
    <cellStyle name="Пояснение" xfId="16" builtinId="53" customBuiltin="1"/>
    <cellStyle name="Примечание 2" xfId="43" xr:uid="{AD3F9400-9619-4C82-987C-EAF6678E20F4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colors>
    <mruColors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utyh/Desktop/&#1088;&#1072;&#1089;&#1095;&#1077;&#1090;%20&#1101;&#1101;%20&#1096;&#1085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19"/>
      <sheetName val="Cентябрь 19"/>
      <sheetName val="Октябрь 19"/>
      <sheetName val="Ноябрь 19"/>
      <sheetName val="декабрь19"/>
      <sheetName val="январь 20"/>
      <sheetName val="февраль 20"/>
      <sheetName val="март 20"/>
      <sheetName val="апрель 20"/>
      <sheetName val="май 20"/>
      <sheetName val="июнь 20"/>
      <sheetName val="июль 20"/>
      <sheetName val="август 20"/>
      <sheetName val="сентябрь 20"/>
      <sheetName val="октябрь 20"/>
      <sheetName val="ноябрь 20"/>
      <sheetName val="декабрь 20"/>
      <sheetName val="январь 21"/>
      <sheetName val="февраль 21"/>
      <sheetName val="март 21"/>
      <sheetName val="апрель 21,"/>
      <sheetName val="МАЙ 21"/>
      <sheetName val="ИЮНЬ 21"/>
      <sheetName val="ИЮЛЬ 21"/>
      <sheetName val="АВГУСТ 21"/>
      <sheetName val="СЕНТЯБРЬ 21"/>
      <sheetName val="ОКТЯБРЬ 21"/>
      <sheetName val="НОЯБРЬ 21"/>
      <sheetName val="ДЕКАБРЬ 21"/>
      <sheetName val="расчет ээ шно 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3">
          <cell r="J23">
            <v>672</v>
          </cell>
        </row>
        <row r="25">
          <cell r="I25">
            <v>76</v>
          </cell>
        </row>
        <row r="52">
          <cell r="J52">
            <v>1116</v>
          </cell>
        </row>
        <row r="54">
          <cell r="I54">
            <v>78</v>
          </cell>
        </row>
        <row r="78">
          <cell r="J78">
            <v>611</v>
          </cell>
        </row>
        <row r="80">
          <cell r="I80">
            <v>83</v>
          </cell>
        </row>
        <row r="107">
          <cell r="J107">
            <v>592.29700000000003</v>
          </cell>
        </row>
        <row r="109">
          <cell r="I109">
            <v>83.636999999999944</v>
          </cell>
        </row>
        <row r="133">
          <cell r="J133">
            <v>640.00300000000016</v>
          </cell>
        </row>
        <row r="135">
          <cell r="I135">
            <v>87.503000000000156</v>
          </cell>
        </row>
        <row r="162">
          <cell r="J162">
            <v>776.875</v>
          </cell>
        </row>
        <row r="164">
          <cell r="I164">
            <v>86.634000000000015</v>
          </cell>
        </row>
        <row r="189">
          <cell r="J189">
            <v>649.14699999999993</v>
          </cell>
        </row>
        <row r="191">
          <cell r="I191">
            <v>86.043999999999869</v>
          </cell>
        </row>
        <row r="217">
          <cell r="J217">
            <v>619</v>
          </cell>
        </row>
        <row r="219">
          <cell r="I219">
            <v>78</v>
          </cell>
        </row>
        <row r="243">
          <cell r="J243">
            <v>705.98699999999917</v>
          </cell>
        </row>
        <row r="245">
          <cell r="I245">
            <v>85.381000000000085</v>
          </cell>
        </row>
        <row r="270">
          <cell r="J270">
            <v>644.73599999999988</v>
          </cell>
        </row>
        <row r="272">
          <cell r="I272">
            <v>90.760999999999967</v>
          </cell>
        </row>
        <row r="297">
          <cell r="J297">
            <v>665.46599999999944</v>
          </cell>
        </row>
        <row r="299">
          <cell r="I299">
            <v>92.367000000000189</v>
          </cell>
        </row>
      </sheetData>
      <sheetData sheetId="18">
        <row r="23">
          <cell r="J23">
            <v>644.33699999999953</v>
          </cell>
        </row>
        <row r="25">
          <cell r="I25">
            <v>83.865999999999985</v>
          </cell>
        </row>
        <row r="52">
          <cell r="J52">
            <v>1101.5780000000013</v>
          </cell>
        </row>
        <row r="54">
          <cell r="I54">
            <v>78.809999999999945</v>
          </cell>
        </row>
        <row r="78">
          <cell r="J78">
            <v>572.84300000000076</v>
          </cell>
        </row>
        <row r="80">
          <cell r="I80">
            <v>80.713000000000193</v>
          </cell>
        </row>
        <row r="107">
          <cell r="J107">
            <v>504.60200000000032</v>
          </cell>
        </row>
        <row r="109">
          <cell r="I109">
            <v>76.548000000000229</v>
          </cell>
        </row>
        <row r="133">
          <cell r="J133">
            <v>686.26899999999978</v>
          </cell>
        </row>
        <row r="135">
          <cell r="I135">
            <v>79.978999999999814</v>
          </cell>
        </row>
        <row r="162">
          <cell r="J162">
            <v>797.40700000000106</v>
          </cell>
        </row>
        <row r="164">
          <cell r="I164">
            <v>76.692999999999984</v>
          </cell>
        </row>
        <row r="189">
          <cell r="J189">
            <v>527.15799999999945</v>
          </cell>
        </row>
        <row r="191">
          <cell r="I191">
            <v>76.419000000000324</v>
          </cell>
        </row>
        <row r="217">
          <cell r="J217">
            <v>540</v>
          </cell>
        </row>
        <row r="219">
          <cell r="I219">
            <v>74</v>
          </cell>
        </row>
        <row r="243">
          <cell r="J243">
            <v>597.81500000000051</v>
          </cell>
        </row>
        <row r="245">
          <cell r="I245">
            <v>80.269999999999982</v>
          </cell>
        </row>
        <row r="270">
          <cell r="J270">
            <v>531.11199999999917</v>
          </cell>
        </row>
        <row r="272">
          <cell r="I272">
            <v>79.776000000000295</v>
          </cell>
        </row>
        <row r="297">
          <cell r="I297">
            <v>353.30599999999959</v>
          </cell>
        </row>
        <row r="298">
          <cell r="I298">
            <v>212.07099999999991</v>
          </cell>
        </row>
        <row r="299">
          <cell r="I299">
            <v>81.748000000000047</v>
          </cell>
        </row>
      </sheetData>
      <sheetData sheetId="19">
        <row r="23">
          <cell r="J23">
            <v>696.66300000000047</v>
          </cell>
        </row>
        <row r="25">
          <cell r="I25">
            <v>94.134000000000015</v>
          </cell>
        </row>
        <row r="52">
          <cell r="J52">
            <v>1059.4219999999987</v>
          </cell>
        </row>
        <row r="54">
          <cell r="I54">
            <v>87.190000000000055</v>
          </cell>
        </row>
        <row r="78">
          <cell r="J78">
            <v>591.15699999999924</v>
          </cell>
        </row>
        <row r="80">
          <cell r="I80">
            <v>89.286999999999807</v>
          </cell>
        </row>
        <row r="107">
          <cell r="J107">
            <v>548.42799999999988</v>
          </cell>
        </row>
        <row r="109">
          <cell r="I109">
            <v>92.634999999999764</v>
          </cell>
        </row>
        <row r="133">
          <cell r="J133">
            <v>755.86799999999948</v>
          </cell>
        </row>
        <row r="135">
          <cell r="I135">
            <v>91.368000000000166</v>
          </cell>
        </row>
        <row r="162">
          <cell r="J162">
            <v>682.38599999999951</v>
          </cell>
        </row>
        <row r="164">
          <cell r="I164">
            <v>95.465999999999894</v>
          </cell>
        </row>
        <row r="189">
          <cell r="J189">
            <v>560.65500000000065</v>
          </cell>
        </row>
        <row r="191">
          <cell r="I191">
            <v>87.17699999999968</v>
          </cell>
        </row>
        <row r="217">
          <cell r="J217">
            <v>593</v>
          </cell>
        </row>
        <row r="219">
          <cell r="I219">
            <v>86</v>
          </cell>
        </row>
        <row r="243">
          <cell r="J243">
            <v>717.00700000000052</v>
          </cell>
        </row>
        <row r="245">
          <cell r="I245">
            <v>95.597000000000207</v>
          </cell>
        </row>
        <row r="270">
          <cell r="J270">
            <v>577.06000000000131</v>
          </cell>
        </row>
        <row r="272">
          <cell r="I272">
            <v>91.024999999999636</v>
          </cell>
        </row>
        <row r="297">
          <cell r="I297">
            <v>393.95400000000154</v>
          </cell>
        </row>
        <row r="298">
          <cell r="I298">
            <v>219.98000000000047</v>
          </cell>
        </row>
        <row r="299">
          <cell r="I299">
            <v>90.784000000000106</v>
          </cell>
        </row>
      </sheetData>
      <sheetData sheetId="20">
        <row r="23">
          <cell r="J23">
            <v>594</v>
          </cell>
        </row>
        <row r="25">
          <cell r="I25">
            <v>97</v>
          </cell>
        </row>
        <row r="52">
          <cell r="J52">
            <v>1018</v>
          </cell>
        </row>
        <row r="54">
          <cell r="I54">
            <v>92</v>
          </cell>
        </row>
        <row r="78">
          <cell r="J78">
            <v>550</v>
          </cell>
        </row>
        <row r="80">
          <cell r="I80">
            <v>93</v>
          </cell>
        </row>
        <row r="107">
          <cell r="J107">
            <v>502.82500000000027</v>
          </cell>
        </row>
        <row r="109">
          <cell r="I109">
            <v>90.909000000000106</v>
          </cell>
        </row>
        <row r="133">
          <cell r="J133">
            <v>515.88600000000042</v>
          </cell>
        </row>
        <row r="135">
          <cell r="I135">
            <v>91.166999999999916</v>
          </cell>
        </row>
        <row r="162">
          <cell r="J162">
            <v>586.74600000000009</v>
          </cell>
        </row>
        <row r="164">
          <cell r="I164">
            <v>93.893000000000029</v>
          </cell>
        </row>
        <row r="189">
          <cell r="J189">
            <v>503.66199999999935</v>
          </cell>
        </row>
        <row r="191">
          <cell r="I191">
            <v>90.559000000000196</v>
          </cell>
        </row>
        <row r="217">
          <cell r="J217">
            <v>479</v>
          </cell>
        </row>
        <row r="219">
          <cell r="I219">
            <v>73</v>
          </cell>
        </row>
        <row r="243">
          <cell r="J243">
            <v>600.78899999999976</v>
          </cell>
        </row>
        <row r="245">
          <cell r="I245">
            <v>96.922999999999774</v>
          </cell>
        </row>
        <row r="270">
          <cell r="J270">
            <v>510.66999999999916</v>
          </cell>
        </row>
        <row r="272">
          <cell r="I272">
            <v>92.693000000000211</v>
          </cell>
        </row>
        <row r="297">
          <cell r="J297">
            <v>562.17399999999907</v>
          </cell>
        </row>
        <row r="299">
          <cell r="I299">
            <v>96.172999999999774</v>
          </cell>
        </row>
      </sheetData>
      <sheetData sheetId="21">
        <row r="5">
          <cell r="J5">
            <v>389</v>
          </cell>
        </row>
        <row r="7">
          <cell r="I7">
            <v>84</v>
          </cell>
        </row>
        <row r="13">
          <cell r="J13">
            <v>924</v>
          </cell>
        </row>
        <row r="15">
          <cell r="I15">
            <v>89</v>
          </cell>
        </row>
        <row r="21">
          <cell r="J21">
            <v>413</v>
          </cell>
        </row>
        <row r="23">
          <cell r="I23">
            <v>85</v>
          </cell>
        </row>
        <row r="29">
          <cell r="J29">
            <v>396</v>
          </cell>
        </row>
        <row r="31">
          <cell r="I31">
            <v>90</v>
          </cell>
        </row>
        <row r="37">
          <cell r="J37">
            <v>317</v>
          </cell>
        </row>
        <row r="39">
          <cell r="I39">
            <v>77</v>
          </cell>
        </row>
        <row r="45">
          <cell r="J45">
            <v>491</v>
          </cell>
        </row>
        <row r="47">
          <cell r="I47">
            <v>84</v>
          </cell>
        </row>
        <row r="53">
          <cell r="J53">
            <v>399</v>
          </cell>
        </row>
        <row r="55">
          <cell r="I55">
            <v>81</v>
          </cell>
        </row>
        <row r="61">
          <cell r="J61">
            <v>433</v>
          </cell>
        </row>
        <row r="63">
          <cell r="I63">
            <v>81</v>
          </cell>
        </row>
        <row r="69">
          <cell r="J69">
            <v>500</v>
          </cell>
        </row>
        <row r="71">
          <cell r="I71">
            <v>88</v>
          </cell>
        </row>
        <row r="77">
          <cell r="J77">
            <v>396</v>
          </cell>
        </row>
        <row r="79">
          <cell r="I79">
            <v>85</v>
          </cell>
        </row>
        <row r="87">
          <cell r="I87">
            <v>90</v>
          </cell>
        </row>
      </sheetData>
      <sheetData sheetId="22">
        <row r="5">
          <cell r="J5">
            <v>345</v>
          </cell>
        </row>
        <row r="7">
          <cell r="I7">
            <v>83</v>
          </cell>
        </row>
        <row r="13">
          <cell r="J13">
            <v>900</v>
          </cell>
        </row>
        <row r="15">
          <cell r="I15">
            <v>93</v>
          </cell>
        </row>
        <row r="21">
          <cell r="J21">
            <v>394</v>
          </cell>
        </row>
        <row r="23">
          <cell r="I23">
            <v>85</v>
          </cell>
        </row>
        <row r="29">
          <cell r="J29">
            <v>366</v>
          </cell>
        </row>
        <row r="31">
          <cell r="I31">
            <v>97</v>
          </cell>
        </row>
        <row r="37">
          <cell r="J37">
            <v>357</v>
          </cell>
        </row>
        <row r="39">
          <cell r="I39">
            <v>78</v>
          </cell>
        </row>
        <row r="45">
          <cell r="J45">
            <v>592</v>
          </cell>
        </row>
        <row r="47">
          <cell r="I47">
            <v>91</v>
          </cell>
        </row>
        <row r="53">
          <cell r="J53">
            <v>421</v>
          </cell>
        </row>
        <row r="55">
          <cell r="I55">
            <v>98</v>
          </cell>
        </row>
        <row r="61">
          <cell r="J61">
            <v>401</v>
          </cell>
        </row>
        <row r="63">
          <cell r="I63">
            <v>84</v>
          </cell>
        </row>
        <row r="69">
          <cell r="J69">
            <v>425</v>
          </cell>
        </row>
        <row r="71">
          <cell r="I71">
            <v>88</v>
          </cell>
        </row>
        <row r="77">
          <cell r="J77">
            <v>403</v>
          </cell>
        </row>
        <row r="79">
          <cell r="I79">
            <v>96</v>
          </cell>
        </row>
        <row r="87">
          <cell r="I87">
            <v>102</v>
          </cell>
        </row>
      </sheetData>
      <sheetData sheetId="23">
        <row r="5">
          <cell r="J5">
            <v>364</v>
          </cell>
        </row>
        <row r="7">
          <cell r="I7">
            <v>80</v>
          </cell>
        </row>
        <row r="13">
          <cell r="J13">
            <v>859</v>
          </cell>
        </row>
        <row r="15">
          <cell r="I15">
            <v>98</v>
          </cell>
        </row>
        <row r="21">
          <cell r="J21">
            <v>368</v>
          </cell>
        </row>
        <row r="23">
          <cell r="I23">
            <v>101</v>
          </cell>
        </row>
        <row r="29">
          <cell r="J29">
            <v>414</v>
          </cell>
        </row>
        <row r="31">
          <cell r="I31">
            <v>98</v>
          </cell>
        </row>
        <row r="37">
          <cell r="J37">
            <v>664</v>
          </cell>
        </row>
        <row r="39">
          <cell r="I39">
            <v>82</v>
          </cell>
        </row>
        <row r="45">
          <cell r="J45">
            <v>626</v>
          </cell>
        </row>
        <row r="47">
          <cell r="I47">
            <v>88</v>
          </cell>
        </row>
        <row r="53">
          <cell r="J53">
            <v>461</v>
          </cell>
        </row>
        <row r="55">
          <cell r="I55">
            <v>98</v>
          </cell>
        </row>
        <row r="61">
          <cell r="J61">
            <v>407</v>
          </cell>
        </row>
        <row r="63">
          <cell r="I63">
            <v>86</v>
          </cell>
        </row>
        <row r="69">
          <cell r="J69">
            <v>673</v>
          </cell>
        </row>
        <row r="71">
          <cell r="I71">
            <v>98</v>
          </cell>
        </row>
        <row r="77">
          <cell r="J77">
            <v>355</v>
          </cell>
        </row>
        <row r="79">
          <cell r="I79">
            <v>77</v>
          </cell>
        </row>
        <row r="87">
          <cell r="I87">
            <v>114</v>
          </cell>
        </row>
      </sheetData>
      <sheetData sheetId="24">
        <row r="5">
          <cell r="J5">
            <v>398</v>
          </cell>
        </row>
        <row r="7">
          <cell r="I7">
            <v>85</v>
          </cell>
        </row>
        <row r="13">
          <cell r="J13">
            <v>1334</v>
          </cell>
        </row>
        <row r="15">
          <cell r="I15">
            <v>102</v>
          </cell>
        </row>
        <row r="21">
          <cell r="J21">
            <v>394</v>
          </cell>
        </row>
        <row r="23">
          <cell r="I23">
            <v>107</v>
          </cell>
        </row>
        <row r="29">
          <cell r="J29">
            <v>539</v>
          </cell>
        </row>
        <row r="31">
          <cell r="I31">
            <v>102</v>
          </cell>
        </row>
        <row r="37">
          <cell r="J37">
            <v>335</v>
          </cell>
        </row>
        <row r="39">
          <cell r="I39">
            <v>85</v>
          </cell>
        </row>
        <row r="45">
          <cell r="J45">
            <v>503</v>
          </cell>
        </row>
        <row r="47">
          <cell r="I47">
            <v>90</v>
          </cell>
        </row>
        <row r="53">
          <cell r="J53">
            <v>381</v>
          </cell>
        </row>
        <row r="55">
          <cell r="I55">
            <v>107</v>
          </cell>
        </row>
        <row r="61">
          <cell r="J61">
            <v>359</v>
          </cell>
        </row>
        <row r="63">
          <cell r="I63">
            <v>93</v>
          </cell>
        </row>
        <row r="69">
          <cell r="J69">
            <v>683</v>
          </cell>
        </row>
        <row r="71">
          <cell r="I71">
            <v>110</v>
          </cell>
        </row>
        <row r="77">
          <cell r="J77">
            <v>366</v>
          </cell>
        </row>
        <row r="79">
          <cell r="I79">
            <v>100</v>
          </cell>
        </row>
        <row r="87">
          <cell r="I87">
            <v>117</v>
          </cell>
        </row>
      </sheetData>
      <sheetData sheetId="25">
        <row r="5">
          <cell r="J5">
            <v>439</v>
          </cell>
        </row>
        <row r="7">
          <cell r="I7">
            <v>96</v>
          </cell>
        </row>
        <row r="13">
          <cell r="J13">
            <v>526</v>
          </cell>
        </row>
        <row r="15">
          <cell r="I15">
            <v>100</v>
          </cell>
        </row>
        <row r="21">
          <cell r="J21">
            <v>419</v>
          </cell>
        </row>
        <row r="23">
          <cell r="I23">
            <v>94</v>
          </cell>
        </row>
        <row r="29">
          <cell r="J29">
            <v>520</v>
          </cell>
        </row>
        <row r="31">
          <cell r="I31">
            <v>92</v>
          </cell>
        </row>
        <row r="37">
          <cell r="J37">
            <v>382</v>
          </cell>
        </row>
        <row r="39">
          <cell r="I39">
            <v>87</v>
          </cell>
        </row>
        <row r="45">
          <cell r="J45">
            <v>599</v>
          </cell>
        </row>
        <row r="47">
          <cell r="I47">
            <v>85</v>
          </cell>
        </row>
        <row r="53">
          <cell r="J53">
            <v>394</v>
          </cell>
        </row>
        <row r="55">
          <cell r="I55">
            <v>107</v>
          </cell>
        </row>
        <row r="61">
          <cell r="J61">
            <v>395</v>
          </cell>
        </row>
        <row r="63">
          <cell r="I63">
            <v>80</v>
          </cell>
        </row>
        <row r="69">
          <cell r="J69">
            <v>540</v>
          </cell>
        </row>
        <row r="71">
          <cell r="I71">
            <v>94</v>
          </cell>
        </row>
        <row r="77">
          <cell r="J77">
            <v>388</v>
          </cell>
        </row>
        <row r="79">
          <cell r="I79">
            <v>94</v>
          </cell>
        </row>
        <row r="87">
          <cell r="I87">
            <v>110</v>
          </cell>
        </row>
      </sheetData>
      <sheetData sheetId="26">
        <row r="5">
          <cell r="J5">
            <v>486</v>
          </cell>
        </row>
        <row r="7">
          <cell r="I7">
            <v>83</v>
          </cell>
        </row>
        <row r="13">
          <cell r="J13">
            <v>859</v>
          </cell>
        </row>
        <row r="15">
          <cell r="I15">
            <v>89</v>
          </cell>
        </row>
        <row r="21">
          <cell r="J21">
            <v>423</v>
          </cell>
        </row>
        <row r="23">
          <cell r="I23">
            <v>86</v>
          </cell>
        </row>
        <row r="29">
          <cell r="J29">
            <v>419</v>
          </cell>
        </row>
        <row r="31">
          <cell r="I31">
            <v>90</v>
          </cell>
        </row>
        <row r="37">
          <cell r="J37">
            <v>425</v>
          </cell>
        </row>
        <row r="39">
          <cell r="I39">
            <v>76</v>
          </cell>
        </row>
        <row r="45">
          <cell r="J45">
            <v>552</v>
          </cell>
        </row>
        <row r="47">
          <cell r="I47">
            <v>82</v>
          </cell>
        </row>
        <row r="53">
          <cell r="J53">
            <v>394</v>
          </cell>
        </row>
        <row r="55">
          <cell r="I55">
            <v>93</v>
          </cell>
        </row>
        <row r="61">
          <cell r="J61">
            <v>426</v>
          </cell>
        </row>
        <row r="63">
          <cell r="I63">
            <v>77</v>
          </cell>
        </row>
        <row r="69">
          <cell r="J69">
            <v>538</v>
          </cell>
        </row>
        <row r="71">
          <cell r="I71">
            <v>91</v>
          </cell>
        </row>
        <row r="77">
          <cell r="J77">
            <v>471</v>
          </cell>
        </row>
        <row r="79">
          <cell r="I79">
            <v>82</v>
          </cell>
        </row>
        <row r="87">
          <cell r="I87">
            <v>99</v>
          </cell>
        </row>
      </sheetData>
      <sheetData sheetId="27">
        <row r="5">
          <cell r="J5">
            <v>505</v>
          </cell>
        </row>
        <row r="7">
          <cell r="I7">
            <v>81</v>
          </cell>
        </row>
        <row r="13">
          <cell r="J13">
            <v>929</v>
          </cell>
        </row>
        <row r="15">
          <cell r="I15">
            <v>87</v>
          </cell>
        </row>
        <row r="21">
          <cell r="J21">
            <v>464</v>
          </cell>
        </row>
        <row r="23">
          <cell r="I23">
            <v>86</v>
          </cell>
        </row>
        <row r="29">
          <cell r="J29">
            <v>443</v>
          </cell>
        </row>
        <row r="31">
          <cell r="I31">
            <v>89</v>
          </cell>
        </row>
        <row r="37">
          <cell r="J37">
            <v>455</v>
          </cell>
        </row>
        <row r="39">
          <cell r="I39">
            <v>75</v>
          </cell>
        </row>
        <row r="45">
          <cell r="J45">
            <v>484</v>
          </cell>
        </row>
        <row r="47">
          <cell r="I47">
            <v>84</v>
          </cell>
        </row>
        <row r="53">
          <cell r="J53">
            <v>423</v>
          </cell>
        </row>
        <row r="55">
          <cell r="I55">
            <v>90</v>
          </cell>
        </row>
        <row r="61">
          <cell r="J61">
            <v>436</v>
          </cell>
        </row>
        <row r="63">
          <cell r="I63">
            <v>81</v>
          </cell>
        </row>
        <row r="71">
          <cell r="I71">
            <v>92</v>
          </cell>
        </row>
        <row r="77">
          <cell r="J77">
            <v>473</v>
          </cell>
        </row>
        <row r="79">
          <cell r="I79">
            <v>87</v>
          </cell>
        </row>
        <row r="87">
          <cell r="I87">
            <v>101</v>
          </cell>
        </row>
      </sheetData>
      <sheetData sheetId="28">
        <row r="5">
          <cell r="J5">
            <v>542</v>
          </cell>
        </row>
        <row r="7">
          <cell r="I7">
            <v>91</v>
          </cell>
        </row>
        <row r="13">
          <cell r="J13">
            <v>1001</v>
          </cell>
        </row>
        <row r="15">
          <cell r="I15">
            <v>90</v>
          </cell>
        </row>
        <row r="21">
          <cell r="J21">
            <v>493</v>
          </cell>
        </row>
        <row r="23">
          <cell r="I23">
            <v>96</v>
          </cell>
        </row>
        <row r="29">
          <cell r="J29">
            <v>468</v>
          </cell>
        </row>
        <row r="31">
          <cell r="I31">
            <v>88</v>
          </cell>
        </row>
        <row r="37">
          <cell r="J37">
            <v>482</v>
          </cell>
        </row>
        <row r="39">
          <cell r="I39">
            <v>82</v>
          </cell>
        </row>
        <row r="45">
          <cell r="J45">
            <v>473</v>
          </cell>
        </row>
        <row r="47">
          <cell r="I47">
            <v>85</v>
          </cell>
        </row>
        <row r="53">
          <cell r="J53">
            <v>458</v>
          </cell>
        </row>
        <row r="55">
          <cell r="I55">
            <v>92</v>
          </cell>
        </row>
        <row r="61">
          <cell r="J61">
            <v>455</v>
          </cell>
        </row>
        <row r="63">
          <cell r="I63">
            <v>81</v>
          </cell>
        </row>
        <row r="69">
          <cell r="J69">
            <v>602</v>
          </cell>
        </row>
        <row r="71">
          <cell r="I71">
            <v>95</v>
          </cell>
        </row>
        <row r="77">
          <cell r="J77">
            <v>479</v>
          </cell>
        </row>
        <row r="79">
          <cell r="I79">
            <v>94</v>
          </cell>
        </row>
        <row r="87">
          <cell r="I87">
            <v>106</v>
          </cell>
        </row>
      </sheetData>
      <sheetData sheetId="29" refreshError="1"/>
      <sheetData sheetId="3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Q88"/>
  <sheetViews>
    <sheetView showGridLines="0" tabSelected="1" view="pageBreakPreview" topLeftCell="A64" zoomScale="70" zoomScaleNormal="70" zoomScaleSheetLayoutView="70" workbookViewId="0">
      <selection activeCell="B53" sqref="B53"/>
    </sheetView>
  </sheetViews>
  <sheetFormatPr defaultColWidth="10.140625" defaultRowHeight="18.75" outlineLevelRow="1"/>
  <cols>
    <col min="1" max="1" width="8" style="2" customWidth="1"/>
    <col min="2" max="2" width="63.140625" style="2" customWidth="1"/>
    <col min="3" max="3" width="17" style="3" customWidth="1"/>
    <col min="4" max="4" width="14.7109375" style="3" customWidth="1"/>
    <col min="5" max="5" width="14.85546875" style="2" customWidth="1"/>
    <col min="6" max="6" width="13.7109375" style="2" customWidth="1"/>
    <col min="7" max="7" width="17" style="2" customWidth="1"/>
    <col min="8" max="8" width="42" style="2" customWidth="1"/>
    <col min="9" max="9" width="56.28515625" style="2" customWidth="1"/>
    <col min="10" max="10" width="43" style="2" customWidth="1"/>
    <col min="11" max="11" width="23.7109375" style="2" bestFit="1" customWidth="1"/>
    <col min="12" max="12" width="13.28515625" style="2" bestFit="1" customWidth="1"/>
    <col min="13" max="13" width="11.5703125" style="2" bestFit="1" customWidth="1"/>
    <col min="14" max="14" width="10.42578125" style="2" bestFit="1" customWidth="1"/>
    <col min="15" max="15" width="10.140625" style="2"/>
    <col min="16" max="16" width="19.140625" style="2" customWidth="1"/>
    <col min="17" max="16384" width="10.140625" style="2"/>
  </cols>
  <sheetData>
    <row r="1" spans="1:16">
      <c r="A1" s="354" t="s">
        <v>136</v>
      </c>
      <c r="B1" s="354"/>
      <c r="C1" s="354"/>
      <c r="D1" s="354"/>
      <c r="E1" s="354"/>
      <c r="F1" s="354"/>
      <c r="G1" s="354"/>
      <c r="H1" s="247">
        <f>SUM(I1:I3)</f>
        <v>18872.7</v>
      </c>
      <c r="I1" s="3">
        <f>SUM(Площадь!L13+Площадь!L14+Площадь!L15)</f>
        <v>2322.8000000000002</v>
      </c>
      <c r="J1" s="2" t="s">
        <v>248</v>
      </c>
      <c r="K1" s="4" t="s">
        <v>245</v>
      </c>
      <c r="P1" s="3">
        <f>SUM(Площадь!M13+Площадь!M14+Площадь!M15)</f>
        <v>2324.5</v>
      </c>
    </row>
    <row r="2" spans="1:16" ht="19.5" thickBot="1">
      <c r="A2" s="355"/>
      <c r="B2" s="355"/>
      <c r="C2" s="355"/>
      <c r="D2" s="355"/>
      <c r="E2" s="355"/>
      <c r="F2" s="355"/>
      <c r="G2" s="355"/>
      <c r="H2" s="135"/>
      <c r="I2" s="3">
        <f>SUM(Площадь!L11)</f>
        <v>1581.0000000000002</v>
      </c>
      <c r="J2" s="2" t="s">
        <v>249</v>
      </c>
      <c r="K2" s="4" t="s">
        <v>247</v>
      </c>
      <c r="P2" s="3">
        <f>SUM(Площадь!M11)</f>
        <v>1549</v>
      </c>
    </row>
    <row r="3" spans="1:16">
      <c r="A3" s="352" t="s">
        <v>0</v>
      </c>
      <c r="B3" s="360" t="s">
        <v>1</v>
      </c>
      <c r="C3" s="352" t="s">
        <v>296</v>
      </c>
      <c r="D3" s="352" t="s">
        <v>297</v>
      </c>
      <c r="E3" s="352" t="s">
        <v>298</v>
      </c>
      <c r="F3" s="352" t="s">
        <v>299</v>
      </c>
      <c r="G3" s="352" t="s">
        <v>300</v>
      </c>
      <c r="H3" s="239"/>
      <c r="I3" s="2">
        <f>SUM(Площадь!L28)</f>
        <v>14968.9</v>
      </c>
      <c r="J3" s="2" t="s">
        <v>250</v>
      </c>
      <c r="K3" s="4" t="s">
        <v>246</v>
      </c>
      <c r="P3" s="2">
        <f>SUM(Площадь!M28)</f>
        <v>14990.3</v>
      </c>
    </row>
    <row r="4" spans="1:16" ht="18.75" customHeight="1">
      <c r="A4" s="359"/>
      <c r="B4" s="361"/>
      <c r="C4" s="353"/>
      <c r="D4" s="353"/>
      <c r="E4" s="353"/>
      <c r="F4" s="353"/>
      <c r="G4" s="353"/>
      <c r="H4" s="240"/>
      <c r="I4" s="3">
        <f>SUM(Площадь!Q11+Площадь!Q13+Площадь!Q14+Площадь!Q15+Площадь!Q28)</f>
        <v>232</v>
      </c>
      <c r="J4" s="2" t="s">
        <v>241</v>
      </c>
    </row>
    <row r="5" spans="1:16" ht="18" customHeight="1">
      <c r="A5" s="359"/>
      <c r="B5" s="361"/>
      <c r="C5" s="353"/>
      <c r="D5" s="353"/>
      <c r="E5" s="353"/>
      <c r="F5" s="353"/>
      <c r="G5" s="353"/>
      <c r="H5" s="240"/>
      <c r="I5" s="3">
        <f>SUM(тх2!J5+тх4!J5+тх6!J5+КТ!J5+УВ1!J5+УВ3!J5+УВ5!J5+УВ7!J5+УВ9!J5+УВ11!J5+УВ13!J5+УВ15!J5+УВ17!J5+УВ19!J5+УВ21!J5)</f>
        <v>232</v>
      </c>
      <c r="J5" s="2" t="s">
        <v>292</v>
      </c>
    </row>
    <row r="6" spans="1:16" ht="19.5" thickBot="1">
      <c r="A6" s="136">
        <v>1</v>
      </c>
      <c r="B6" s="137">
        <v>2</v>
      </c>
      <c r="C6" s="138">
        <v>3</v>
      </c>
      <c r="D6" s="138">
        <v>6</v>
      </c>
      <c r="E6" s="138">
        <v>9</v>
      </c>
      <c r="F6" s="138">
        <v>12</v>
      </c>
      <c r="G6" s="139">
        <v>15</v>
      </c>
      <c r="H6" s="241"/>
    </row>
    <row r="7" spans="1:16" ht="19.5" thickBot="1">
      <c r="A7" s="348" t="s">
        <v>2</v>
      </c>
      <c r="B7" s="349"/>
      <c r="C7" s="140" t="s">
        <v>8</v>
      </c>
      <c r="D7" s="140" t="s">
        <v>8</v>
      </c>
      <c r="E7" s="141" t="s">
        <v>8</v>
      </c>
      <c r="F7" s="141" t="s">
        <v>8</v>
      </c>
      <c r="G7" s="141" t="s">
        <v>8</v>
      </c>
      <c r="H7" s="242"/>
    </row>
    <row r="8" spans="1:16" ht="26.1" customHeight="1">
      <c r="A8" s="142">
        <v>1</v>
      </c>
      <c r="B8" s="143" t="s">
        <v>15</v>
      </c>
      <c r="C8" s="252">
        <f>SUM(C9:C12)</f>
        <v>15939.957927000001</v>
      </c>
      <c r="D8" s="145">
        <f>SUM(D9:D12)</f>
        <v>15939.957926999999</v>
      </c>
      <c r="E8" s="146">
        <f>SUM(E9:E12)</f>
        <v>15939.957926999999</v>
      </c>
      <c r="F8" s="146">
        <f>SUM(F9:F12)</f>
        <v>15939.957927000001</v>
      </c>
      <c r="G8" s="146">
        <f>SUM(G9:G12)</f>
        <v>63759.831707999998</v>
      </c>
      <c r="H8" s="243"/>
      <c r="I8" s="2">
        <f>0.28*232*3</f>
        <v>194.88000000000002</v>
      </c>
    </row>
    <row r="9" spans="1:16" ht="20.100000000000001" customHeight="1">
      <c r="A9" s="147"/>
      <c r="B9" s="148" t="s">
        <v>3</v>
      </c>
      <c r="C9" s="253">
        <f>SUM(тх2!C10+тх4!C10+тх6!C10+УВ1!C10+УВ3!C10+УВ5!C10+УВ7!C10+УВ9!C10+УВ11!C10+УВ13!C10+УВ15!C10+УВ17!C10+УВ19!C10+УВ21!C10)</f>
        <v>7252.1389799999997</v>
      </c>
      <c r="D9" s="149">
        <f>SUM(тх2!D10+тх4!D10+тх6!D10+УВ1!D10+УВ3!D10+УВ5!D10+УВ7!D10+УВ9!D10+УВ11!D10+УВ13!D10+УВ15!D10+УВ17!D10+УВ19!D10+УВ21!D10)</f>
        <v>7252.1389799999997</v>
      </c>
      <c r="E9" s="149">
        <f>SUM(тх2!E10+тх4!E10+тх6!E10+УВ1!E10+УВ3!E10+УВ5!E10+УВ7!E10+УВ9!E10+УВ11!E10+УВ13!E10+УВ15!E10+УВ17!E10+УВ19!E10+УВ21!E10)</f>
        <v>7252.1389799999997</v>
      </c>
      <c r="F9" s="149">
        <f>SUM(тх2!F10+тх4!F10+тх6!F10+УВ1!F10+УВ3!F10+УВ5!F10+УВ7!F10+УВ9!F10+УВ11!F10+УВ13!F10+УВ15!F10+УВ17!F10+УВ19!F10+УВ21!F10)</f>
        <v>7252.1389799999997</v>
      </c>
      <c r="G9" s="151">
        <f>C9+D9+E9+F9</f>
        <v>29008.555919999999</v>
      </c>
      <c r="H9" s="244"/>
    </row>
    <row r="10" spans="1:16" ht="20.100000000000001" customHeight="1">
      <c r="A10" s="147"/>
      <c r="B10" s="148" t="s">
        <v>10</v>
      </c>
      <c r="C10" s="253">
        <f>SUM(УВ1!C13+УВ3!C13+УВ5!C13+УВ7!C13+УВ9!C13+УВ11!C13+УВ13!C13+УВ15!C13+УВ17!C13+УВ19!C13+УВ21!C13)</f>
        <v>1962.4227900000003</v>
      </c>
      <c r="D10" s="149">
        <f>SUM(УВ1!D13+УВ3!D13+УВ5!D13+УВ7!D13+УВ9!D13+УВ11!D13+УВ13!D13+УВ15!D13+УВ17!D13+УВ19!D13+УВ21!D13)</f>
        <v>1962.4227900000003</v>
      </c>
      <c r="E10" s="149">
        <f>SUM(УВ1!E13+УВ3!E13+УВ5!E13+УВ7!E13+УВ9!E13+УВ11!E13+УВ13!E13+УВ15!E13+УВ17!E13+УВ19!E13+УВ21!E13)</f>
        <v>1962.4227900000003</v>
      </c>
      <c r="F10" s="149">
        <f>SUM(УВ1!F13+УВ3!F13+УВ5!F13+УВ7!F13+УВ9!F13+УВ11!F13+УВ13!F13+УВ15!F13+УВ17!F13+УВ19!F13+УВ21!F13)</f>
        <v>1962.4227900000003</v>
      </c>
      <c r="G10" s="151">
        <f>C10+D10+E10+F10</f>
        <v>7849.6911600000012</v>
      </c>
      <c r="H10" s="244"/>
      <c r="I10" s="3"/>
      <c r="J10" s="3"/>
      <c r="N10" s="3"/>
      <c r="O10" s="3"/>
    </row>
    <row r="11" spans="1:16" ht="20.100000000000001" customHeight="1">
      <c r="A11" s="152"/>
      <c r="B11" s="148" t="s">
        <v>11</v>
      </c>
      <c r="C11" s="253">
        <f>SUM(УВ1!C14+УВ3!C14+УВ5!C14+УВ7!C14+УВ9!C14+УВ11!C14+УВ13!C14+УВ15!C14+УВ17!C14+УВ19!C14+УВ21!C14)</f>
        <v>3096.3169649999995</v>
      </c>
      <c r="D11" s="149">
        <f>SUM(УВ1!D14+УВ3!D14+УВ5!D14+УВ7!D14+УВ9!D14+УВ11!D14+УВ13!D14+УВ15!D14+УВ17!D14+УВ19!D14+УВ21!D14)</f>
        <v>3096.3169649999995</v>
      </c>
      <c r="E11" s="149">
        <f>SUM(УВ1!E14+УВ3!E14+УВ5!E14+УВ7!E14+УВ9!E14+УВ11!E14+УВ13!E14+УВ15!E14+УВ17!E14+УВ19!E14+УВ21!E14)</f>
        <v>3096.3169649999995</v>
      </c>
      <c r="F11" s="149">
        <f>SUM(УВ1!F14+УВ3!F14+УВ5!F14+УВ7!F14+УВ9!F14+УВ11!F14+УВ13!F14+УВ15!F14+УВ17!F14+УВ19!F14+УВ21!F14)</f>
        <v>3096.3169649999995</v>
      </c>
      <c r="G11" s="151">
        <f>C11+D11+E11+F11</f>
        <v>12385.267859999998</v>
      </c>
      <c r="H11" s="244"/>
      <c r="I11" s="3"/>
      <c r="J11" s="3"/>
      <c r="N11" s="3"/>
      <c r="O11" s="3"/>
    </row>
    <row r="12" spans="1:16" ht="20.100000000000001" customHeight="1" outlineLevel="1" thickBot="1">
      <c r="A12" s="153"/>
      <c r="B12" s="154" t="s">
        <v>12</v>
      </c>
      <c r="C12" s="253">
        <f>SUM(тх2!C15+тх4!C15+тх6!C15+КТ!C15+УВ1!C15+УВ3!C15+УВ5!C15+УВ7!C15+УВ9!C15+УВ11!C15+УВ13!C15+УВ15!C15+УВ17!C15+УВ19!C15+УВ21!C15)+960+96</f>
        <v>3629.0791920000006</v>
      </c>
      <c r="D12" s="149">
        <f>SUM(тх2!D15+тх4!D15+тх6!D15+КТ!D15+УВ1!D15+УВ3!D15+УВ5!D15+УВ7!D15+УВ9!D15+УВ11!D15+УВ13!D15+УВ15!D15+УВ17!D15+УВ19!D15+УВ21!D15)+960+96</f>
        <v>3629.0791919999997</v>
      </c>
      <c r="E12" s="149">
        <f>SUM(тх2!E15+тх4!E15+тх6!E15+КТ!E15+УВ1!E15+УВ3!E15+УВ5!E15+УВ7!E15+УВ9!E15+УВ11!E15+УВ13!E15+УВ15!E15+УВ17!E15+УВ19!E15+УВ21!E15)+960+96</f>
        <v>3629.0791919999997</v>
      </c>
      <c r="F12" s="149">
        <f>SUM(тх2!F15+тх4!F15+тх6!F15+КТ!F15+УВ1!F15+УВ3!F15+УВ5!F15+УВ7!F15+УВ9!F15+УВ11!F15+УВ13!F15+УВ15!F15+УВ17!F15+УВ19!F15+УВ21!F15)+960+96</f>
        <v>3629.0791920000006</v>
      </c>
      <c r="G12" s="151">
        <f>C12+D12+E12+F12</f>
        <v>14516.316768000001</v>
      </c>
      <c r="H12" s="244"/>
      <c r="I12" s="3"/>
      <c r="J12" s="3"/>
      <c r="N12" s="3"/>
      <c r="O12" s="3"/>
    </row>
    <row r="13" spans="1:16" ht="20.100000000000001" customHeight="1" outlineLevel="1">
      <c r="A13" s="142">
        <v>2</v>
      </c>
      <c r="B13" s="155" t="s">
        <v>16</v>
      </c>
      <c r="C13" s="156">
        <f>SUM(C14:C16)</f>
        <v>4948.4846572770712</v>
      </c>
      <c r="D13" s="157">
        <f>SUM(D14:D16)</f>
        <v>2843.3068110457089</v>
      </c>
      <c r="E13" s="158">
        <f>SUM(E14:E16)</f>
        <v>2881.1054564281399</v>
      </c>
      <c r="F13" s="158">
        <f>SUM(F14:F16)</f>
        <v>3089.217403757174</v>
      </c>
      <c r="G13" s="158">
        <f>SUM(G14:G16)</f>
        <v>13762.114328508094</v>
      </c>
      <c r="H13" s="245"/>
      <c r="I13" s="3"/>
      <c r="J13" s="3"/>
      <c r="N13" s="3"/>
      <c r="O13" s="3"/>
    </row>
    <row r="14" spans="1:16" ht="20.100000000000001" customHeight="1">
      <c r="A14" s="159"/>
      <c r="B14" s="148" t="s">
        <v>20</v>
      </c>
      <c r="C14" s="149">
        <f>SUM(УВ1!C17+УВ3!C17+УВ5!C17+УВ7!C17+УВ9!C17+УВ11!C17+УВ13!C17+УВ15!C17+УВ17!C17+УВ19!C17+УВ21!C17)</f>
        <v>987.94739999999979</v>
      </c>
      <c r="D14" s="149">
        <f>SUM(УВ1!D17+УВ3!D17+УВ5!D17+УВ7!D17+УВ9!D17+УВ11!D17+УВ13!D17+УВ15!D17+УВ17!D17+УВ19!D17+УВ21!D17)</f>
        <v>987.94739999999979</v>
      </c>
      <c r="E14" s="149">
        <f>SUM(УВ1!E17+УВ3!E17+УВ5!E17+УВ7!E17+УВ9!E17+УВ11!E17+УВ13!E17+УВ15!E17+УВ17!E17+УВ19!E17+УВ21!E17)</f>
        <v>987.94739999999979</v>
      </c>
      <c r="F14" s="149">
        <f>SUM(УВ1!F17+УВ3!F17+УВ5!F17+УВ7!F17+УВ9!F17+УВ11!F17+УВ13!F17+УВ15!F17+УВ17!F17+УВ19!F17+УВ21!F17)</f>
        <v>987.94739999999979</v>
      </c>
      <c r="G14" s="151">
        <f>C14+D14+E14+F14</f>
        <v>3951.7895999999992</v>
      </c>
      <c r="H14" s="262"/>
      <c r="I14" s="3"/>
      <c r="J14" s="3"/>
      <c r="N14" s="3"/>
      <c r="O14" s="3"/>
    </row>
    <row r="15" spans="1:16" ht="39" customHeight="1" outlineLevel="1">
      <c r="A15" s="160"/>
      <c r="B15" s="161" t="s">
        <v>14</v>
      </c>
      <c r="C15" s="149">
        <f>SUM('МОП, лифт доход'!E33)</f>
        <v>650.69235000000003</v>
      </c>
      <c r="D15" s="149">
        <f>SUM('МОП, лифт доход'!H33)</f>
        <v>619.70699999999999</v>
      </c>
      <c r="E15" s="149">
        <f>SUM('МОП, лифт доход'!K33)</f>
        <v>681.67769999999996</v>
      </c>
      <c r="F15" s="149">
        <f>SUM('МОП, лифт доход'!N33)</f>
        <v>805.6191</v>
      </c>
      <c r="G15" s="151">
        <f>C15+D15+E15+F15</f>
        <v>2757.6961500000002</v>
      </c>
      <c r="H15" s="262"/>
      <c r="I15" s="3"/>
      <c r="J15" s="3"/>
      <c r="N15" s="3"/>
      <c r="O15" s="3"/>
    </row>
    <row r="16" spans="1:16" ht="40.5" customHeight="1" outlineLevel="1" thickBot="1">
      <c r="A16" s="162"/>
      <c r="B16" s="154" t="s">
        <v>137</v>
      </c>
      <c r="C16" s="149">
        <v>3309.8449072770713</v>
      </c>
      <c r="D16" s="150">
        <v>1235.652411045709</v>
      </c>
      <c r="E16" s="151">
        <v>1211.4803564281401</v>
      </c>
      <c r="F16" s="151">
        <v>1295.6509037571739</v>
      </c>
      <c r="G16" s="151">
        <f>C16+D16+E16+F16</f>
        <v>7052.6285785080945</v>
      </c>
      <c r="H16" s="262" t="s">
        <v>312</v>
      </c>
      <c r="I16" s="3"/>
      <c r="J16" s="3"/>
      <c r="N16" s="3"/>
      <c r="O16" s="3"/>
    </row>
    <row r="17" spans="1:17" ht="40.5" customHeight="1" outlineLevel="1">
      <c r="A17" s="142">
        <v>3</v>
      </c>
      <c r="B17" s="155" t="s">
        <v>17</v>
      </c>
      <c r="C17" s="144">
        <f>SUM(C18:C19)</f>
        <v>2129.7600000000002</v>
      </c>
      <c r="D17" s="145">
        <f>SUM(D18:D19)</f>
        <v>2129.7600000000002</v>
      </c>
      <c r="E17" s="146">
        <f>SUM(E18:E19)</f>
        <v>2129.7600000000002</v>
      </c>
      <c r="F17" s="146">
        <f>SUM(F18:F19)</f>
        <v>2129.7600000000002</v>
      </c>
      <c r="G17" s="146">
        <f t="shared" ref="G17" si="0">SUM(G18:G19)</f>
        <v>8519.0400000000009</v>
      </c>
      <c r="H17" s="243"/>
      <c r="I17" s="216"/>
      <c r="J17" s="216"/>
      <c r="K17" s="217"/>
      <c r="L17" s="217"/>
      <c r="M17" s="217"/>
      <c r="N17" s="216"/>
      <c r="O17" s="216"/>
      <c r="P17" s="217"/>
      <c r="Q17" s="217"/>
    </row>
    <row r="18" spans="1:17" ht="20.100000000000001" customHeight="1" outlineLevel="1">
      <c r="A18" s="159"/>
      <c r="B18" s="148" t="s">
        <v>40</v>
      </c>
      <c r="C18" s="149">
        <f>SUM(тх2!C21+тх4!C21+тх6!C21+КТ!C21+УВ1!C21+УВ3!C21+УВ5!C21+УВ7!C21+УВ9!C21+УВ11!C21+УВ13!C21+УВ15!C21+УВ17!C21+УВ19!C21+УВ21!C21)</f>
        <v>737.76</v>
      </c>
      <c r="D18" s="149">
        <f>SUM(тх2!D21+тх4!D21+тх6!D21+КТ!D21+УВ1!D21+УВ3!D21+УВ5!D21+УВ7!D21+УВ9!D21+УВ11!D21+УВ13!D21+УВ15!D21+УВ17!D21+УВ19!D21+УВ21!D21)</f>
        <v>737.76</v>
      </c>
      <c r="E18" s="149">
        <f>SUM(тх2!E21+тх4!E21+тх6!E21+КТ!E21+УВ1!E21+УВ3!E21+УВ5!E21+УВ7!E21+УВ9!E21+УВ11!E21+УВ13!E21+УВ15!E21+УВ17!E21+УВ19!E21+УВ21!E21)</f>
        <v>737.76</v>
      </c>
      <c r="F18" s="149">
        <f>SUM(тх2!F21+тх4!F21+тх6!F21+КТ!F21+УВ1!F21+УВ3!F21+УВ5!F21+УВ7!F21+УВ9!F21+УВ11!F21+УВ13!F21+УВ15!F21+УВ17!F21+УВ19!F21+УВ21!F21)</f>
        <v>737.76</v>
      </c>
      <c r="G18" s="151">
        <f>C18+D18+E18+F18</f>
        <v>2951.04</v>
      </c>
      <c r="H18" s="244"/>
      <c r="I18" s="3"/>
      <c r="J18" s="3"/>
    </row>
    <row r="19" spans="1:17" ht="20.100000000000001" customHeight="1" outlineLevel="1" thickBot="1">
      <c r="A19" s="162"/>
      <c r="B19" s="154" t="s">
        <v>18</v>
      </c>
      <c r="C19" s="149">
        <f>SUM(тх2!C22+тх4!C22+тх6!C22+КТ!C22+УВ1!C22+УВ3!C22+УВ5!C22+УВ7!C22+УВ9!C22+УВ11!C22+УВ13!C22+УВ15!C22+УВ17!C22+УВ19!C22+УВ21!C22)</f>
        <v>1392</v>
      </c>
      <c r="D19" s="149">
        <f>SUM(тх2!D22+тх4!D22+тх6!D22+КТ!D22+УВ1!D22+УВ3!D22+УВ5!D22+УВ7!D22+УВ9!D22+УВ11!D22+УВ13!D22+УВ15!D22+УВ17!D22+УВ19!D22+УВ21!D22)</f>
        <v>1392</v>
      </c>
      <c r="E19" s="149">
        <f>SUM(тх2!E22+тх4!E22+тх6!E22+КТ!E22+УВ1!E22+УВ3!E22+УВ5!E22+УВ7!E22+УВ9!E22+УВ11!E22+УВ13!E22+УВ15!E22+УВ17!E22+УВ19!E22+УВ21!E22)</f>
        <v>1392</v>
      </c>
      <c r="F19" s="149">
        <f>SUM(тх2!F22+тх4!F22+тх6!F22+КТ!F22+УВ1!F22+УВ3!F22+УВ5!F22+УВ7!F22+УВ9!F22+УВ11!F22+УВ13!F22+УВ15!F22+УВ17!F22+УВ19!F22+УВ21!F22)</f>
        <v>1392</v>
      </c>
      <c r="G19" s="151">
        <f>C19+D19+E19+F19</f>
        <v>5568</v>
      </c>
      <c r="H19" s="244"/>
      <c r="I19" s="3"/>
      <c r="J19" s="3"/>
    </row>
    <row r="20" spans="1:17" ht="20.100000000000001" customHeight="1" outlineLevel="1">
      <c r="A20" s="163" t="s">
        <v>9</v>
      </c>
      <c r="B20" s="155" t="s">
        <v>22</v>
      </c>
      <c r="C20" s="144">
        <f>SUM(C21:C22)</f>
        <v>47970.272999999986</v>
      </c>
      <c r="D20" s="145">
        <f>SUM(D21:D22)</f>
        <v>47970.272999999986</v>
      </c>
      <c r="E20" s="146">
        <f>SUM(E21:E22)</f>
        <v>47970.272999999986</v>
      </c>
      <c r="F20" s="146">
        <f>SUM(F21:F22)</f>
        <v>47970.272999999986</v>
      </c>
      <c r="G20" s="146">
        <f t="shared" ref="G20" si="1">SUM(G21:G22)</f>
        <v>191881.09199999995</v>
      </c>
      <c r="H20" s="243"/>
      <c r="I20" s="3"/>
      <c r="J20" s="3"/>
    </row>
    <row r="21" spans="1:17" s="1" customFormat="1" ht="20.100000000000001" customHeight="1">
      <c r="A21" s="313"/>
      <c r="B21" s="306" t="s">
        <v>21</v>
      </c>
      <c r="C21" s="253">
        <f>SUM(тх2!C24+тх4!C24+тх6!C24+КТ!C24+УВ1!C24+УВ3!C24+УВ5!C24+УВ7!C24+УВ9!C24+УВ11!C24+УВ13!C24+УВ15!C24+УВ17!C24+УВ19!C24+УВ21!C24)</f>
        <v>31941.143999999993</v>
      </c>
      <c r="D21" s="253">
        <f>SUM(тх2!D24+тх4!D24+тх6!D24+КТ!D24+УВ1!D24+УВ3!D24+УВ5!D24+УВ7!D24+УВ9!D24+УВ11!D24+УВ13!D24+УВ15!D24+УВ17!D24+УВ19!D24+УВ21!D24)</f>
        <v>31941.143999999993</v>
      </c>
      <c r="E21" s="253">
        <f>SUM(тх2!E24+тх4!E24+тх6!E24+КТ!E24+УВ1!E24+УВ3!E24+УВ5!E24+УВ7!E24+УВ9!E24+УВ11!E24+УВ13!E24+УВ15!E24+УВ17!E24+УВ19!E24+УВ21!E24)</f>
        <v>31941.143999999993</v>
      </c>
      <c r="F21" s="253">
        <f>SUM(тх2!F24+тх4!F24+тх6!F24+КТ!F24+УВ1!F24+УВ3!F24+УВ5!F24+УВ7!F24+УВ9!F24+УВ11!F24+УВ13!F24+УВ15!F24+УВ17!F24+УВ19!F24+УВ21!F24)</f>
        <v>31941.143999999993</v>
      </c>
      <c r="G21" s="264">
        <f>C21+D21+E21+F21</f>
        <v>127764.57599999997</v>
      </c>
      <c r="H21" s="268" t="s">
        <v>304</v>
      </c>
      <c r="I21" s="343">
        <f>((0.62*14968.9)+((2322.8+1581)*0.35))*3</f>
        <v>31941.143999999997</v>
      </c>
    </row>
    <row r="22" spans="1:17" ht="20.100000000000001" customHeight="1" outlineLevel="1" thickBot="1">
      <c r="A22" s="164"/>
      <c r="B22" s="154" t="s">
        <v>55</v>
      </c>
      <c r="C22" s="149">
        <f>SUM(тх2!C25+тх4!C25+тх6!C25+КТ!C25+УВ1!C25+УВ3!C25+УВ5!C25+УВ7!C25+УВ9!C25+УВ11!C25+УВ13!C25+УВ15!C25+УВ17!C25+УВ19!C25+УВ21!C25)</f>
        <v>16029.128999999997</v>
      </c>
      <c r="D22" s="149">
        <f>SUM(тх2!D25+тх4!D25+тх6!D25+КТ!D25+УВ1!D25+УВ3!D25+УВ5!D25+УВ7!D25+УВ9!D25+УВ11!D25+УВ13!D25+УВ15!D25+УВ17!D25+УВ19!D25+УВ21!D25)</f>
        <v>16029.128999999997</v>
      </c>
      <c r="E22" s="149">
        <f>SUM(тх2!E25+тх4!E25+тх6!E25+КТ!E25+УВ1!E25+УВ3!E25+УВ5!E25+УВ7!E25+УВ9!E25+УВ11!E25+УВ13!E25+УВ15!E25+УВ17!E25+УВ19!E25+УВ21!E25)</f>
        <v>16029.128999999997</v>
      </c>
      <c r="F22" s="149">
        <f>SUM(тх2!F25+тх4!F25+тх6!F25+КТ!F25+УВ1!F25+УВ3!F25+УВ5!F25+УВ7!F25+УВ9!F25+УВ11!F25+УВ13!F25+УВ15!F25+УВ17!F25+УВ19!F25+УВ21!F25)</f>
        <v>16029.128999999997</v>
      </c>
      <c r="G22" s="151">
        <f>C22+D22+E22+F22</f>
        <v>64116.515999999989</v>
      </c>
      <c r="H22" s="244"/>
      <c r="I22" s="33"/>
      <c r="J22" s="33"/>
      <c r="K22" s="33"/>
    </row>
    <row r="23" spans="1:17" ht="20.100000000000001" customHeight="1" outlineLevel="1">
      <c r="A23" s="163" t="s">
        <v>7</v>
      </c>
      <c r="B23" s="155" t="s">
        <v>4</v>
      </c>
      <c r="C23" s="252">
        <f>SUM(C24:C31)</f>
        <v>4140.1666107018791</v>
      </c>
      <c r="D23" s="271">
        <f>SUM(D24:D31)</f>
        <v>4111.1279157546396</v>
      </c>
      <c r="E23" s="272">
        <f>SUM(E24:E31)</f>
        <v>4110.7895069899932</v>
      </c>
      <c r="F23" s="272">
        <f>SUM(F24:F31)</f>
        <v>4111.9678946526001</v>
      </c>
      <c r="G23" s="146">
        <f>SUM(G24:G31)</f>
        <v>16474.051928099114</v>
      </c>
      <c r="H23" s="243"/>
      <c r="I23" s="33"/>
      <c r="J23" s="33"/>
      <c r="K23" s="33"/>
    </row>
    <row r="24" spans="1:17" s="1" customFormat="1" ht="20.100000000000001" customHeight="1" outlineLevel="1">
      <c r="A24" s="313"/>
      <c r="B24" s="306" t="s">
        <v>5</v>
      </c>
      <c r="C24" s="253">
        <v>550</v>
      </c>
      <c r="D24" s="270">
        <v>550</v>
      </c>
      <c r="E24" s="264">
        <v>550</v>
      </c>
      <c r="F24" s="264">
        <v>550</v>
      </c>
      <c r="G24" s="264">
        <f t="shared" ref="G24:G31" si="2">C24+D24+E24+F24</f>
        <v>2200</v>
      </c>
      <c r="H24" s="268"/>
    </row>
    <row r="25" spans="1:17" s="1" customFormat="1" ht="20.100000000000001" customHeight="1" outlineLevel="1">
      <c r="A25" s="313"/>
      <c r="B25" s="306" t="s">
        <v>19</v>
      </c>
      <c r="C25" s="253">
        <v>160</v>
      </c>
      <c r="D25" s="270">
        <v>160</v>
      </c>
      <c r="E25" s="264">
        <v>160</v>
      </c>
      <c r="F25" s="264">
        <v>160</v>
      </c>
      <c r="G25" s="264">
        <f t="shared" si="2"/>
        <v>640</v>
      </c>
      <c r="H25" s="268"/>
    </row>
    <row r="26" spans="1:17" s="1" customFormat="1" ht="20.100000000000001" customHeight="1" outlineLevel="1">
      <c r="A26" s="314"/>
      <c r="B26" s="311" t="s">
        <v>138</v>
      </c>
      <c r="C26" s="253">
        <v>272</v>
      </c>
      <c r="D26" s="253">
        <v>272</v>
      </c>
      <c r="E26" s="253">
        <v>272</v>
      </c>
      <c r="F26" s="253">
        <v>272</v>
      </c>
      <c r="G26" s="264">
        <f t="shared" si="2"/>
        <v>1088</v>
      </c>
      <c r="H26" s="268"/>
    </row>
    <row r="27" spans="1:17" s="1" customFormat="1" ht="20.100000000000001" customHeight="1" outlineLevel="1">
      <c r="A27" s="314"/>
      <c r="B27" s="311" t="s">
        <v>254</v>
      </c>
      <c r="C27" s="253">
        <v>2400</v>
      </c>
      <c r="D27" s="253">
        <v>2400</v>
      </c>
      <c r="E27" s="253">
        <v>2400</v>
      </c>
      <c r="F27" s="253">
        <v>2400</v>
      </c>
      <c r="G27" s="264">
        <f t="shared" si="2"/>
        <v>9600</v>
      </c>
      <c r="H27" s="268"/>
    </row>
    <row r="28" spans="1:17" s="1" customFormat="1" ht="26.1" customHeight="1">
      <c r="A28" s="314"/>
      <c r="B28" s="311" t="s">
        <v>139</v>
      </c>
      <c r="C28" s="253">
        <f>SUM((C16+C17+C20+C24)+(232*0.28*3))*1.4/100</f>
        <v>758.16661070187865</v>
      </c>
      <c r="D28" s="253">
        <f>SUM((D16+D17+D20+D24)+(232*0.28*3))*1.4/100</f>
        <v>729.12791575463973</v>
      </c>
      <c r="E28" s="253">
        <f>SUM((E16+E17+E20+E24)+(232*0.28*3))*1.4/100</f>
        <v>728.7895069899937</v>
      </c>
      <c r="F28" s="253">
        <f>SUM((F16+F17+F20+F24)+(232*0.28*3))*1.4/100</f>
        <v>729.96789465260019</v>
      </c>
      <c r="G28" s="264">
        <f t="shared" si="2"/>
        <v>2946.051928099112</v>
      </c>
      <c r="H28" s="268"/>
    </row>
    <row r="29" spans="1:17" s="1" customFormat="1" ht="20.100000000000001" customHeight="1">
      <c r="A29" s="314"/>
      <c r="B29" s="311" t="s">
        <v>134</v>
      </c>
      <c r="C29" s="253"/>
      <c r="D29" s="253"/>
      <c r="E29" s="253"/>
      <c r="F29" s="253"/>
      <c r="G29" s="264">
        <f t="shared" si="2"/>
        <v>0</v>
      </c>
      <c r="H29" s="268"/>
    </row>
    <row r="30" spans="1:17" ht="20.100000000000001" customHeight="1">
      <c r="A30" s="165"/>
      <c r="B30" s="161" t="s">
        <v>140</v>
      </c>
      <c r="C30" s="253">
        <v>0</v>
      </c>
      <c r="D30" s="270">
        <v>0</v>
      </c>
      <c r="E30" s="264">
        <v>0</v>
      </c>
      <c r="F30" s="264">
        <v>0</v>
      </c>
      <c r="G30" s="151">
        <f t="shared" si="2"/>
        <v>0</v>
      </c>
      <c r="H30" s="244"/>
    </row>
    <row r="31" spans="1:17" ht="57.75" customHeight="1" thickBot="1">
      <c r="A31" s="164"/>
      <c r="B31" s="161" t="s">
        <v>141</v>
      </c>
      <c r="C31" s="149">
        <v>0</v>
      </c>
      <c r="D31" s="150">
        <v>0</v>
      </c>
      <c r="E31" s="151">
        <v>0</v>
      </c>
      <c r="F31" s="151">
        <v>0</v>
      </c>
      <c r="G31" s="151">
        <f t="shared" si="2"/>
        <v>0</v>
      </c>
      <c r="H31" s="244"/>
      <c r="I31" s="218"/>
      <c r="K31" s="134"/>
      <c r="L31" s="134"/>
      <c r="M31" s="134"/>
    </row>
    <row r="32" spans="1:17" ht="20.100000000000001" customHeight="1" thickBot="1">
      <c r="A32" s="350" t="s">
        <v>6</v>
      </c>
      <c r="B32" s="351"/>
      <c r="C32" s="166">
        <f>SUM(C8+C13+C17+C20+C23)</f>
        <v>75128.642194978951</v>
      </c>
      <c r="D32" s="167">
        <f>SUM(D8+D13+D17+D20+D23)</f>
        <v>72994.425653800325</v>
      </c>
      <c r="E32" s="168">
        <f>SUM(E8+E13+E17+E20+E23)</f>
        <v>73031.885890418125</v>
      </c>
      <c r="F32" s="168">
        <f>SUM(F8+F13+F17+F20+F23)</f>
        <v>73241.176225409756</v>
      </c>
      <c r="G32" s="169">
        <f>G8+G13+G17+G20+G23</f>
        <v>294396.12996460719</v>
      </c>
      <c r="H32" s="246"/>
      <c r="I32" s="219"/>
      <c r="J32" s="217"/>
      <c r="K32" s="220"/>
      <c r="L32" s="221"/>
      <c r="M32" s="222"/>
      <c r="N32" s="217"/>
      <c r="O32" s="217"/>
      <c r="P32" s="217"/>
      <c r="Q32" s="217"/>
    </row>
    <row r="33" spans="1:17" ht="20.100000000000001" customHeight="1" thickBot="1">
      <c r="A33" s="362" t="s">
        <v>34</v>
      </c>
      <c r="B33" s="363"/>
      <c r="C33" s="170" t="s">
        <v>8</v>
      </c>
      <c r="D33" s="171" t="s">
        <v>8</v>
      </c>
      <c r="E33" s="172" t="s">
        <v>8</v>
      </c>
      <c r="F33" s="172" t="s">
        <v>8</v>
      </c>
      <c r="G33" s="172" t="s">
        <v>8</v>
      </c>
      <c r="H33" s="245"/>
      <c r="K33" s="134"/>
      <c r="L33" s="134"/>
      <c r="M33" s="134"/>
    </row>
    <row r="34" spans="1:17" ht="39.950000000000003" customHeight="1">
      <c r="A34" s="142">
        <v>1</v>
      </c>
      <c r="B34" s="143" t="s">
        <v>15</v>
      </c>
      <c r="C34" s="144">
        <f>SUM(C35:C38)</f>
        <v>17269.911769999999</v>
      </c>
      <c r="D34" s="145">
        <f>SUM(D35:D38)</f>
        <v>17269.911769999999</v>
      </c>
      <c r="E34" s="146">
        <f>SUM(E35:E38)</f>
        <v>17269.911769999999</v>
      </c>
      <c r="F34" s="146">
        <f>SUM(F35:F38)</f>
        <v>17269.911769999999</v>
      </c>
      <c r="G34" s="146">
        <f t="shared" ref="G34" si="3">SUM(G35:G38)</f>
        <v>69079.647079999995</v>
      </c>
      <c r="H34" s="254"/>
      <c r="I34" s="255"/>
      <c r="N34" s="223"/>
    </row>
    <row r="35" spans="1:17" ht="39.950000000000003" customHeight="1">
      <c r="A35" s="35"/>
      <c r="B35" s="148" t="s">
        <v>3</v>
      </c>
      <c r="C35" s="149">
        <f t="shared" ref="C35:F36" si="4">SUM(C9)</f>
        <v>7252.1389799999997</v>
      </c>
      <c r="D35" s="149">
        <f t="shared" si="4"/>
        <v>7252.1389799999997</v>
      </c>
      <c r="E35" s="149">
        <f t="shared" si="4"/>
        <v>7252.1389799999997</v>
      </c>
      <c r="F35" s="149">
        <f t="shared" si="4"/>
        <v>7252.1389799999997</v>
      </c>
      <c r="G35" s="151">
        <f>C35+D35+E35+F35</f>
        <v>29008.555919999999</v>
      </c>
      <c r="H35" s="262"/>
      <c r="I35" s="255"/>
      <c r="N35" s="218"/>
    </row>
    <row r="36" spans="1:17" ht="39.950000000000003" customHeight="1">
      <c r="A36" s="35"/>
      <c r="B36" s="148" t="s">
        <v>10</v>
      </c>
      <c r="C36" s="149">
        <f t="shared" si="4"/>
        <v>1962.4227900000003</v>
      </c>
      <c r="D36" s="149">
        <f t="shared" si="4"/>
        <v>1962.4227900000003</v>
      </c>
      <c r="E36" s="149">
        <f t="shared" si="4"/>
        <v>1962.4227900000003</v>
      </c>
      <c r="F36" s="149">
        <f t="shared" si="4"/>
        <v>1962.4227900000003</v>
      </c>
      <c r="G36" s="151">
        <f>C36+D36+E36+F36</f>
        <v>7849.6911600000012</v>
      </c>
      <c r="H36" s="262"/>
      <c r="I36" s="255"/>
      <c r="N36" s="218"/>
    </row>
    <row r="37" spans="1:17" ht="20.100000000000001" customHeight="1">
      <c r="A37" s="35"/>
      <c r="B37" s="148" t="s">
        <v>41</v>
      </c>
      <c r="C37" s="236">
        <v>4625</v>
      </c>
      <c r="D37" s="236">
        <v>4625</v>
      </c>
      <c r="E37" s="236">
        <v>4625</v>
      </c>
      <c r="F37" s="236">
        <v>4625</v>
      </c>
      <c r="G37" s="151">
        <f>C37+D37+E37+F37</f>
        <v>18500</v>
      </c>
      <c r="H37" s="262"/>
      <c r="I37" s="257"/>
    </row>
    <row r="38" spans="1:17" ht="20.100000000000001" customHeight="1" thickBot="1">
      <c r="A38" s="173"/>
      <c r="B38" s="161" t="s">
        <v>12</v>
      </c>
      <c r="C38" s="253">
        <v>3430.35</v>
      </c>
      <c r="D38" s="253">
        <v>3430.35</v>
      </c>
      <c r="E38" s="253">
        <v>3430.35</v>
      </c>
      <c r="F38" s="253">
        <v>3430.35</v>
      </c>
      <c r="G38" s="151">
        <f>C38+D38+E38+F38</f>
        <v>13721.4</v>
      </c>
      <c r="H38" s="262">
        <v>13721.4</v>
      </c>
      <c r="I38" s="258" t="s">
        <v>293</v>
      </c>
      <c r="J38" s="217"/>
      <c r="K38" s="217"/>
      <c r="L38" s="217"/>
      <c r="M38" s="217"/>
      <c r="N38" s="217"/>
      <c r="O38" s="217"/>
      <c r="P38" s="217"/>
      <c r="Q38" s="217"/>
    </row>
    <row r="39" spans="1:17" s="4" customFormat="1" ht="20.100000000000001" customHeight="1">
      <c r="A39" s="142">
        <v>2</v>
      </c>
      <c r="B39" s="155" t="s">
        <v>16</v>
      </c>
      <c r="C39" s="144">
        <f>SUM(C40:C42)</f>
        <v>9101.3892141770721</v>
      </c>
      <c r="D39" s="145">
        <f>SUM(D40:D42)</f>
        <v>5748.4053502457082</v>
      </c>
      <c r="E39" s="146">
        <f>SUM(E40:E42)</f>
        <v>5757.8833564281404</v>
      </c>
      <c r="F39" s="146">
        <f>SUM(F40:F42)</f>
        <v>5906.9237037571747</v>
      </c>
      <c r="G39" s="146">
        <f t="shared" ref="G39" si="5">SUM(G40:G42)</f>
        <v>26514.601624608094</v>
      </c>
      <c r="H39" s="254"/>
      <c r="I39" s="257"/>
      <c r="J39" s="2"/>
      <c r="K39" s="2"/>
      <c r="L39" s="2"/>
      <c r="M39" s="2"/>
      <c r="N39" s="2"/>
      <c r="O39" s="2"/>
      <c r="P39" s="2"/>
      <c r="Q39" s="2"/>
    </row>
    <row r="40" spans="1:17" ht="20.100000000000001" customHeight="1">
      <c r="A40" s="159"/>
      <c r="B40" s="148" t="s">
        <v>20</v>
      </c>
      <c r="C40" s="253">
        <v>5142.5443069000003</v>
      </c>
      <c r="D40" s="270">
        <v>3830.7529392000001</v>
      </c>
      <c r="E40" s="264">
        <v>3813.4029999999998</v>
      </c>
      <c r="F40" s="264">
        <v>3938.2728000000002</v>
      </c>
      <c r="G40" s="151">
        <f>SUM(C40+D40+E40+F40)</f>
        <v>16724.9730461</v>
      </c>
      <c r="H40" s="262" t="s">
        <v>294</v>
      </c>
      <c r="I40" s="257"/>
    </row>
    <row r="41" spans="1:17" ht="20.100000000000001" customHeight="1">
      <c r="A41" s="159"/>
      <c r="B41" s="148" t="s">
        <v>14</v>
      </c>
      <c r="C41" s="253">
        <v>649</v>
      </c>
      <c r="D41" s="270">
        <v>682</v>
      </c>
      <c r="E41" s="264">
        <v>733</v>
      </c>
      <c r="F41" s="264">
        <v>673</v>
      </c>
      <c r="G41" s="151">
        <f>SUM(C41+D41+E41+F41)</f>
        <v>2737</v>
      </c>
      <c r="H41" s="262" t="s">
        <v>294</v>
      </c>
      <c r="I41" s="257"/>
    </row>
    <row r="42" spans="1:17" ht="20.100000000000001" customHeight="1" thickBot="1">
      <c r="A42" s="162"/>
      <c r="B42" s="154" t="s">
        <v>66</v>
      </c>
      <c r="C42" s="253">
        <f>SUM(C16)</f>
        <v>3309.8449072770713</v>
      </c>
      <c r="D42" s="253">
        <f>SUM(D16)</f>
        <v>1235.652411045709</v>
      </c>
      <c r="E42" s="253">
        <f>SUM(E16)</f>
        <v>1211.4803564281401</v>
      </c>
      <c r="F42" s="253">
        <f>SUM(F16)</f>
        <v>1295.6509037571739</v>
      </c>
      <c r="G42" s="174">
        <f>SUM(C42+D42+E42+F42)</f>
        <v>7052.6285785080945</v>
      </c>
      <c r="H42" s="256"/>
      <c r="I42" s="257"/>
    </row>
    <row r="43" spans="1:17" ht="20.100000000000001" customHeight="1">
      <c r="A43" s="302" t="s">
        <v>28</v>
      </c>
      <c r="B43" s="303" t="s">
        <v>17</v>
      </c>
      <c r="C43" s="252">
        <f>SUM(C44:C45)</f>
        <v>4536</v>
      </c>
      <c r="D43" s="271">
        <f>SUM(D44:D45)</f>
        <v>4536</v>
      </c>
      <c r="E43" s="272">
        <f>SUM(E44:E45)</f>
        <v>4536</v>
      </c>
      <c r="F43" s="272">
        <f>SUM(F44:F45)</f>
        <v>4536</v>
      </c>
      <c r="G43" s="304">
        <f>SUM(G45:G45)</f>
        <v>18144</v>
      </c>
      <c r="H43" s="254"/>
      <c r="I43" s="259"/>
      <c r="J43" s="224"/>
      <c r="K43" s="224"/>
      <c r="L43" s="224"/>
      <c r="M43" s="224"/>
      <c r="N43" s="224"/>
      <c r="O43" s="224"/>
      <c r="P43" s="224"/>
      <c r="Q43" s="224"/>
    </row>
    <row r="44" spans="1:17" ht="20.100000000000001" customHeight="1">
      <c r="A44" s="305"/>
      <c r="B44" s="306" t="s">
        <v>40</v>
      </c>
      <c r="C44" s="253">
        <v>0</v>
      </c>
      <c r="D44" s="270">
        <v>0</v>
      </c>
      <c r="E44" s="264">
        <v>0</v>
      </c>
      <c r="F44" s="264">
        <v>0</v>
      </c>
      <c r="G44" s="264">
        <f>C44+D44+E44+F44</f>
        <v>0</v>
      </c>
      <c r="H44" s="256"/>
      <c r="I44" s="259"/>
      <c r="J44" s="224"/>
      <c r="K44" s="224"/>
      <c r="L44" s="224"/>
      <c r="M44" s="224"/>
      <c r="N44" s="224"/>
      <c r="O44" s="224"/>
      <c r="P44" s="224"/>
      <c r="Q44" s="224"/>
    </row>
    <row r="45" spans="1:17" ht="20.100000000000001" customHeight="1" thickBot="1">
      <c r="A45" s="307"/>
      <c r="B45" s="308" t="s">
        <v>142</v>
      </c>
      <c r="C45" s="345">
        <v>4536</v>
      </c>
      <c r="D45" s="345">
        <v>4536</v>
      </c>
      <c r="E45" s="345">
        <v>4536</v>
      </c>
      <c r="F45" s="345">
        <v>4536</v>
      </c>
      <c r="G45" s="346">
        <f>SUM(C45:F45)</f>
        <v>18144</v>
      </c>
      <c r="H45" s="217" t="s">
        <v>311</v>
      </c>
      <c r="I45" s="260"/>
      <c r="K45" s="218"/>
    </row>
    <row r="46" spans="1:17" ht="20.100000000000001" customHeight="1">
      <c r="A46" s="305">
        <v>4</v>
      </c>
      <c r="B46" s="309" t="s">
        <v>33</v>
      </c>
      <c r="C46" s="252">
        <f>SUM(C47:C65)</f>
        <v>52787.381522673415</v>
      </c>
      <c r="D46" s="252">
        <f>SUM(D47:D65)</f>
        <v>48092.474771723413</v>
      </c>
      <c r="E46" s="252">
        <f>SUM(E47:E65)</f>
        <v>48668.528273623408</v>
      </c>
      <c r="F46" s="252">
        <f>SUM(F47:F65)</f>
        <v>51755.836873355031</v>
      </c>
      <c r="G46" s="252">
        <f>SUM(G47:G65)</f>
        <v>201304.22144137527</v>
      </c>
      <c r="H46" s="254"/>
      <c r="I46" s="260"/>
    </row>
    <row r="47" spans="1:17" ht="20.100000000000001" customHeight="1">
      <c r="A47" s="266"/>
      <c r="B47" s="267" t="s">
        <v>38</v>
      </c>
      <c r="C47" s="253">
        <f>SUM(тх2!C43+тх4!C43+тх6!C43+КТ!C43+УВ1!C43+УВ3!C43+УВ5!C43+УВ7!C43+УВ9!C43+УВ11!C43+УВ13!C43+УВ15!C43+УВ17!C43+УВ19!C43+УВ21!C43)</f>
        <v>31949.132999999998</v>
      </c>
      <c r="D47" s="253">
        <f>SUM(тх2!D43+тх4!D43+тх6!D43+КТ!D43+УВ1!D43+УВ3!D43+УВ5!D43+УВ7!D43+УВ9!D43+УВ11!D43+УВ13!D43+УВ15!D43+УВ17!D43+УВ19!D43+УВ21!D43)</f>
        <v>31949.132999999998</v>
      </c>
      <c r="E47" s="253">
        <f>SUM(тх2!E43+тх4!E43+тх6!E43+КТ!E43+УВ1!E43+УВ3!E43+УВ5!E43+УВ7!E43+УВ9!E43+УВ11!E43+УВ13!E43+УВ15!E43+УВ17!E43+УВ19!E43+УВ21!E43)</f>
        <v>31949.132999999998</v>
      </c>
      <c r="F47" s="253">
        <f>SUM(тх2!F43+тх4!F43+тх6!F43+КТ!F43+УВ1!F43+УВ3!F43+УВ5!F43+УВ7!F43+УВ9!F43+УВ11!F43+УВ13!F43+УВ15!F43+УВ17!F43+УВ19!F43+УВ21!F43)</f>
        <v>31949.132999999998</v>
      </c>
      <c r="G47" s="264">
        <f t="shared" ref="G47:G64" si="6">C47+D47+E47+F47</f>
        <v>127796.53199999999</v>
      </c>
      <c r="H47" s="256"/>
      <c r="I47" s="261">
        <f>((0.62*14990.3)+((2324.5+1549)*0.35))*3</f>
        <v>31949.132999999998</v>
      </c>
      <c r="L47" s="33"/>
      <c r="M47" s="33"/>
    </row>
    <row r="48" spans="1:17" ht="39" customHeight="1">
      <c r="A48" s="310"/>
      <c r="B48" s="267" t="s">
        <v>45</v>
      </c>
      <c r="C48" s="253">
        <f>7392.55+1710.01+162</f>
        <v>9264.56</v>
      </c>
      <c r="D48" s="253">
        <v>7392.55</v>
      </c>
      <c r="E48" s="253">
        <v>7392.55</v>
      </c>
      <c r="F48" s="253">
        <v>7392.55</v>
      </c>
      <c r="G48" s="264">
        <f t="shared" si="6"/>
        <v>31442.21</v>
      </c>
      <c r="H48" s="256" t="s">
        <v>302</v>
      </c>
      <c r="I48" s="257"/>
      <c r="J48" s="4"/>
      <c r="K48" s="4"/>
      <c r="L48" s="4"/>
      <c r="M48" s="4"/>
      <c r="N48" s="4"/>
      <c r="O48" s="4"/>
    </row>
    <row r="49" spans="1:13" ht="37.5" customHeight="1">
      <c r="A49" s="310"/>
      <c r="B49" s="267" t="s">
        <v>48</v>
      </c>
      <c r="C49" s="253">
        <v>2000</v>
      </c>
      <c r="D49" s="270">
        <v>2500</v>
      </c>
      <c r="E49" s="264">
        <v>2500</v>
      </c>
      <c r="F49" s="264">
        <v>2000</v>
      </c>
      <c r="G49" s="264">
        <f t="shared" si="6"/>
        <v>9000</v>
      </c>
      <c r="H49" s="244" t="s">
        <v>306</v>
      </c>
    </row>
    <row r="50" spans="1:13" ht="37.5" customHeight="1">
      <c r="A50" s="399"/>
      <c r="B50" s="285" t="s">
        <v>315</v>
      </c>
      <c r="C50" s="263">
        <v>2000</v>
      </c>
      <c r="D50" s="400">
        <v>0</v>
      </c>
      <c r="E50" s="401">
        <v>0</v>
      </c>
      <c r="F50" s="401">
        <v>2500</v>
      </c>
      <c r="G50" s="264">
        <f t="shared" si="6"/>
        <v>4500</v>
      </c>
      <c r="H50" s="244"/>
    </row>
    <row r="51" spans="1:13" ht="40.5" customHeight="1">
      <c r="A51" s="310"/>
      <c r="B51" s="267" t="s">
        <v>314</v>
      </c>
      <c r="C51" s="253">
        <v>2672.58</v>
      </c>
      <c r="D51" s="270">
        <v>0</v>
      </c>
      <c r="E51" s="264">
        <v>0</v>
      </c>
      <c r="F51" s="264">
        <v>3000</v>
      </c>
      <c r="G51" s="264">
        <f t="shared" si="6"/>
        <v>5672.58</v>
      </c>
      <c r="H51" s="244" t="s">
        <v>313</v>
      </c>
    </row>
    <row r="52" spans="1:13" s="1" customFormat="1" ht="42.75" customHeight="1">
      <c r="A52" s="266"/>
      <c r="B52" s="267" t="s">
        <v>144</v>
      </c>
      <c r="C52" s="253">
        <f>SUM(C88)</f>
        <v>877.56852267342003</v>
      </c>
      <c r="D52" s="253">
        <f>SUM(D88)</f>
        <v>877.04177172341997</v>
      </c>
      <c r="E52" s="253">
        <f>SUM(E88)</f>
        <v>878.09527362341998</v>
      </c>
      <c r="F52" s="253">
        <f>SUM(F88)</f>
        <v>867.4038733550401</v>
      </c>
      <c r="G52" s="264">
        <f t="shared" si="6"/>
        <v>3500.1094413752999</v>
      </c>
      <c r="H52" s="268"/>
      <c r="I52" s="269"/>
    </row>
    <row r="53" spans="1:13" ht="41.25" customHeight="1">
      <c r="A53" s="281"/>
      <c r="B53" s="267" t="s">
        <v>24</v>
      </c>
      <c r="C53" s="253">
        <v>70</v>
      </c>
      <c r="D53" s="270">
        <v>70</v>
      </c>
      <c r="E53" s="264">
        <v>70</v>
      </c>
      <c r="F53" s="264">
        <v>70</v>
      </c>
      <c r="G53" s="264">
        <f t="shared" si="6"/>
        <v>280</v>
      </c>
      <c r="H53" s="244"/>
      <c r="I53" s="218"/>
    </row>
    <row r="54" spans="1:13" ht="39" customHeight="1">
      <c r="A54" s="281"/>
      <c r="B54" s="267" t="s">
        <v>145</v>
      </c>
      <c r="C54" s="312">
        <v>2267.4299999999998</v>
      </c>
      <c r="D54" s="312">
        <v>2267.4299999999998</v>
      </c>
      <c r="E54" s="312">
        <v>2267.4299999999998</v>
      </c>
      <c r="F54" s="312">
        <v>2267.4299999999998</v>
      </c>
      <c r="G54" s="264">
        <f t="shared" si="6"/>
        <v>9069.7199999999993</v>
      </c>
      <c r="H54" s="244"/>
    </row>
    <row r="55" spans="1:13" ht="60" customHeight="1">
      <c r="A55" s="281"/>
      <c r="B55" s="267" t="s">
        <v>146</v>
      </c>
      <c r="C55" s="312">
        <v>263.02</v>
      </c>
      <c r="D55" s="312">
        <v>263.02</v>
      </c>
      <c r="E55" s="312">
        <v>263.02</v>
      </c>
      <c r="F55" s="312">
        <v>263.02</v>
      </c>
      <c r="G55" s="264">
        <f t="shared" si="6"/>
        <v>1052.08</v>
      </c>
      <c r="H55" s="244"/>
    </row>
    <row r="56" spans="1:13" ht="20.100000000000001" customHeight="1">
      <c r="A56" s="281"/>
      <c r="B56" s="282" t="s">
        <v>29</v>
      </c>
      <c r="C56" s="253">
        <v>67.5</v>
      </c>
      <c r="D56" s="253">
        <v>67.5</v>
      </c>
      <c r="E56" s="253">
        <v>67.5</v>
      </c>
      <c r="F56" s="253">
        <v>67.5</v>
      </c>
      <c r="G56" s="264">
        <f t="shared" si="6"/>
        <v>270</v>
      </c>
      <c r="H56" s="268"/>
    </row>
    <row r="57" spans="1:13" ht="20.100000000000001" customHeight="1" outlineLevel="1">
      <c r="A57" s="281"/>
      <c r="B57" s="267" t="s">
        <v>147</v>
      </c>
      <c r="C57" s="253">
        <v>300</v>
      </c>
      <c r="D57" s="270">
        <v>150</v>
      </c>
      <c r="E57" s="264">
        <v>150</v>
      </c>
      <c r="F57" s="264">
        <v>300</v>
      </c>
      <c r="G57" s="264">
        <f t="shared" si="6"/>
        <v>900</v>
      </c>
      <c r="H57" s="268"/>
    </row>
    <row r="58" spans="1:13" ht="26.1" customHeight="1" outlineLevel="1">
      <c r="A58" s="283"/>
      <c r="B58" s="282" t="s">
        <v>65</v>
      </c>
      <c r="C58" s="253">
        <v>95</v>
      </c>
      <c r="D58" s="270">
        <v>110</v>
      </c>
      <c r="E58" s="264">
        <v>185</v>
      </c>
      <c r="F58" s="264">
        <v>133</v>
      </c>
      <c r="G58" s="264">
        <f t="shared" si="6"/>
        <v>523</v>
      </c>
      <c r="H58" s="268"/>
    </row>
    <row r="59" spans="1:13" ht="26.1" customHeight="1" outlineLevel="1">
      <c r="A59" s="283"/>
      <c r="B59" s="267" t="s">
        <v>82</v>
      </c>
      <c r="C59" s="253">
        <v>0</v>
      </c>
      <c r="D59" s="270">
        <v>1500</v>
      </c>
      <c r="E59" s="264">
        <v>2000</v>
      </c>
      <c r="F59" s="264">
        <v>0</v>
      </c>
      <c r="G59" s="264">
        <f t="shared" si="6"/>
        <v>3500</v>
      </c>
      <c r="H59" s="268"/>
    </row>
    <row r="60" spans="1:13">
      <c r="A60" s="281"/>
      <c r="B60" s="267" t="s">
        <v>135</v>
      </c>
      <c r="C60" s="253">
        <v>233.82</v>
      </c>
      <c r="D60" s="253">
        <v>233.82</v>
      </c>
      <c r="E60" s="253">
        <v>233.82</v>
      </c>
      <c r="F60" s="253">
        <v>233.82</v>
      </c>
      <c r="G60" s="264">
        <f t="shared" si="6"/>
        <v>935.28</v>
      </c>
      <c r="H60" s="268" t="s">
        <v>308</v>
      </c>
    </row>
    <row r="61" spans="1:13">
      <c r="A61" s="284"/>
      <c r="B61" s="285" t="s">
        <v>275</v>
      </c>
      <c r="C61" s="263">
        <v>394.38</v>
      </c>
      <c r="D61" s="263">
        <v>394.38</v>
      </c>
      <c r="E61" s="263">
        <v>394.38</v>
      </c>
      <c r="F61" s="263">
        <v>394.38</v>
      </c>
      <c r="G61" s="264">
        <f t="shared" si="6"/>
        <v>1577.52</v>
      </c>
      <c r="H61" s="268" t="s">
        <v>301</v>
      </c>
      <c r="I61" s="2">
        <f>0.98+17.91</f>
        <v>18.89</v>
      </c>
    </row>
    <row r="62" spans="1:13" ht="39.75" customHeight="1">
      <c r="A62" s="286"/>
      <c r="B62" s="282" t="s">
        <v>26</v>
      </c>
      <c r="C62" s="253">
        <f>76.5+14.79</f>
        <v>91.289999999999992</v>
      </c>
      <c r="D62" s="253">
        <v>76.5</v>
      </c>
      <c r="E62" s="253">
        <v>76.5</v>
      </c>
      <c r="F62" s="253">
        <v>76.5</v>
      </c>
      <c r="G62" s="264">
        <f t="shared" si="6"/>
        <v>320.78999999999996</v>
      </c>
      <c r="H62" s="268"/>
    </row>
    <row r="63" spans="1:13">
      <c r="A63" s="287"/>
      <c r="B63" s="288" t="s">
        <v>133</v>
      </c>
      <c r="C63" s="253">
        <v>80</v>
      </c>
      <c r="D63" s="270">
        <v>80</v>
      </c>
      <c r="E63" s="264">
        <v>80</v>
      </c>
      <c r="F63" s="264">
        <v>80</v>
      </c>
      <c r="G63" s="264">
        <f t="shared" si="6"/>
        <v>320</v>
      </c>
      <c r="H63" s="268"/>
      <c r="I63" s="347"/>
      <c r="J63" s="347"/>
      <c r="K63" s="347"/>
      <c r="L63" s="347"/>
      <c r="M63" s="347"/>
    </row>
    <row r="64" spans="1:13" ht="19.5" thickBot="1">
      <c r="A64" s="289"/>
      <c r="B64" s="290" t="s">
        <v>27</v>
      </c>
      <c r="C64" s="265">
        <f>SUM((C24+C26+C27+C30+C31))*5/100</f>
        <v>161.1</v>
      </c>
      <c r="D64" s="265">
        <f>SUM((D24+D26+D27+D30+D31))*5/100</f>
        <v>161.1</v>
      </c>
      <c r="E64" s="265">
        <f>SUM((E24+E26+E27+E30+E31))*5/100</f>
        <v>161.1</v>
      </c>
      <c r="F64" s="265">
        <f>SUM((F24+F26+F27+F30+F31))*5/100</f>
        <v>161.1</v>
      </c>
      <c r="G64" s="291">
        <f t="shared" si="6"/>
        <v>644.4</v>
      </c>
      <c r="H64" s="268"/>
      <c r="I64" s="202"/>
      <c r="J64" s="202"/>
      <c r="K64" s="202"/>
      <c r="L64" s="202"/>
      <c r="M64" s="202"/>
    </row>
    <row r="65" spans="1:13" ht="21" thickBot="1">
      <c r="A65" s="292">
        <v>5</v>
      </c>
      <c r="B65" s="293" t="s">
        <v>148</v>
      </c>
      <c r="C65" s="294"/>
      <c r="D65" s="295"/>
      <c r="E65" s="296"/>
      <c r="F65" s="296"/>
      <c r="G65" s="297"/>
      <c r="H65" s="298"/>
      <c r="I65" s="202"/>
      <c r="J65" s="202"/>
      <c r="K65" s="202"/>
      <c r="L65" s="202"/>
      <c r="M65" s="202"/>
    </row>
    <row r="66" spans="1:13" ht="21" thickBot="1">
      <c r="A66" s="357" t="s">
        <v>37</v>
      </c>
      <c r="B66" s="358"/>
      <c r="C66" s="299">
        <f>SUM(C34+C39+C43+C46+C65)</f>
        <v>83694.682506850484</v>
      </c>
      <c r="D66" s="300">
        <f>SUM(D34+D39+D43+D46)</f>
        <v>75646.791891969129</v>
      </c>
      <c r="E66" s="301">
        <f>SUM(E34+E39+E43+E46)</f>
        <v>76232.323400051551</v>
      </c>
      <c r="F66" s="301">
        <f>SUM(F34+F39+F43+F46)</f>
        <v>79468.67234711221</v>
      </c>
      <c r="G66" s="297">
        <f>G34+G39+G43+G46</f>
        <v>315042.47014598339</v>
      </c>
      <c r="H66" s="298"/>
      <c r="I66" s="202"/>
      <c r="J66" s="202"/>
      <c r="K66" s="202"/>
      <c r="L66" s="202"/>
      <c r="M66" s="202"/>
    </row>
    <row r="67" spans="1:13" ht="20.25">
      <c r="A67" s="28"/>
      <c r="B67" s="176" t="s">
        <v>149</v>
      </c>
      <c r="C67" s="177">
        <f>C32-C66</f>
        <v>-8566.040311871533</v>
      </c>
      <c r="D67" s="175">
        <f>D32-D66</f>
        <v>-2652.3662381688046</v>
      </c>
      <c r="E67" s="175">
        <f>E32-E66</f>
        <v>-3200.4375096334261</v>
      </c>
      <c r="F67" s="175">
        <f>F32-F66</f>
        <v>-6227.4961217024538</v>
      </c>
      <c r="G67" s="177">
        <f>G32-G66</f>
        <v>-20646.340181376203</v>
      </c>
      <c r="H67" s="246"/>
      <c r="I67" s="202"/>
      <c r="J67" s="202"/>
      <c r="K67" s="202"/>
      <c r="L67" s="202"/>
      <c r="M67" s="202"/>
    </row>
    <row r="68" spans="1:13">
      <c r="B68" s="178"/>
      <c r="C68" s="179"/>
      <c r="D68" s="179"/>
      <c r="E68" s="179"/>
      <c r="F68" s="179"/>
      <c r="G68" s="179"/>
      <c r="H68" s="179"/>
      <c r="I68" s="202"/>
      <c r="J68" s="202"/>
      <c r="K68" s="202"/>
      <c r="L68" s="202"/>
      <c r="M68" s="202"/>
    </row>
    <row r="69" spans="1:13">
      <c r="A69" s="58"/>
      <c r="B69" s="77">
        <v>2022</v>
      </c>
      <c r="C69" s="77" t="s">
        <v>150</v>
      </c>
      <c r="D69" s="73" t="s">
        <v>151</v>
      </c>
      <c r="E69" s="73"/>
      <c r="F69" s="73"/>
      <c r="I69" s="202"/>
      <c r="J69" s="202"/>
      <c r="K69" s="202"/>
      <c r="L69" s="202"/>
      <c r="M69" s="202"/>
    </row>
    <row r="70" spans="1:13" ht="19.5" customHeight="1">
      <c r="A70" s="58"/>
      <c r="B70" s="75" t="s">
        <v>50</v>
      </c>
      <c r="C70" s="76">
        <v>0.93</v>
      </c>
      <c r="D70" s="76">
        <v>0.53</v>
      </c>
      <c r="E70" s="73"/>
      <c r="F70" s="73"/>
      <c r="I70" s="202"/>
      <c r="J70" s="202"/>
      <c r="K70" s="202"/>
      <c r="L70" s="202"/>
      <c r="M70" s="202"/>
    </row>
    <row r="71" spans="1:13" ht="19.5" customHeight="1">
      <c r="A71" s="58"/>
      <c r="B71" s="7" t="s">
        <v>21</v>
      </c>
      <c r="C71" s="72">
        <v>0.62</v>
      </c>
      <c r="D71" s="106">
        <v>0.35</v>
      </c>
      <c r="E71" s="73"/>
      <c r="F71" s="73"/>
      <c r="I71" s="202"/>
      <c r="J71" s="202"/>
      <c r="K71" s="202"/>
      <c r="L71" s="202"/>
      <c r="M71" s="202"/>
    </row>
    <row r="72" spans="1:13" ht="19.5" customHeight="1" thickBot="1">
      <c r="A72" s="58"/>
      <c r="B72" s="17" t="s">
        <v>55</v>
      </c>
      <c r="C72" s="72">
        <f>SUM(C70-C71)</f>
        <v>0.31000000000000005</v>
      </c>
      <c r="D72" s="106">
        <f>SUM(D70-D71)</f>
        <v>0.18000000000000005</v>
      </c>
      <c r="E72" s="73"/>
      <c r="F72" s="73"/>
      <c r="I72" s="202"/>
      <c r="J72" s="202"/>
      <c r="K72" s="202"/>
      <c r="L72" s="202"/>
      <c r="M72" s="202"/>
    </row>
    <row r="73" spans="1:13" ht="19.5" customHeight="1">
      <c r="A73" s="58"/>
      <c r="B73" s="79"/>
      <c r="C73" s="78"/>
      <c r="D73" s="78"/>
      <c r="E73" s="78"/>
      <c r="F73" s="78"/>
      <c r="I73" s="202"/>
      <c r="J73" s="202"/>
      <c r="K73" s="202"/>
      <c r="L73" s="202"/>
      <c r="M73" s="202"/>
    </row>
    <row r="74" spans="1:13" ht="19.5" customHeight="1">
      <c r="A74" s="58"/>
      <c r="B74" s="356" t="s">
        <v>56</v>
      </c>
      <c r="C74" s="356"/>
      <c r="D74" s="356"/>
      <c r="E74" s="78"/>
      <c r="F74" s="78"/>
      <c r="I74" s="202"/>
      <c r="J74" s="202"/>
      <c r="K74" s="202"/>
      <c r="L74" s="202"/>
      <c r="M74" s="202"/>
    </row>
    <row r="75" spans="1:13" ht="39.75" customHeight="1">
      <c r="A75" s="58"/>
      <c r="B75" s="71"/>
      <c r="C75" s="73"/>
      <c r="D75" s="73"/>
      <c r="E75" s="73"/>
      <c r="F75" s="73"/>
      <c r="I75" s="202"/>
      <c r="J75" s="202"/>
      <c r="K75" s="202"/>
      <c r="L75" s="202"/>
      <c r="M75" s="202"/>
    </row>
    <row r="76" spans="1:13">
      <c r="A76" s="58"/>
      <c r="C76" s="56"/>
      <c r="D76" s="56"/>
      <c r="I76" s="202"/>
      <c r="J76" s="202"/>
      <c r="K76" s="202"/>
      <c r="L76" s="202"/>
      <c r="M76" s="202"/>
    </row>
    <row r="77" spans="1:13">
      <c r="A77" s="59"/>
      <c r="C77" s="56"/>
      <c r="D77" s="56"/>
      <c r="I77" s="202"/>
      <c r="J77" s="202"/>
      <c r="K77" s="202"/>
      <c r="L77" s="202"/>
      <c r="M77" s="202"/>
    </row>
    <row r="78" spans="1:13">
      <c r="I78" s="202"/>
      <c r="J78" s="202"/>
      <c r="K78" s="202"/>
      <c r="L78" s="202"/>
      <c r="M78" s="202"/>
    </row>
    <row r="83" spans="3:6">
      <c r="C83" s="56">
        <f>(C14+C15)*1.2/100</f>
        <v>19.663676999999996</v>
      </c>
      <c r="D83" s="56">
        <f>(D14+D15)*1.2/100</f>
        <v>19.291852799999997</v>
      </c>
      <c r="E83" s="56">
        <f>(E14+E15)*1.2/100</f>
        <v>20.035501199999995</v>
      </c>
      <c r="F83" s="56">
        <f>F14*1.2/100</f>
        <v>11.855368799999997</v>
      </c>
    </row>
    <row r="84" spans="3:6">
      <c r="C84" s="56">
        <f>(C14+C15-C85)*0.5/100</f>
        <v>7.2368012743799985</v>
      </c>
      <c r="D84" s="56">
        <f>(D14+D15-D85)*0.5/100</f>
        <v>7.081874524379999</v>
      </c>
      <c r="E84" s="56">
        <f>(E14+E15-E85)*0.5/100</f>
        <v>7.3917280243799981</v>
      </c>
      <c r="F84" s="56">
        <f>(F14-F83)*0.5/100</f>
        <v>4.8804601559999989</v>
      </c>
    </row>
    <row r="85" spans="3:6">
      <c r="C85" s="3">
        <f>C8*1.2/100</f>
        <v>191.27949512400002</v>
      </c>
      <c r="D85" s="3">
        <f>D8*1.2/100</f>
        <v>191.27949512399999</v>
      </c>
      <c r="E85" s="3">
        <f>E8*1.2/100</f>
        <v>191.27949512399999</v>
      </c>
      <c r="F85" s="3">
        <f>F8*1.2/100</f>
        <v>191.27949512400002</v>
      </c>
    </row>
    <row r="86" spans="3:6">
      <c r="C86" s="3">
        <f>(C8-C85)*4/100</f>
        <v>629.94713727504006</v>
      </c>
      <c r="D86" s="3">
        <f>(D8-D85)*4/100</f>
        <v>629.94713727503995</v>
      </c>
      <c r="E86" s="3">
        <f>(E8-E85)*4/100</f>
        <v>629.94713727503995</v>
      </c>
      <c r="F86" s="3">
        <f>(F8-F85)*4/100</f>
        <v>629.94713727504006</v>
      </c>
    </row>
    <row r="87" spans="3:6">
      <c r="C87" s="3">
        <f>(H1*0.13)*1.2/100</f>
        <v>29.441412</v>
      </c>
      <c r="D87" s="3">
        <f>(H1*0.13)*1.2/100</f>
        <v>29.441412</v>
      </c>
      <c r="E87" s="3">
        <f>(H1*0.13)*1.2/100</f>
        <v>29.441412</v>
      </c>
      <c r="F87" s="3">
        <f>C87</f>
        <v>29.441412</v>
      </c>
    </row>
    <row r="88" spans="3:6">
      <c r="C88" s="3">
        <f>SUM(C83:C87)</f>
        <v>877.56852267342003</v>
      </c>
      <c r="D88" s="3">
        <f>SUM(D83:D87)</f>
        <v>877.04177172341997</v>
      </c>
      <c r="E88" s="3">
        <f>SUM(E83:E87)</f>
        <v>878.09527362341998</v>
      </c>
      <c r="F88" s="3">
        <f t="shared" ref="F88" si="7">SUM(F83:F87)</f>
        <v>867.4038733550401</v>
      </c>
    </row>
  </sheetData>
  <dataConsolidate/>
  <mergeCells count="14">
    <mergeCell ref="A1:G2"/>
    <mergeCell ref="B74:D74"/>
    <mergeCell ref="A66:B66"/>
    <mergeCell ref="A3:A5"/>
    <mergeCell ref="B3:B5"/>
    <mergeCell ref="C3:C5"/>
    <mergeCell ref="A33:B33"/>
    <mergeCell ref="D3:D5"/>
    <mergeCell ref="I63:M63"/>
    <mergeCell ref="A7:B7"/>
    <mergeCell ref="A32:B32"/>
    <mergeCell ref="E3:E5"/>
    <mergeCell ref="F3:F5"/>
    <mergeCell ref="G3:G5"/>
  </mergeCells>
  <phoneticPr fontId="28" type="noConversion"/>
  <pageMargins left="0.70866141732283472" right="0.70866141732283472" top="0.74803149606299213" bottom="0.74803149606299213" header="0.31496062992125984" footer="0.31496062992125984"/>
  <pageSetup paperSize="9" scale="38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483F-0B5D-43D5-8529-43D96E98061B}">
  <sheetPr>
    <tabColor rgb="FFFFC000"/>
    <pageSetUpPr fitToPage="1"/>
  </sheetPr>
  <dimension ref="A1:AI81"/>
  <sheetViews>
    <sheetView showGridLines="0" view="pageBreakPreview" topLeftCell="A46" zoomScale="60" zoomScaleNormal="70" workbookViewId="0">
      <selection activeCell="K24" sqref="K24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SUM(Площадь!L20)</f>
        <v>1422.7</v>
      </c>
      <c r="K1" s="4" t="s">
        <v>235</v>
      </c>
      <c r="O1" s="2">
        <f>SUM(Площадь!M20)</f>
        <v>1425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SUM(Площадь!R20)</f>
        <v>18</v>
      </c>
      <c r="K4" s="4">
        <f>SUM(Площадь!S20)</f>
        <v>8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SUM(Площадь!Q20)</f>
        <v>18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1276.886853</v>
      </c>
      <c r="D9" s="15">
        <f t="shared" ref="D9:F9" si="0">SUM(D10:D15)</f>
        <v>1276.886853</v>
      </c>
      <c r="E9" s="15">
        <f t="shared" si="0"/>
        <v>1276.886853</v>
      </c>
      <c r="F9" s="15">
        <f t="shared" si="0"/>
        <v>1276.886853</v>
      </c>
      <c r="G9" s="15">
        <f>SUM(G10:G15)</f>
        <v>5107.5474119999999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596.68038000000001</v>
      </c>
      <c r="D10" s="9">
        <f>SUM(I10*2+O10*1)</f>
        <v>596.68038000000001</v>
      </c>
      <c r="E10" s="9">
        <f>SUM(O10*2)+U10*1</f>
        <v>596.68038000000001</v>
      </c>
      <c r="F10" s="9">
        <f>SUM(U10*3)</f>
        <v>596.68038000000001</v>
      </c>
      <c r="G10" s="65">
        <f>SUM(C10:F10)</f>
        <v>2386.7215200000001</v>
      </c>
      <c r="H10" s="125" t="s">
        <v>125</v>
      </c>
      <c r="I10" s="201">
        <f>SUM(M10*K10)</f>
        <v>198.89346</v>
      </c>
      <c r="J10" s="201" t="s">
        <v>238</v>
      </c>
      <c r="K10" s="201">
        <v>0.13980000000000001</v>
      </c>
      <c r="L10" s="201"/>
      <c r="M10" s="207">
        <f>SUM(J1)</f>
        <v>1422.7</v>
      </c>
      <c r="N10" s="202"/>
      <c r="O10" s="201">
        <f>SUM(S10*Q10)</f>
        <v>198.89346</v>
      </c>
      <c r="P10" s="201" t="s">
        <v>238</v>
      </c>
      <c r="Q10" s="201">
        <v>0.13980000000000001</v>
      </c>
      <c r="R10" s="201"/>
      <c r="S10" s="130">
        <f>SUM(J1)</f>
        <v>1422.7</v>
      </c>
      <c r="T10" s="202"/>
      <c r="U10" s="201">
        <f>SUM(Y10*W10)</f>
        <v>198.89346</v>
      </c>
      <c r="V10" s="201" t="s">
        <v>238</v>
      </c>
      <c r="W10" s="201">
        <v>0.13980000000000001</v>
      </c>
      <c r="X10" s="201"/>
      <c r="Y10" s="130">
        <f>SUM(J1)</f>
        <v>1422.7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1422.7</v>
      </c>
      <c r="N11" s="202"/>
      <c r="O11" s="201"/>
      <c r="P11" s="201" t="s">
        <v>238</v>
      </c>
      <c r="Q11" s="201"/>
      <c r="R11" s="201">
        <v>0.15</v>
      </c>
      <c r="S11" s="201">
        <f>SUM(J1)</f>
        <v>1422.7</v>
      </c>
      <c r="T11" s="202"/>
      <c r="U11" s="201"/>
      <c r="V11" s="201" t="s">
        <v>238</v>
      </c>
      <c r="W11" s="201"/>
      <c r="X11" s="201">
        <v>0.15</v>
      </c>
      <c r="Y11" s="130">
        <f>SUM(J1)</f>
        <v>1422.7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186.51597000000004</v>
      </c>
      <c r="D13" s="9">
        <f>SUM(I13*2+O13)</f>
        <v>186.51597000000004</v>
      </c>
      <c r="E13" s="9">
        <f>SUM(O13*2+U13)</f>
        <v>186.51597000000004</v>
      </c>
      <c r="F13" s="9">
        <f>SUM(U13*3)</f>
        <v>186.51597000000004</v>
      </c>
      <c r="G13" s="65">
        <f t="shared" ref="G13:G14" si="1">SUM(C13:F13)</f>
        <v>746.06388000000015</v>
      </c>
      <c r="H13" s="125" t="s">
        <v>120</v>
      </c>
      <c r="I13" s="201">
        <f>SUM(K13*M13)</f>
        <v>62.171990000000008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1422.7</v>
      </c>
      <c r="N13" s="203"/>
      <c r="O13" s="201">
        <f>SUM(Q13*S13)</f>
        <v>62.171990000000008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1422.7</v>
      </c>
      <c r="T13" s="203"/>
      <c r="U13" s="201">
        <f>SUM(W13*Y13)</f>
        <v>62.171990000000008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1422.7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294.28549499999997</v>
      </c>
      <c r="D14" s="9">
        <f>SUM(I14*2+O14)</f>
        <v>294.28549499999997</v>
      </c>
      <c r="E14" s="9">
        <f>SUM(O14*2+U14)</f>
        <v>294.28549499999997</v>
      </c>
      <c r="F14" s="9">
        <f>SUM(U14*3)</f>
        <v>294.28549499999997</v>
      </c>
      <c r="G14" s="65">
        <f t="shared" si="1"/>
        <v>1177.1419799999999</v>
      </c>
      <c r="H14" s="125" t="s">
        <v>11</v>
      </c>
      <c r="I14" s="201">
        <f>SUM(K14+L14)/2*M14</f>
        <v>98.095164999999994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1422.7</v>
      </c>
      <c r="N14" s="203"/>
      <c r="O14" s="201">
        <f>SUM(Q14+R14)/2*S14</f>
        <v>98.095164999999994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1422.7</v>
      </c>
      <c r="T14" s="203"/>
      <c r="U14" s="201">
        <f>SUM(W14+X14)/2*Y14</f>
        <v>98.095164999999994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1422.7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199.40500799999998</v>
      </c>
      <c r="D15" s="6">
        <f>SUM(I15+I16)*2+O15+O16</f>
        <v>199.40500799999998</v>
      </c>
      <c r="E15" s="6">
        <f>SUM(O15+O16)*2+U15+U16</f>
        <v>199.40500799999998</v>
      </c>
      <c r="F15" s="6">
        <f>SUM(U15+U16)*3</f>
        <v>199.40500799999998</v>
      </c>
      <c r="G15" s="65">
        <f t="shared" ref="G15" si="2">SUM(C15:F15)</f>
        <v>797.62003199999992</v>
      </c>
      <c r="H15" s="125" t="s">
        <v>118</v>
      </c>
      <c r="I15" s="201">
        <f>SUM(J15*K15*M15)</f>
        <v>44.000495999999998</v>
      </c>
      <c r="J15" s="201">
        <v>0.24</v>
      </c>
      <c r="K15" s="201">
        <v>10.1853</v>
      </c>
      <c r="L15" s="201"/>
      <c r="M15" s="208">
        <f>SUM(J4)</f>
        <v>18</v>
      </c>
      <c r="N15" s="203"/>
      <c r="O15" s="201">
        <f>SUM(P15*Q15*S15)</f>
        <v>44.000495999999998</v>
      </c>
      <c r="P15" s="201">
        <v>0.24</v>
      </c>
      <c r="Q15" s="201">
        <v>10.1853</v>
      </c>
      <c r="R15" s="201"/>
      <c r="S15" s="201">
        <f>SUM(J4)</f>
        <v>18</v>
      </c>
      <c r="T15" s="203"/>
      <c r="U15" s="201">
        <f>SUM(V15*W15*Y15)</f>
        <v>44.000495999999998</v>
      </c>
      <c r="V15" s="201">
        <v>0.24</v>
      </c>
      <c r="W15" s="201">
        <v>10.1853</v>
      </c>
      <c r="X15" s="201"/>
      <c r="Y15" s="201">
        <f>SUM(J4)</f>
        <v>18</v>
      </c>
    </row>
    <row r="16" spans="1:26" ht="20.100000000000001" customHeight="1">
      <c r="A16" s="102">
        <v>2</v>
      </c>
      <c r="B16" s="20" t="s">
        <v>16</v>
      </c>
      <c r="C16" s="27">
        <f>SUM(C17:C19)</f>
        <v>196.85820000000001</v>
      </c>
      <c r="D16" s="27">
        <f t="shared" ref="D16:F16" si="3">SUM(D17:D19)</f>
        <v>196.85820000000001</v>
      </c>
      <c r="E16" s="27">
        <f t="shared" si="3"/>
        <v>196.85820000000001</v>
      </c>
      <c r="F16" s="27">
        <f t="shared" si="3"/>
        <v>196.85820000000001</v>
      </c>
      <c r="G16" s="27">
        <f t="shared" ref="G16" si="4">SUM(G17:G19)</f>
        <v>787.43280000000004</v>
      </c>
      <c r="H16" s="125"/>
      <c r="I16" s="201">
        <f>SUM(J16*L16*M16)</f>
        <v>22.467839999999999</v>
      </c>
      <c r="J16" s="201">
        <v>0.24</v>
      </c>
      <c r="K16" s="201"/>
      <c r="L16" s="201">
        <v>11.702</v>
      </c>
      <c r="M16" s="201">
        <f>SUM(K4)</f>
        <v>8</v>
      </c>
      <c r="O16" s="201">
        <f>SUM(P16*R16*S16)</f>
        <v>22.467839999999999</v>
      </c>
      <c r="P16" s="201">
        <v>0.24</v>
      </c>
      <c r="Q16" s="201"/>
      <c r="R16" s="201">
        <v>11.702</v>
      </c>
      <c r="S16" s="201">
        <f>SUM(K4)</f>
        <v>8</v>
      </c>
      <c r="U16" s="201">
        <f>SUM(V16*X16*Y16)</f>
        <v>22.467839999999999</v>
      </c>
      <c r="V16" s="201">
        <v>0.24</v>
      </c>
      <c r="W16" s="201"/>
      <c r="X16" s="201">
        <v>11.702</v>
      </c>
      <c r="Y16" s="201">
        <f>SUM(K4)</f>
        <v>8</v>
      </c>
    </row>
    <row r="17" spans="1:35" ht="39" customHeight="1" outlineLevel="1">
      <c r="A17" s="21"/>
      <c r="B17" s="7" t="s">
        <v>20</v>
      </c>
      <c r="C17" s="9">
        <f>$I$17*3</f>
        <v>93.898200000000003</v>
      </c>
      <c r="D17" s="9">
        <f t="shared" ref="D17:F17" si="5">$I$17*3</f>
        <v>93.898200000000003</v>
      </c>
      <c r="E17" s="9">
        <f t="shared" si="5"/>
        <v>93.898200000000003</v>
      </c>
      <c r="F17" s="9">
        <f t="shared" si="5"/>
        <v>93.898200000000003</v>
      </c>
      <c r="G17" s="66">
        <f>SUM(C17:F17)</f>
        <v>375.59280000000001</v>
      </c>
      <c r="H17" s="126" t="s">
        <v>121</v>
      </c>
      <c r="I17" s="201">
        <f>SUM(K17*M17)</f>
        <v>31.299399999999999</v>
      </c>
      <c r="J17" s="201" t="s">
        <v>238</v>
      </c>
      <c r="K17" s="201">
        <v>2.1999999999999999E-2</v>
      </c>
      <c r="L17" s="201"/>
      <c r="M17" s="201">
        <f>SUM(J1)</f>
        <v>1422.7</v>
      </c>
      <c r="N17" s="203"/>
      <c r="O17" s="201">
        <f>SUM(Q17*S17)</f>
        <v>31.299399999999999</v>
      </c>
      <c r="P17" s="201" t="s">
        <v>238</v>
      </c>
      <c r="Q17" s="201">
        <v>2.1999999999999999E-2</v>
      </c>
      <c r="R17" s="201"/>
      <c r="S17" s="201">
        <f>SUM(J1)</f>
        <v>1422.7</v>
      </c>
      <c r="T17" s="203"/>
      <c r="U17" s="201">
        <f>SUM(W17*Y17)</f>
        <v>31.299399999999999</v>
      </c>
      <c r="V17" s="201" t="s">
        <v>238</v>
      </c>
      <c r="W17" s="201">
        <v>2.1999999999999999E-2</v>
      </c>
      <c r="X17" s="201"/>
      <c r="Y17" s="201">
        <f>SUM(J1)</f>
        <v>1422.7</v>
      </c>
    </row>
    <row r="18" spans="1:35" ht="40.5" customHeight="1" outlineLevel="1">
      <c r="A18" s="21"/>
      <c r="B18" s="7" t="s">
        <v>14</v>
      </c>
      <c r="C18" s="6">
        <f>$I$18*3</f>
        <v>102.96000000000001</v>
      </c>
      <c r="D18" s="6">
        <f t="shared" ref="D18:F18" si="6">$I$18*3</f>
        <v>102.96000000000001</v>
      </c>
      <c r="E18" s="6">
        <f t="shared" si="6"/>
        <v>102.96000000000001</v>
      </c>
      <c r="F18" s="6">
        <f t="shared" si="6"/>
        <v>102.96000000000001</v>
      </c>
      <c r="G18" s="66">
        <f>SUM(C18:F18)</f>
        <v>411.84000000000003</v>
      </c>
      <c r="H18" s="126" t="s">
        <v>122</v>
      </c>
      <c r="I18" s="201">
        <f>SUM(K18*M18)*1.5</f>
        <v>34.32</v>
      </c>
      <c r="J18" s="201" t="s">
        <v>129</v>
      </c>
      <c r="K18" s="201">
        <v>0.88</v>
      </c>
      <c r="L18" s="201"/>
      <c r="M18" s="201">
        <f>SUM(J4+K4)</f>
        <v>26</v>
      </c>
      <c r="N18" s="203"/>
      <c r="O18" s="201">
        <f>SUM(Q18*S18)*1.5</f>
        <v>34.32</v>
      </c>
      <c r="P18" s="201" t="s">
        <v>129</v>
      </c>
      <c r="Q18" s="201">
        <v>0.88</v>
      </c>
      <c r="R18" s="201"/>
      <c r="S18" s="201">
        <f>SUM(J4+K4)</f>
        <v>26</v>
      </c>
      <c r="T18" s="203"/>
      <c r="U18" s="201">
        <f>SUM(W18*Y18)*1.5</f>
        <v>34.32</v>
      </c>
      <c r="V18" s="201" t="s">
        <v>129</v>
      </c>
      <c r="W18" s="201">
        <v>0.88</v>
      </c>
      <c r="X18" s="201"/>
      <c r="Y18" s="201">
        <f>SUM(J4+K4)</f>
        <v>26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165.24</v>
      </c>
      <c r="D20" s="15">
        <f t="shared" ref="D20:F20" si="7">SUM(D21:D22)</f>
        <v>165.24</v>
      </c>
      <c r="E20" s="15">
        <f t="shared" si="7"/>
        <v>165.24</v>
      </c>
      <c r="F20" s="15">
        <f t="shared" si="7"/>
        <v>165.24</v>
      </c>
      <c r="G20" s="5">
        <f>SUM(G21:G22)</f>
        <v>660.96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57.240000000000009</v>
      </c>
      <c r="D21" s="8">
        <f>SUM(M21*3)</f>
        <v>57.240000000000009</v>
      </c>
      <c r="E21" s="8">
        <f>SUM(M21*3)</f>
        <v>57.240000000000009</v>
      </c>
      <c r="F21" s="8">
        <f>SUM(M21*3)</f>
        <v>57.240000000000009</v>
      </c>
      <c r="G21" s="66">
        <f>SUM(C21:F21)</f>
        <v>228.96000000000004</v>
      </c>
      <c r="H21" s="125" t="s">
        <v>117</v>
      </c>
      <c r="I21" s="94">
        <f>SUM(J5)</f>
        <v>18</v>
      </c>
      <c r="J21" s="95"/>
      <c r="K21" s="95">
        <v>1.06</v>
      </c>
      <c r="L21" s="95"/>
      <c r="M21" s="96">
        <f>I21*K21</f>
        <v>19.080000000000002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108</v>
      </c>
      <c r="D22" s="18">
        <f>SUM(M22*3)</f>
        <v>108</v>
      </c>
      <c r="E22" s="18">
        <f>SUM(M22*3)</f>
        <v>108</v>
      </c>
      <c r="F22" s="18">
        <f>SUM(M22*3)</f>
        <v>108</v>
      </c>
      <c r="G22" s="67">
        <f>SUM(C22:F22)</f>
        <v>432</v>
      </c>
      <c r="H22" s="126" t="s">
        <v>124</v>
      </c>
      <c r="I22" s="97">
        <f>SUM(J5)</f>
        <v>18</v>
      </c>
      <c r="J22" s="98"/>
      <c r="K22" s="98">
        <v>2</v>
      </c>
      <c r="L22" s="98"/>
      <c r="M22" s="99">
        <f>I22*K22</f>
        <v>36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3969.3330000000005</v>
      </c>
      <c r="D23" s="15">
        <f t="shared" ref="D23:F23" si="8">SUM(D24:D25)</f>
        <v>3969.3330000000005</v>
      </c>
      <c r="E23" s="15">
        <f t="shared" si="8"/>
        <v>3969.3330000000005</v>
      </c>
      <c r="F23" s="15">
        <f t="shared" si="8"/>
        <v>3969.3330000000005</v>
      </c>
      <c r="G23" s="5">
        <f>SUM(G24:G25)</f>
        <v>15877.332000000002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2646.2220000000002</v>
      </c>
      <c r="D24" s="6">
        <f>SUM(M24*3)</f>
        <v>2646.2220000000002</v>
      </c>
      <c r="E24" s="6">
        <f>SUM(M24*3)</f>
        <v>2646.2220000000002</v>
      </c>
      <c r="F24" s="6">
        <f>SUM(M24*3)</f>
        <v>2646.2220000000002</v>
      </c>
      <c r="G24" s="66">
        <f t="shared" ref="G24:G25" si="9">SUM(C24:F24)</f>
        <v>10584.888000000001</v>
      </c>
      <c r="H24" s="128" t="s">
        <v>126</v>
      </c>
      <c r="I24" s="88">
        <f>SUM(J1)</f>
        <v>1422.7</v>
      </c>
      <c r="J24" s="89"/>
      <c r="K24" s="95">
        <v>0.62</v>
      </c>
      <c r="L24" s="95"/>
      <c r="M24" s="90">
        <f>SUM(I24*K24)</f>
        <v>882.07400000000007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1323.1110000000001</v>
      </c>
      <c r="D25" s="18">
        <f>SUM(M25*3)</f>
        <v>1323.1110000000001</v>
      </c>
      <c r="E25" s="18">
        <f>SUM(M25*3)</f>
        <v>1323.1110000000001</v>
      </c>
      <c r="F25" s="18">
        <f>SUM(M25*3)</f>
        <v>1323.1110000000001</v>
      </c>
      <c r="G25" s="67">
        <f t="shared" si="9"/>
        <v>5292.4440000000004</v>
      </c>
      <c r="H25" s="128" t="s">
        <v>127</v>
      </c>
      <c r="I25" s="91">
        <f>SUM(J1)</f>
        <v>1422.7</v>
      </c>
      <c r="J25" s="93"/>
      <c r="K25" s="98">
        <v>0.31</v>
      </c>
      <c r="L25" s="98"/>
      <c r="M25" s="92">
        <f>SUM(I25*K25)</f>
        <v>441.03700000000003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18</v>
      </c>
      <c r="J27" s="205"/>
      <c r="K27" s="206">
        <v>0.28000000000000003</v>
      </c>
      <c r="L27" s="205"/>
      <c r="M27" s="211">
        <f>SUM(I27*K27)</f>
        <v>5.0400000000000009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5608.3180530000009</v>
      </c>
      <c r="D29" s="41">
        <f>D9+D16+D20+D23+D26</f>
        <v>5608.3180530000009</v>
      </c>
      <c r="E29" s="41">
        <f>E9+E16+E20+E23+E26</f>
        <v>5608.3180530000009</v>
      </c>
      <c r="F29" s="41">
        <f>F9+F16+F20+F23+F26</f>
        <v>5608.3180530000009</v>
      </c>
      <c r="G29" s="42">
        <f t="shared" si="11"/>
        <v>22433.272212000003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1218.7342151737937</v>
      </c>
      <c r="D31" s="53">
        <f>SUM(D32:D35)</f>
        <v>1218.7342151737937</v>
      </c>
      <c r="E31" s="53">
        <f>SUM(E32:E35)</f>
        <v>1218.7342151737937</v>
      </c>
      <c r="F31" s="53">
        <f>SUM(F32:F35)</f>
        <v>1218.7342151737937</v>
      </c>
      <c r="G31" s="53">
        <f>SUM(G32:G35)</f>
        <v>4874.9368606951748</v>
      </c>
      <c r="H31" s="128" t="s">
        <v>253</v>
      </c>
      <c r="I31" s="88">
        <f>SUM(O1)</f>
        <v>1425</v>
      </c>
      <c r="J31" s="89"/>
      <c r="K31" s="95">
        <v>0.62</v>
      </c>
      <c r="L31" s="95"/>
      <c r="M31" s="90">
        <f>SUM(I31*K31)</f>
        <v>883.5</v>
      </c>
    </row>
    <row r="32" spans="1:35" ht="20.100000000000001" customHeight="1" thickBot="1">
      <c r="A32" s="35"/>
      <c r="B32" s="7" t="s">
        <v>3</v>
      </c>
      <c r="C32" s="32">
        <f>C10</f>
        <v>596.68038000000001</v>
      </c>
      <c r="D32" s="32">
        <f>D10</f>
        <v>596.68038000000001</v>
      </c>
      <c r="E32" s="32">
        <f>E10</f>
        <v>596.68038000000001</v>
      </c>
      <c r="F32" s="32">
        <f>F10</f>
        <v>596.68038000000001</v>
      </c>
      <c r="G32" s="62">
        <f>SUM(C32:F32)</f>
        <v>2386.7215200000001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186.51597000000004</v>
      </c>
      <c r="D33" s="32">
        <f t="shared" si="12"/>
        <v>186.51597000000004</v>
      </c>
      <c r="E33" s="32">
        <f t="shared" si="12"/>
        <v>186.51597000000004</v>
      </c>
      <c r="F33" s="32">
        <f t="shared" si="12"/>
        <v>186.51597000000004</v>
      </c>
      <c r="G33" s="62">
        <f>SUM(C33:F33)</f>
        <v>746.06388000000015</v>
      </c>
    </row>
    <row r="34" spans="1:7" ht="57.75" customHeight="1">
      <c r="A34" s="35"/>
      <c r="B34" s="7" t="s">
        <v>41</v>
      </c>
      <c r="C34" s="32">
        <f>Площадь!D9</f>
        <v>435.53786517379365</v>
      </c>
      <c r="D34" s="32">
        <f>C34</f>
        <v>435.53786517379365</v>
      </c>
      <c r="E34" s="32">
        <f t="shared" ref="E34:F34" si="13">D34</f>
        <v>435.53786517379365</v>
      </c>
      <c r="F34" s="32">
        <f t="shared" si="13"/>
        <v>435.53786517379365</v>
      </c>
      <c r="G34" s="62">
        <f>SUM(C34:F34)</f>
        <v>1742.1514606951746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165.24</v>
      </c>
      <c r="D39" s="53">
        <f t="shared" ref="D39:G39" si="15">SUM(D40:D41)</f>
        <v>165.24</v>
      </c>
      <c r="E39" s="53">
        <f t="shared" si="15"/>
        <v>165.24</v>
      </c>
      <c r="F39" s="53">
        <f t="shared" si="15"/>
        <v>165.24</v>
      </c>
      <c r="G39" s="53">
        <f t="shared" si="15"/>
        <v>660.96</v>
      </c>
    </row>
    <row r="40" spans="1:7" ht="20.100000000000001" customHeight="1">
      <c r="A40" s="35"/>
      <c r="B40" s="7" t="s">
        <v>40</v>
      </c>
      <c r="C40" s="32">
        <f t="shared" ref="C40:F41" si="16">C21</f>
        <v>57.240000000000009</v>
      </c>
      <c r="D40" s="32">
        <f t="shared" si="16"/>
        <v>57.240000000000009</v>
      </c>
      <c r="E40" s="32">
        <f t="shared" si="16"/>
        <v>57.240000000000009</v>
      </c>
      <c r="F40" s="32">
        <f t="shared" si="16"/>
        <v>57.240000000000009</v>
      </c>
      <c r="G40" s="62">
        <f>SUM(C40:F40)</f>
        <v>228.96000000000004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108</v>
      </c>
      <c r="D41" s="46">
        <f t="shared" si="16"/>
        <v>108</v>
      </c>
      <c r="E41" s="46">
        <f t="shared" si="16"/>
        <v>108</v>
      </c>
      <c r="F41" s="46">
        <f t="shared" si="16"/>
        <v>108</v>
      </c>
      <c r="G41" s="62">
        <f>SUM(C41:F41)</f>
        <v>432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2665.62</v>
      </c>
      <c r="D42" s="53">
        <f>SUM(D43:D58)</f>
        <v>2665.62</v>
      </c>
      <c r="E42" s="53">
        <f>SUM(E43:E58)</f>
        <v>2665.62</v>
      </c>
      <c r="F42" s="53">
        <f>SUM(F43:F58)</f>
        <v>2665.62</v>
      </c>
      <c r="G42" s="55">
        <f t="shared" ref="G42:G51" si="17">SUM(C42:F42)</f>
        <v>10662.48</v>
      </c>
    </row>
    <row r="43" spans="1:7" ht="20.100000000000001" customHeight="1">
      <c r="A43" s="47"/>
      <c r="B43" s="38" t="s">
        <v>38</v>
      </c>
      <c r="C43" s="32">
        <f>SUM(M31*3)</f>
        <v>2650.5</v>
      </c>
      <c r="D43" s="32">
        <f>SUM(M31*3)</f>
        <v>2650.5</v>
      </c>
      <c r="E43" s="32">
        <f>SUM(M31*3)</f>
        <v>2650.5</v>
      </c>
      <c r="F43" s="32">
        <f>SUM(M31*3)</f>
        <v>2650.5</v>
      </c>
      <c r="G43" s="62">
        <f t="shared" si="17"/>
        <v>10602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15.120000000000003</v>
      </c>
      <c r="D51" s="32">
        <f>SUM(M27*3)</f>
        <v>15.120000000000003</v>
      </c>
      <c r="E51" s="32">
        <f>SUM(M27*3)</f>
        <v>15.120000000000003</v>
      </c>
      <c r="F51" s="32">
        <f>SUM(M27*3)</f>
        <v>15.120000000000003</v>
      </c>
      <c r="G51" s="62">
        <f t="shared" si="17"/>
        <v>60.480000000000011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4049.5942151737936</v>
      </c>
      <c r="D59" s="30">
        <f>D31+D36+D39+D42</f>
        <v>4049.5942151737936</v>
      </c>
      <c r="E59" s="30">
        <f>E31+E36+E39+E42</f>
        <v>4049.5942151737936</v>
      </c>
      <c r="F59" s="30">
        <f>F31+F36+F39+F42</f>
        <v>4049.5942151737936</v>
      </c>
      <c r="G59" s="31">
        <f>G31+G36+G39+G42</f>
        <v>16198.376860695174</v>
      </c>
    </row>
    <row r="60" spans="1:14" ht="26.1" hidden="1" customHeight="1" outlineLevel="1">
      <c r="A60" s="100"/>
      <c r="B60" s="60"/>
      <c r="C60" s="61">
        <f>C29-C59</f>
        <v>1558.7238378262073</v>
      </c>
      <c r="D60" s="61">
        <f>D29-D59</f>
        <v>1558.7238378262073</v>
      </c>
      <c r="E60" s="61">
        <f>E29-E59</f>
        <v>1558.7238378262073</v>
      </c>
      <c r="F60" s="61">
        <f>F29-F59</f>
        <v>1558.7238378262073</v>
      </c>
      <c r="G60" s="61">
        <f>G29-G59</f>
        <v>6234.8953513048291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2.3622983999999998</v>
      </c>
      <c r="D77" s="56">
        <f>D16*1.2/100</f>
        <v>2.3622983999999998</v>
      </c>
      <c r="E77" s="56">
        <f>E16*1.2/100</f>
        <v>2.3622983999999998</v>
      </c>
      <c r="F77" s="56">
        <f>F16*1.2/100</f>
        <v>2.3622983999999998</v>
      </c>
    </row>
    <row r="78" spans="1:15" hidden="1">
      <c r="A78" s="59"/>
      <c r="C78" s="56">
        <f>(C16-C77)*0.5/100</f>
        <v>0.97247950800000016</v>
      </c>
      <c r="D78" s="56">
        <f>(D16-D77)*0.5/100</f>
        <v>0.97247950800000016</v>
      </c>
      <c r="E78" s="56">
        <f>(E16-E77)*0.5/100</f>
        <v>0.97247950800000016</v>
      </c>
      <c r="F78" s="56">
        <f>(F16-F77)*0.5/100</f>
        <v>0.97247950800000016</v>
      </c>
    </row>
    <row r="79" spans="1:15" hidden="1">
      <c r="C79" s="3">
        <f>C9*1.2/100</f>
        <v>15.322642236</v>
      </c>
      <c r="D79" s="3">
        <f>D9*1.2/100</f>
        <v>15.322642236</v>
      </c>
      <c r="E79" s="3">
        <f>E9*1.2/100</f>
        <v>15.322642236</v>
      </c>
      <c r="F79" s="3">
        <f>F9*1.2/100</f>
        <v>15.322642236</v>
      </c>
    </row>
    <row r="80" spans="1:15" s="3" customFormat="1" hidden="1">
      <c r="A80" s="2"/>
      <c r="B80" s="2"/>
      <c r="C80" s="3">
        <f>(C9-C79)*4/100</f>
        <v>50.462568430559998</v>
      </c>
      <c r="D80" s="3">
        <f>(D9-D79)*4/100</f>
        <v>50.462568430559998</v>
      </c>
      <c r="E80" s="3">
        <f>(E9-E79)*4/100</f>
        <v>50.462568430559998</v>
      </c>
      <c r="F80" s="3">
        <f>(F9-F79)*4/100</f>
        <v>50.462568430559998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69.119988574559997</v>
      </c>
      <c r="D81" s="3">
        <f t="shared" ref="D81:F81" si="20">SUM(D77:D80)</f>
        <v>69.119988574559997</v>
      </c>
      <c r="E81" s="3">
        <f t="shared" si="20"/>
        <v>69.119988574559997</v>
      </c>
      <c r="F81" s="3">
        <f t="shared" si="20"/>
        <v>69.119988574559997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3768-197F-4D57-9B62-B18E79372990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7" style="2" customWidth="1"/>
    <col min="15" max="15" width="16.140625" style="2" customWidth="1"/>
    <col min="16" max="20" width="10.140625" style="2"/>
    <col min="21" max="21" width="20.42578125" style="2" customWidth="1"/>
    <col min="22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SUM(Площадь!L21)</f>
        <v>1256.5999999999999</v>
      </c>
      <c r="K1" s="4" t="s">
        <v>235</v>
      </c>
      <c r="O1" s="2">
        <f>SUM(Площадь!M21)</f>
        <v>1257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SUM(Площадь!R21)</f>
        <v>19</v>
      </c>
      <c r="K4" s="4">
        <f>SUM(Площадь!S21)</f>
        <v>9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SUM(Площадь!Q21)</f>
        <v>21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1166.8498739999998</v>
      </c>
      <c r="D9" s="15">
        <f t="shared" ref="D9:F9" si="0">SUM(D10:D15)</f>
        <v>1166.8498739999998</v>
      </c>
      <c r="E9" s="15">
        <f t="shared" si="0"/>
        <v>1166.8498739999998</v>
      </c>
      <c r="F9" s="15">
        <f t="shared" si="0"/>
        <v>1166.8498739999998</v>
      </c>
      <c r="G9" s="15">
        <f>SUM(G10:G15)</f>
        <v>4667.3994959999991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527.01803999999993</v>
      </c>
      <c r="D10" s="9">
        <f>SUM(I10*2+O10*1)</f>
        <v>527.01803999999993</v>
      </c>
      <c r="E10" s="9">
        <f>SUM(O10*2)+U10*1</f>
        <v>527.01803999999993</v>
      </c>
      <c r="F10" s="9">
        <f>SUM(U10*3)</f>
        <v>527.01803999999993</v>
      </c>
      <c r="G10" s="65">
        <f>SUM(C10:F10)</f>
        <v>2108.0721599999997</v>
      </c>
      <c r="H10" s="125" t="s">
        <v>125</v>
      </c>
      <c r="I10" s="201">
        <f>SUM(M10*K10)</f>
        <v>175.67267999999999</v>
      </c>
      <c r="J10" s="201" t="s">
        <v>238</v>
      </c>
      <c r="K10" s="201">
        <v>0.13980000000000001</v>
      </c>
      <c r="L10" s="201"/>
      <c r="M10" s="207">
        <f>SUM(J1)</f>
        <v>1256.5999999999999</v>
      </c>
      <c r="N10" s="202"/>
      <c r="O10" s="201">
        <f>SUM(S10*Q10)</f>
        <v>175.67267999999999</v>
      </c>
      <c r="P10" s="201" t="s">
        <v>238</v>
      </c>
      <c r="Q10" s="201">
        <v>0.13980000000000001</v>
      </c>
      <c r="R10" s="201"/>
      <c r="S10" s="130">
        <f>SUM(J1)</f>
        <v>1256.5999999999999</v>
      </c>
      <c r="T10" s="202"/>
      <c r="U10" s="201">
        <f>SUM(Y10*W10)</f>
        <v>175.67267999999999</v>
      </c>
      <c r="V10" s="201" t="s">
        <v>238</v>
      </c>
      <c r="W10" s="201">
        <v>0.13980000000000001</v>
      </c>
      <c r="X10" s="201"/>
      <c r="Y10" s="130">
        <f>SUM(J1)</f>
        <v>1256.5999999999999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1256.5999999999999</v>
      </c>
      <c r="N11" s="202"/>
      <c r="O11" s="201"/>
      <c r="P11" s="201" t="s">
        <v>238</v>
      </c>
      <c r="Q11" s="201"/>
      <c r="R11" s="201">
        <v>0.15</v>
      </c>
      <c r="S11" s="201">
        <f>SUM(J1)</f>
        <v>1256.5999999999999</v>
      </c>
      <c r="T11" s="202"/>
      <c r="U11" s="201"/>
      <c r="V11" s="201" t="s">
        <v>238</v>
      </c>
      <c r="W11" s="201"/>
      <c r="X11" s="201">
        <v>0.15</v>
      </c>
      <c r="Y11" s="130">
        <f>SUM(J1)</f>
        <v>1256.5999999999999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164.74026000000001</v>
      </c>
      <c r="D13" s="9">
        <f>SUM(I13*2+O13)</f>
        <v>164.74026000000001</v>
      </c>
      <c r="E13" s="9">
        <f>SUM(O13*2+U13)</f>
        <v>164.74026000000001</v>
      </c>
      <c r="F13" s="9">
        <f>SUM(U13*3)</f>
        <v>164.74026000000001</v>
      </c>
      <c r="G13" s="65">
        <f t="shared" ref="G13:G14" si="1">SUM(C13:F13)</f>
        <v>658.96104000000003</v>
      </c>
      <c r="H13" s="125" t="s">
        <v>120</v>
      </c>
      <c r="I13" s="201">
        <f>SUM(K13*M13)</f>
        <v>54.913420000000002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1256.5999999999999</v>
      </c>
      <c r="N13" s="203"/>
      <c r="O13" s="201">
        <f>SUM(Q13*S13)</f>
        <v>54.913420000000002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1256.5999999999999</v>
      </c>
      <c r="T13" s="203"/>
      <c r="U13" s="201">
        <f>SUM(W13*Y13)</f>
        <v>54.913420000000002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1256.5999999999999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259.92770999999999</v>
      </c>
      <c r="D14" s="9">
        <f>SUM(I14*2+O14)</f>
        <v>259.92770999999999</v>
      </c>
      <c r="E14" s="9">
        <f>SUM(O14*2+U14)</f>
        <v>259.92770999999999</v>
      </c>
      <c r="F14" s="9">
        <f>SUM(U14*3)</f>
        <v>259.92770999999999</v>
      </c>
      <c r="G14" s="65">
        <f t="shared" si="1"/>
        <v>1039.71084</v>
      </c>
      <c r="H14" s="125" t="s">
        <v>11</v>
      </c>
      <c r="I14" s="201">
        <f>SUM(K14+L14)/2*M14</f>
        <v>86.642569999999992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1256.5999999999999</v>
      </c>
      <c r="N14" s="203"/>
      <c r="O14" s="201">
        <f>SUM(Q14+R14)/2*S14</f>
        <v>86.642569999999992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1256.5999999999999</v>
      </c>
      <c r="T14" s="203"/>
      <c r="U14" s="201">
        <f>SUM(W14+X14)/2*Y14</f>
        <v>86.642569999999992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1256.5999999999999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215.16386399999996</v>
      </c>
      <c r="D15" s="6">
        <f>SUM(I15+I16)*2+O15+O16</f>
        <v>215.16386399999996</v>
      </c>
      <c r="E15" s="6">
        <f>SUM(O15+O16)*2+U15+U16</f>
        <v>215.16386399999996</v>
      </c>
      <c r="F15" s="6">
        <f>SUM(U15+U16)*3</f>
        <v>215.16386399999996</v>
      </c>
      <c r="G15" s="65">
        <f t="shared" ref="G15" si="2">SUM(C15:F15)</f>
        <v>860.65545599999984</v>
      </c>
      <c r="H15" s="125" t="s">
        <v>118</v>
      </c>
      <c r="I15" s="201">
        <f>SUM(J15*K15*M15)</f>
        <v>46.444967999999996</v>
      </c>
      <c r="J15" s="201">
        <v>0.24</v>
      </c>
      <c r="K15" s="201">
        <v>10.1853</v>
      </c>
      <c r="L15" s="201"/>
      <c r="M15" s="208">
        <f>SUM(J4)</f>
        <v>19</v>
      </c>
      <c r="N15" s="203"/>
      <c r="O15" s="201">
        <f>SUM(P15*Q15*S15)</f>
        <v>46.444967999999996</v>
      </c>
      <c r="P15" s="201">
        <v>0.24</v>
      </c>
      <c r="Q15" s="201">
        <v>10.1853</v>
      </c>
      <c r="R15" s="201"/>
      <c r="S15" s="201">
        <f>SUM(J4)</f>
        <v>19</v>
      </c>
      <c r="T15" s="203"/>
      <c r="U15" s="201">
        <f>SUM(V15*W15*Y15)</f>
        <v>46.444967999999996</v>
      </c>
      <c r="V15" s="201">
        <v>0.24</v>
      </c>
      <c r="W15" s="201">
        <v>10.1853</v>
      </c>
      <c r="X15" s="201"/>
      <c r="Y15" s="201">
        <f>SUM(J4)</f>
        <v>19</v>
      </c>
    </row>
    <row r="16" spans="1:26" ht="20.100000000000001" customHeight="1">
      <c r="A16" s="102">
        <v>2</v>
      </c>
      <c r="B16" s="20" t="s">
        <v>16</v>
      </c>
      <c r="C16" s="27">
        <f>SUM(C17:C19)</f>
        <v>193.81559999999999</v>
      </c>
      <c r="D16" s="27">
        <f t="shared" ref="D16:F16" si="3">SUM(D17:D19)</f>
        <v>193.81559999999999</v>
      </c>
      <c r="E16" s="27">
        <f t="shared" si="3"/>
        <v>193.81559999999999</v>
      </c>
      <c r="F16" s="27">
        <f t="shared" si="3"/>
        <v>193.81559999999999</v>
      </c>
      <c r="G16" s="27">
        <f t="shared" ref="G16" si="4">SUM(G17:G19)</f>
        <v>775.26239999999996</v>
      </c>
      <c r="H16" s="125"/>
      <c r="I16" s="201">
        <f>SUM(J16*L16*M16)</f>
        <v>25.276319999999998</v>
      </c>
      <c r="J16" s="201">
        <v>0.24</v>
      </c>
      <c r="K16" s="201"/>
      <c r="L16" s="201">
        <v>11.702</v>
      </c>
      <c r="M16" s="201">
        <f>SUM(K4)</f>
        <v>9</v>
      </c>
      <c r="O16" s="201">
        <f>SUM(P16*R16*S16)</f>
        <v>25.276319999999998</v>
      </c>
      <c r="P16" s="201">
        <v>0.24</v>
      </c>
      <c r="Q16" s="201"/>
      <c r="R16" s="201">
        <v>11.702</v>
      </c>
      <c r="S16" s="201">
        <f>SUM(K4)</f>
        <v>9</v>
      </c>
      <c r="U16" s="201">
        <f>SUM(V16*X16*Y16)</f>
        <v>25.276319999999998</v>
      </c>
      <c r="V16" s="201">
        <v>0.24</v>
      </c>
      <c r="W16" s="201"/>
      <c r="X16" s="201">
        <v>11.702</v>
      </c>
      <c r="Y16" s="201">
        <f>SUM(K4)</f>
        <v>9</v>
      </c>
    </row>
    <row r="17" spans="1:35" ht="39" customHeight="1" outlineLevel="1">
      <c r="A17" s="21"/>
      <c r="B17" s="7" t="s">
        <v>20</v>
      </c>
      <c r="C17" s="9">
        <f>$I$17*3</f>
        <v>82.935599999999994</v>
      </c>
      <c r="D17" s="9">
        <f t="shared" ref="D17:F17" si="5">$I$17*3</f>
        <v>82.935599999999994</v>
      </c>
      <c r="E17" s="9">
        <f t="shared" si="5"/>
        <v>82.935599999999994</v>
      </c>
      <c r="F17" s="9">
        <f t="shared" si="5"/>
        <v>82.935599999999994</v>
      </c>
      <c r="G17" s="66">
        <f>SUM(C17:F17)</f>
        <v>331.74239999999998</v>
      </c>
      <c r="H17" s="126" t="s">
        <v>121</v>
      </c>
      <c r="I17" s="201">
        <f>SUM(K17*M17)</f>
        <v>27.645199999999996</v>
      </c>
      <c r="J17" s="201" t="s">
        <v>238</v>
      </c>
      <c r="K17" s="201">
        <v>2.1999999999999999E-2</v>
      </c>
      <c r="L17" s="201"/>
      <c r="M17" s="201">
        <f>SUM(J1)</f>
        <v>1256.5999999999999</v>
      </c>
      <c r="N17" s="203"/>
      <c r="O17" s="201">
        <f>SUM(Q17*S17)</f>
        <v>27.645199999999996</v>
      </c>
      <c r="P17" s="201" t="s">
        <v>238</v>
      </c>
      <c r="Q17" s="201">
        <v>2.1999999999999999E-2</v>
      </c>
      <c r="R17" s="201"/>
      <c r="S17" s="201">
        <f>SUM(J1)</f>
        <v>1256.5999999999999</v>
      </c>
      <c r="T17" s="203"/>
      <c r="U17" s="201">
        <f>SUM(W17*Y17)</f>
        <v>27.645199999999996</v>
      </c>
      <c r="V17" s="201" t="s">
        <v>238</v>
      </c>
      <c r="W17" s="201">
        <v>2.1999999999999999E-2</v>
      </c>
      <c r="X17" s="201"/>
      <c r="Y17" s="201">
        <f>SUM(J1)</f>
        <v>1256.5999999999999</v>
      </c>
    </row>
    <row r="18" spans="1:35" ht="40.5" customHeight="1" outlineLevel="1">
      <c r="A18" s="21"/>
      <c r="B18" s="7" t="s">
        <v>14</v>
      </c>
      <c r="C18" s="6">
        <f>$I$18*3</f>
        <v>110.88</v>
      </c>
      <c r="D18" s="6">
        <f t="shared" ref="D18:F18" si="6">$I$18*3</f>
        <v>110.88</v>
      </c>
      <c r="E18" s="6">
        <f t="shared" si="6"/>
        <v>110.88</v>
      </c>
      <c r="F18" s="6">
        <f t="shared" si="6"/>
        <v>110.88</v>
      </c>
      <c r="G18" s="66">
        <f>SUM(C18:F18)</f>
        <v>443.52</v>
      </c>
      <c r="H18" s="126" t="s">
        <v>122</v>
      </c>
      <c r="I18" s="201">
        <f>SUM(K18*M18)*1.5</f>
        <v>36.96</v>
      </c>
      <c r="J18" s="201" t="s">
        <v>129</v>
      </c>
      <c r="K18" s="201">
        <v>0.88</v>
      </c>
      <c r="L18" s="201"/>
      <c r="M18" s="201">
        <f>SUM(J4+K4)</f>
        <v>28</v>
      </c>
      <c r="N18" s="203"/>
      <c r="O18" s="201">
        <f>SUM(Q18*S18)*1.5</f>
        <v>36.96</v>
      </c>
      <c r="P18" s="201" t="s">
        <v>129</v>
      </c>
      <c r="Q18" s="201">
        <v>0.88</v>
      </c>
      <c r="R18" s="201"/>
      <c r="S18" s="201">
        <f>SUM(J4+K4)</f>
        <v>28</v>
      </c>
      <c r="T18" s="203"/>
      <c r="U18" s="201">
        <f>SUM(W18*Y18)*1.5</f>
        <v>36.96</v>
      </c>
      <c r="V18" s="201" t="s">
        <v>129</v>
      </c>
      <c r="W18" s="201">
        <v>0.88</v>
      </c>
      <c r="X18" s="201"/>
      <c r="Y18" s="201">
        <f>SUM(J4+K4)</f>
        <v>28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192.78</v>
      </c>
      <c r="D20" s="15">
        <f t="shared" ref="D20:F20" si="7">SUM(D21:D22)</f>
        <v>192.78</v>
      </c>
      <c r="E20" s="15">
        <f t="shared" si="7"/>
        <v>192.78</v>
      </c>
      <c r="F20" s="15">
        <f t="shared" si="7"/>
        <v>192.78</v>
      </c>
      <c r="G20" s="5">
        <f>SUM(G21:G22)</f>
        <v>771.12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66.78</v>
      </c>
      <c r="D21" s="8">
        <f>SUM(M21*3)</f>
        <v>66.78</v>
      </c>
      <c r="E21" s="8">
        <f>SUM(M21*3)</f>
        <v>66.78</v>
      </c>
      <c r="F21" s="8">
        <f>SUM(M21*3)</f>
        <v>66.78</v>
      </c>
      <c r="G21" s="66">
        <f>SUM(C21:F21)</f>
        <v>267.12</v>
      </c>
      <c r="H21" s="125" t="s">
        <v>117</v>
      </c>
      <c r="I21" s="94">
        <f>SUM(J5)</f>
        <v>21</v>
      </c>
      <c r="J21" s="95"/>
      <c r="K21" s="95">
        <v>1.06</v>
      </c>
      <c r="L21" s="95"/>
      <c r="M21" s="96">
        <f>I21*K21</f>
        <v>22.26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126</v>
      </c>
      <c r="D22" s="18">
        <f>SUM(M22*3)</f>
        <v>126</v>
      </c>
      <c r="E22" s="18">
        <f>SUM(M22*3)</f>
        <v>126</v>
      </c>
      <c r="F22" s="18">
        <f>SUM(M22*3)</f>
        <v>126</v>
      </c>
      <c r="G22" s="67">
        <f>SUM(C22:F22)</f>
        <v>504</v>
      </c>
      <c r="H22" s="126" t="s">
        <v>124</v>
      </c>
      <c r="I22" s="97">
        <f>SUM(J5)</f>
        <v>21</v>
      </c>
      <c r="J22" s="98"/>
      <c r="K22" s="98">
        <v>2</v>
      </c>
      <c r="L22" s="98"/>
      <c r="M22" s="99">
        <f>I22*K22</f>
        <v>42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3505.9139999999998</v>
      </c>
      <c r="D23" s="15">
        <f t="shared" ref="D23:F23" si="8">SUM(D24:D25)</f>
        <v>3505.9139999999998</v>
      </c>
      <c r="E23" s="15">
        <f t="shared" si="8"/>
        <v>3505.9139999999998</v>
      </c>
      <c r="F23" s="15">
        <f t="shared" si="8"/>
        <v>3505.9139999999998</v>
      </c>
      <c r="G23" s="5">
        <f>SUM(G24:G25)</f>
        <v>14023.655999999999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2337.2759999999998</v>
      </c>
      <c r="D24" s="6">
        <f>SUM(M24*3)</f>
        <v>2337.2759999999998</v>
      </c>
      <c r="E24" s="6">
        <f>SUM(M24*3)</f>
        <v>2337.2759999999998</v>
      </c>
      <c r="F24" s="6">
        <f>SUM(M24*3)</f>
        <v>2337.2759999999998</v>
      </c>
      <c r="G24" s="66">
        <f t="shared" ref="G24:G25" si="9">SUM(C24:F24)</f>
        <v>9349.1039999999994</v>
      </c>
      <c r="H24" s="128" t="s">
        <v>126</v>
      </c>
      <c r="I24" s="88">
        <f>SUM(J1)</f>
        <v>1256.5999999999999</v>
      </c>
      <c r="J24" s="89"/>
      <c r="K24" s="95">
        <v>0.62</v>
      </c>
      <c r="L24" s="95"/>
      <c r="M24" s="90">
        <f>SUM(I24*K24)</f>
        <v>779.09199999999998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1168.6379999999999</v>
      </c>
      <c r="D25" s="18">
        <f>SUM(M25*3)</f>
        <v>1168.6379999999999</v>
      </c>
      <c r="E25" s="18">
        <f>SUM(M25*3)</f>
        <v>1168.6379999999999</v>
      </c>
      <c r="F25" s="18">
        <f>SUM(M25*3)</f>
        <v>1168.6379999999999</v>
      </c>
      <c r="G25" s="67">
        <f t="shared" si="9"/>
        <v>4674.5519999999997</v>
      </c>
      <c r="H25" s="128" t="s">
        <v>127</v>
      </c>
      <c r="I25" s="91">
        <f>SUM(J1)</f>
        <v>1256.5999999999999</v>
      </c>
      <c r="J25" s="93"/>
      <c r="K25" s="98">
        <v>0.31</v>
      </c>
      <c r="L25" s="98"/>
      <c r="M25" s="92">
        <f>SUM(I25*K25)</f>
        <v>389.54599999999999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21</v>
      </c>
      <c r="J27" s="205"/>
      <c r="K27" s="206">
        <v>0.28000000000000003</v>
      </c>
      <c r="L27" s="205"/>
      <c r="M27" s="211">
        <f>SUM(I27*K27)</f>
        <v>5.8800000000000008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5059.359473999999</v>
      </c>
      <c r="D29" s="41">
        <f>D9+D16+D20+D23+D26</f>
        <v>5059.359473999999</v>
      </c>
      <c r="E29" s="41">
        <f>E9+E16+E20+E23+E26</f>
        <v>5059.359473999999</v>
      </c>
      <c r="F29" s="41">
        <f>F9+F16+F20+F23+F26</f>
        <v>5059.359473999999</v>
      </c>
      <c r="G29" s="42">
        <f t="shared" si="11"/>
        <v>20237.437895999996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1076.4471882950652</v>
      </c>
      <c r="D31" s="53">
        <f>SUM(D32:D35)</f>
        <v>1076.4471882950652</v>
      </c>
      <c r="E31" s="53">
        <f>SUM(E32:E35)</f>
        <v>1076.4471882950652</v>
      </c>
      <c r="F31" s="53">
        <f>SUM(F32:F35)</f>
        <v>1076.4471882950652</v>
      </c>
      <c r="G31" s="53">
        <f>SUM(G32:G35)</f>
        <v>4305.7887531802608</v>
      </c>
      <c r="H31" s="128" t="s">
        <v>253</v>
      </c>
      <c r="I31" s="88">
        <f>SUM(O1)</f>
        <v>1257</v>
      </c>
      <c r="J31" s="89"/>
      <c r="K31" s="95">
        <v>0.62</v>
      </c>
      <c r="L31" s="95"/>
      <c r="M31" s="90">
        <f>SUM(I31*K31)</f>
        <v>779.34</v>
      </c>
    </row>
    <row r="32" spans="1:35" ht="20.100000000000001" customHeight="1" thickBot="1">
      <c r="A32" s="35"/>
      <c r="B32" s="7" t="s">
        <v>3</v>
      </c>
      <c r="C32" s="32">
        <f>C10</f>
        <v>527.01803999999993</v>
      </c>
      <c r="D32" s="32">
        <f>D10</f>
        <v>527.01803999999993</v>
      </c>
      <c r="E32" s="32">
        <f>E10</f>
        <v>527.01803999999993</v>
      </c>
      <c r="F32" s="32">
        <f>F10</f>
        <v>527.01803999999993</v>
      </c>
      <c r="G32" s="62">
        <f>SUM(C32:F32)</f>
        <v>2108.0721599999997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164.74026000000001</v>
      </c>
      <c r="D33" s="32">
        <f t="shared" si="12"/>
        <v>164.74026000000001</v>
      </c>
      <c r="E33" s="32">
        <f t="shared" si="12"/>
        <v>164.74026000000001</v>
      </c>
      <c r="F33" s="32">
        <f t="shared" si="12"/>
        <v>164.74026000000001</v>
      </c>
      <c r="G33" s="62">
        <f>SUM(C33:F33)</f>
        <v>658.96104000000003</v>
      </c>
    </row>
    <row r="34" spans="1:7" ht="57.75" customHeight="1">
      <c r="A34" s="35"/>
      <c r="B34" s="7" t="s">
        <v>41</v>
      </c>
      <c r="C34" s="32">
        <f>Площадь!D10</f>
        <v>384.68888829506511</v>
      </c>
      <c r="D34" s="32">
        <f>C34</f>
        <v>384.68888829506511</v>
      </c>
      <c r="E34" s="32">
        <f t="shared" ref="E34:F34" si="13">D34</f>
        <v>384.68888829506511</v>
      </c>
      <c r="F34" s="32">
        <f t="shared" si="13"/>
        <v>384.68888829506511</v>
      </c>
      <c r="G34" s="62">
        <f>SUM(C34:F34)</f>
        <v>1538.7555531802604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192.78</v>
      </c>
      <c r="D39" s="53">
        <f t="shared" ref="D39:G39" si="15">SUM(D40:D41)</f>
        <v>192.78</v>
      </c>
      <c r="E39" s="53">
        <f t="shared" si="15"/>
        <v>192.78</v>
      </c>
      <c r="F39" s="53">
        <f t="shared" si="15"/>
        <v>192.78</v>
      </c>
      <c r="G39" s="53">
        <f t="shared" si="15"/>
        <v>771.12</v>
      </c>
    </row>
    <row r="40" spans="1:7" ht="20.100000000000001" customHeight="1">
      <c r="A40" s="35"/>
      <c r="B40" s="7" t="s">
        <v>40</v>
      </c>
      <c r="C40" s="32">
        <f t="shared" ref="C40:F41" si="16">C21</f>
        <v>66.78</v>
      </c>
      <c r="D40" s="32">
        <f t="shared" si="16"/>
        <v>66.78</v>
      </c>
      <c r="E40" s="32">
        <f t="shared" si="16"/>
        <v>66.78</v>
      </c>
      <c r="F40" s="32">
        <f t="shared" si="16"/>
        <v>66.78</v>
      </c>
      <c r="G40" s="62">
        <f>SUM(C40:F40)</f>
        <v>267.12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126</v>
      </c>
      <c r="D41" s="46">
        <f t="shared" si="16"/>
        <v>126</v>
      </c>
      <c r="E41" s="46">
        <f t="shared" si="16"/>
        <v>126</v>
      </c>
      <c r="F41" s="46">
        <f t="shared" si="16"/>
        <v>126</v>
      </c>
      <c r="G41" s="62">
        <f>SUM(C41:F41)</f>
        <v>504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2355.66</v>
      </c>
      <c r="D42" s="53">
        <f>SUM(D43:D58)</f>
        <v>2355.66</v>
      </c>
      <c r="E42" s="53">
        <f>SUM(E43:E58)</f>
        <v>2355.66</v>
      </c>
      <c r="F42" s="53">
        <f>SUM(F43:F58)</f>
        <v>2355.66</v>
      </c>
      <c r="G42" s="55">
        <f t="shared" ref="G42:G51" si="17">SUM(C42:F42)</f>
        <v>9422.64</v>
      </c>
    </row>
    <row r="43" spans="1:7" ht="20.100000000000001" customHeight="1">
      <c r="A43" s="47"/>
      <c r="B43" s="38" t="s">
        <v>38</v>
      </c>
      <c r="C43" s="32">
        <f>SUM(M31*3)</f>
        <v>2338.02</v>
      </c>
      <c r="D43" s="32">
        <f>SUM(M31*3)</f>
        <v>2338.02</v>
      </c>
      <c r="E43" s="32">
        <f>SUM(M31*3)</f>
        <v>2338.02</v>
      </c>
      <c r="F43" s="32">
        <f>SUM(M31*3)</f>
        <v>2338.02</v>
      </c>
      <c r="G43" s="62">
        <f t="shared" si="17"/>
        <v>9352.08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17.64</v>
      </c>
      <c r="D51" s="32">
        <f>SUM(M27*3)</f>
        <v>17.64</v>
      </c>
      <c r="E51" s="32">
        <f>SUM(M27*3)</f>
        <v>17.64</v>
      </c>
      <c r="F51" s="32">
        <f>SUM(M27*3)</f>
        <v>17.64</v>
      </c>
      <c r="G51" s="62">
        <f t="shared" si="17"/>
        <v>70.56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3624.8871882950652</v>
      </c>
      <c r="D59" s="30">
        <f>D31+D36+D39+D42</f>
        <v>3624.8871882950652</v>
      </c>
      <c r="E59" s="30">
        <f>E31+E36+E39+E42</f>
        <v>3624.8871882950652</v>
      </c>
      <c r="F59" s="30">
        <f>F31+F36+F39+F42</f>
        <v>3624.8871882950652</v>
      </c>
      <c r="G59" s="31">
        <f>G31+G36+G39+G42</f>
        <v>14499.548753180261</v>
      </c>
    </row>
    <row r="60" spans="1:14" ht="26.1" hidden="1" customHeight="1" outlineLevel="1">
      <c r="A60" s="100"/>
      <c r="B60" s="60"/>
      <c r="C60" s="61">
        <f>C29-C59</f>
        <v>1434.4722857049337</v>
      </c>
      <c r="D60" s="61">
        <f>D29-D59</f>
        <v>1434.4722857049337</v>
      </c>
      <c r="E60" s="61">
        <f>E29-E59</f>
        <v>1434.4722857049337</v>
      </c>
      <c r="F60" s="61">
        <f>F29-F59</f>
        <v>1434.4722857049337</v>
      </c>
      <c r="G60" s="61">
        <f>G29-G59</f>
        <v>5737.8891428197348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2.3257871999999997</v>
      </c>
      <c r="D77" s="56">
        <f>D16*1.2/100</f>
        <v>2.3257871999999997</v>
      </c>
      <c r="E77" s="56">
        <f>E16*1.2/100</f>
        <v>2.3257871999999997</v>
      </c>
      <c r="F77" s="56">
        <f>F16*1.2/100</f>
        <v>2.3257871999999997</v>
      </c>
    </row>
    <row r="78" spans="1:15" hidden="1">
      <c r="A78" s="59"/>
      <c r="C78" s="56">
        <f>(C16-C77)*0.5/100</f>
        <v>0.95744906399999996</v>
      </c>
      <c r="D78" s="56">
        <f>(D16-D77)*0.5/100</f>
        <v>0.95744906399999996</v>
      </c>
      <c r="E78" s="56">
        <f>(E16-E77)*0.5/100</f>
        <v>0.95744906399999996</v>
      </c>
      <c r="F78" s="56">
        <f>(F16-F77)*0.5/100</f>
        <v>0.95744906399999996</v>
      </c>
    </row>
    <row r="79" spans="1:15" hidden="1">
      <c r="C79" s="3">
        <f>C9*1.2/100</f>
        <v>14.002198487999998</v>
      </c>
      <c r="D79" s="3">
        <f>D9*1.2/100</f>
        <v>14.002198487999998</v>
      </c>
      <c r="E79" s="3">
        <f>E9*1.2/100</f>
        <v>14.002198487999998</v>
      </c>
      <c r="F79" s="3">
        <f>F9*1.2/100</f>
        <v>14.002198487999998</v>
      </c>
    </row>
    <row r="80" spans="1:15" s="3" customFormat="1" hidden="1">
      <c r="A80" s="2"/>
      <c r="B80" s="2"/>
      <c r="C80" s="3">
        <f>(C9-C79)*4/100</f>
        <v>46.113907020479992</v>
      </c>
      <c r="D80" s="3">
        <f>(D9-D79)*4/100</f>
        <v>46.113907020479992</v>
      </c>
      <c r="E80" s="3">
        <f>(E9-E79)*4/100</f>
        <v>46.113907020479992</v>
      </c>
      <c r="F80" s="3">
        <f>(F9-F79)*4/100</f>
        <v>46.113907020479992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63.399341772479985</v>
      </c>
      <c r="D81" s="3">
        <f t="shared" ref="D81:F81" si="20">SUM(D77:D80)</f>
        <v>63.399341772479985</v>
      </c>
      <c r="E81" s="3">
        <f t="shared" si="20"/>
        <v>63.399341772479985</v>
      </c>
      <c r="F81" s="3">
        <f t="shared" si="20"/>
        <v>63.399341772479985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105C-AC42-4317-AE38-F93BA946F30E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SUM(Площадь!L22)</f>
        <v>1418.5</v>
      </c>
      <c r="K1" s="4" t="s">
        <v>235</v>
      </c>
      <c r="O1" s="2">
        <f>SUM(Площадь!M22)</f>
        <v>1418.5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SUM(Площадь!R22)</f>
        <v>20</v>
      </c>
      <c r="K4" s="4">
        <f>SUM(Площадь!S22)</f>
        <v>6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SUM(Площадь!Q22)</f>
        <v>18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1271.5219350000002</v>
      </c>
      <c r="D9" s="15">
        <f t="shared" ref="D9:F9" si="0">SUM(D10:D15)</f>
        <v>1271.521935</v>
      </c>
      <c r="E9" s="15">
        <f t="shared" si="0"/>
        <v>1271.521935</v>
      </c>
      <c r="F9" s="15">
        <f t="shared" si="0"/>
        <v>1271.5219350000002</v>
      </c>
      <c r="G9" s="15">
        <f>SUM(G10:G15)</f>
        <v>5086.0877400000008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594.91890000000012</v>
      </c>
      <c r="D10" s="9">
        <f>SUM(I10*2+O10*1)</f>
        <v>594.91890000000012</v>
      </c>
      <c r="E10" s="9">
        <f>SUM(O10*2)+U10*1</f>
        <v>594.91890000000012</v>
      </c>
      <c r="F10" s="9">
        <f>SUM(U10*3)</f>
        <v>594.91890000000012</v>
      </c>
      <c r="G10" s="65">
        <f>SUM(C10:F10)</f>
        <v>2379.6756000000005</v>
      </c>
      <c r="H10" s="125" t="s">
        <v>125</v>
      </c>
      <c r="I10" s="201">
        <f>SUM(M10*K10)</f>
        <v>198.30630000000002</v>
      </c>
      <c r="J10" s="201" t="s">
        <v>238</v>
      </c>
      <c r="K10" s="201">
        <v>0.13980000000000001</v>
      </c>
      <c r="L10" s="201"/>
      <c r="M10" s="207">
        <f>SUM(J1)</f>
        <v>1418.5</v>
      </c>
      <c r="N10" s="202"/>
      <c r="O10" s="201">
        <f>SUM(S10*Q10)</f>
        <v>198.30630000000002</v>
      </c>
      <c r="P10" s="201" t="s">
        <v>238</v>
      </c>
      <c r="Q10" s="201">
        <v>0.13980000000000001</v>
      </c>
      <c r="R10" s="201"/>
      <c r="S10" s="130">
        <f>SUM(J1)</f>
        <v>1418.5</v>
      </c>
      <c r="T10" s="202"/>
      <c r="U10" s="201">
        <f>SUM(Y10*W10)</f>
        <v>198.30630000000002</v>
      </c>
      <c r="V10" s="201" t="s">
        <v>238</v>
      </c>
      <c r="W10" s="201">
        <v>0.13980000000000001</v>
      </c>
      <c r="X10" s="201"/>
      <c r="Y10" s="130">
        <f>SUM(J1)</f>
        <v>1418.5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1418.5</v>
      </c>
      <c r="N11" s="202"/>
      <c r="O11" s="201"/>
      <c r="P11" s="201" t="s">
        <v>238</v>
      </c>
      <c r="Q11" s="201"/>
      <c r="R11" s="201">
        <v>0.15</v>
      </c>
      <c r="S11" s="201">
        <f>SUM(J1)</f>
        <v>1418.5</v>
      </c>
      <c r="T11" s="202"/>
      <c r="U11" s="201"/>
      <c r="V11" s="201" t="s">
        <v>238</v>
      </c>
      <c r="W11" s="201"/>
      <c r="X11" s="201">
        <v>0.15</v>
      </c>
      <c r="Y11" s="130">
        <f>SUM(J1)</f>
        <v>1418.5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185.96535000000003</v>
      </c>
      <c r="D13" s="9">
        <f>SUM(I13*2+O13)</f>
        <v>185.96535000000003</v>
      </c>
      <c r="E13" s="9">
        <f>SUM(O13*2+U13)</f>
        <v>185.96535000000003</v>
      </c>
      <c r="F13" s="9">
        <f>SUM(U13*3)</f>
        <v>185.96535000000003</v>
      </c>
      <c r="G13" s="65">
        <f t="shared" ref="G13:G14" si="1">SUM(C13:F13)</f>
        <v>743.86140000000012</v>
      </c>
      <c r="H13" s="125" t="s">
        <v>120</v>
      </c>
      <c r="I13" s="201">
        <f>SUM(K13*M13)</f>
        <v>61.988450000000007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1418.5</v>
      </c>
      <c r="N13" s="203"/>
      <c r="O13" s="201">
        <f>SUM(Q13*S13)</f>
        <v>61.988450000000007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1418.5</v>
      </c>
      <c r="T13" s="203"/>
      <c r="U13" s="201">
        <f>SUM(W13*Y13)</f>
        <v>61.988450000000007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1418.5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293.41672499999999</v>
      </c>
      <c r="D14" s="9">
        <f>SUM(I14*2+O14)</f>
        <v>293.41672499999999</v>
      </c>
      <c r="E14" s="9">
        <f>SUM(O14*2+U14)</f>
        <v>293.41672499999999</v>
      </c>
      <c r="F14" s="9">
        <f>SUM(U14*3)</f>
        <v>293.41672499999999</v>
      </c>
      <c r="G14" s="65">
        <f t="shared" si="1"/>
        <v>1173.6668999999999</v>
      </c>
      <c r="H14" s="125" t="s">
        <v>11</v>
      </c>
      <c r="I14" s="201">
        <f>SUM(K14+L14)/2*M14</f>
        <v>97.80557499999999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1418.5</v>
      </c>
      <c r="N14" s="203"/>
      <c r="O14" s="201">
        <f>SUM(Q14+R14)/2*S14</f>
        <v>97.80557499999999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1418.5</v>
      </c>
      <c r="T14" s="203"/>
      <c r="U14" s="201">
        <f>SUM(W14+X14)/2*Y14</f>
        <v>97.80557499999999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1418.5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197.22095999999999</v>
      </c>
      <c r="D15" s="6">
        <f>SUM(I15+I16)*2+O15+O16</f>
        <v>197.22095999999996</v>
      </c>
      <c r="E15" s="6">
        <f>SUM(O15+O16)*2+U15+U16</f>
        <v>197.22095999999996</v>
      </c>
      <c r="F15" s="6">
        <f>SUM(U15+U16)*3</f>
        <v>197.22095999999999</v>
      </c>
      <c r="G15" s="65">
        <f t="shared" ref="G15" si="2">SUM(C15:F15)</f>
        <v>788.88383999999996</v>
      </c>
      <c r="H15" s="125" t="s">
        <v>118</v>
      </c>
      <c r="I15" s="201">
        <f>SUM(J15*K15*M15)</f>
        <v>48.889439999999993</v>
      </c>
      <c r="J15" s="201">
        <v>0.24</v>
      </c>
      <c r="K15" s="201">
        <v>10.1853</v>
      </c>
      <c r="L15" s="201"/>
      <c r="M15" s="208">
        <f>SUM(J4)</f>
        <v>20</v>
      </c>
      <c r="N15" s="203"/>
      <c r="O15" s="201">
        <f>SUM(P15*Q15*S15)</f>
        <v>48.889439999999993</v>
      </c>
      <c r="P15" s="201">
        <v>0.24</v>
      </c>
      <c r="Q15" s="201">
        <v>10.1853</v>
      </c>
      <c r="R15" s="201"/>
      <c r="S15" s="201">
        <f>SUM(J4)</f>
        <v>20</v>
      </c>
      <c r="T15" s="203"/>
      <c r="U15" s="201">
        <f>SUM(V15*W15*Y15)</f>
        <v>48.889439999999993</v>
      </c>
      <c r="V15" s="201">
        <v>0.24</v>
      </c>
      <c r="W15" s="201">
        <v>10.1853</v>
      </c>
      <c r="X15" s="201"/>
      <c r="Y15" s="201">
        <f>SUM(J4)</f>
        <v>20</v>
      </c>
    </row>
    <row r="16" spans="1:26" ht="20.100000000000001" customHeight="1">
      <c r="A16" s="102">
        <v>2</v>
      </c>
      <c r="B16" s="20" t="s">
        <v>16</v>
      </c>
      <c r="C16" s="27">
        <f>SUM(C17:C19)</f>
        <v>196.58100000000002</v>
      </c>
      <c r="D16" s="27">
        <f t="shared" ref="D16:F16" si="3">SUM(D17:D19)</f>
        <v>196.58100000000002</v>
      </c>
      <c r="E16" s="27">
        <f t="shared" si="3"/>
        <v>196.58100000000002</v>
      </c>
      <c r="F16" s="27">
        <f t="shared" si="3"/>
        <v>196.58100000000002</v>
      </c>
      <c r="G16" s="27">
        <f t="shared" ref="G16" si="4">SUM(G17:G19)</f>
        <v>786.32400000000007</v>
      </c>
      <c r="H16" s="125"/>
      <c r="I16" s="201">
        <f>SUM(J16*L16*M16)</f>
        <v>16.85088</v>
      </c>
      <c r="J16" s="201">
        <v>0.24</v>
      </c>
      <c r="K16" s="201"/>
      <c r="L16" s="201">
        <v>11.702</v>
      </c>
      <c r="M16" s="201">
        <f>SUM(K4)</f>
        <v>6</v>
      </c>
      <c r="O16" s="201">
        <f>SUM(P16*R16*S16)</f>
        <v>16.85088</v>
      </c>
      <c r="P16" s="201">
        <v>0.24</v>
      </c>
      <c r="Q16" s="201"/>
      <c r="R16" s="201">
        <v>11.702</v>
      </c>
      <c r="S16" s="201">
        <f>SUM(K4)</f>
        <v>6</v>
      </c>
      <c r="U16" s="201">
        <f>SUM(V16*X16*Y16)</f>
        <v>16.85088</v>
      </c>
      <c r="V16" s="201">
        <v>0.24</v>
      </c>
      <c r="W16" s="201"/>
      <c r="X16" s="201">
        <v>11.702</v>
      </c>
      <c r="Y16" s="201">
        <f>SUM(K4)</f>
        <v>6</v>
      </c>
    </row>
    <row r="17" spans="1:35" ht="39" customHeight="1" outlineLevel="1">
      <c r="A17" s="21"/>
      <c r="B17" s="7" t="s">
        <v>20</v>
      </c>
      <c r="C17" s="9">
        <f>$I$17*3</f>
        <v>93.620999999999995</v>
      </c>
      <c r="D17" s="9">
        <f t="shared" ref="D17:F17" si="5">$I$17*3</f>
        <v>93.620999999999995</v>
      </c>
      <c r="E17" s="9">
        <f t="shared" si="5"/>
        <v>93.620999999999995</v>
      </c>
      <c r="F17" s="9">
        <f t="shared" si="5"/>
        <v>93.620999999999995</v>
      </c>
      <c r="G17" s="66">
        <f>SUM(C17:F17)</f>
        <v>374.48399999999998</v>
      </c>
      <c r="H17" s="126" t="s">
        <v>121</v>
      </c>
      <c r="I17" s="201">
        <f>SUM(K17*M17)</f>
        <v>31.206999999999997</v>
      </c>
      <c r="J17" s="201" t="s">
        <v>238</v>
      </c>
      <c r="K17" s="201">
        <v>2.1999999999999999E-2</v>
      </c>
      <c r="L17" s="201"/>
      <c r="M17" s="201">
        <f>SUM(J1)</f>
        <v>1418.5</v>
      </c>
      <c r="N17" s="203"/>
      <c r="O17" s="201">
        <f>SUM(Q17*S17)</f>
        <v>31.206999999999997</v>
      </c>
      <c r="P17" s="201" t="s">
        <v>238</v>
      </c>
      <c r="Q17" s="201">
        <v>2.1999999999999999E-2</v>
      </c>
      <c r="R17" s="201"/>
      <c r="S17" s="201">
        <f>SUM(J1)</f>
        <v>1418.5</v>
      </c>
      <c r="T17" s="203"/>
      <c r="U17" s="201">
        <f>SUM(W17*Y17)</f>
        <v>31.206999999999997</v>
      </c>
      <c r="V17" s="201" t="s">
        <v>238</v>
      </c>
      <c r="W17" s="201">
        <v>2.1999999999999999E-2</v>
      </c>
      <c r="X17" s="201"/>
      <c r="Y17" s="201">
        <f>SUM(J1)</f>
        <v>1418.5</v>
      </c>
    </row>
    <row r="18" spans="1:35" ht="40.5" customHeight="1" outlineLevel="1">
      <c r="A18" s="21"/>
      <c r="B18" s="7" t="s">
        <v>14</v>
      </c>
      <c r="C18" s="6">
        <f>$I$18*3</f>
        <v>102.96000000000001</v>
      </c>
      <c r="D18" s="6">
        <f t="shared" ref="D18:F18" si="6">$I$18*3</f>
        <v>102.96000000000001</v>
      </c>
      <c r="E18" s="6">
        <f t="shared" si="6"/>
        <v>102.96000000000001</v>
      </c>
      <c r="F18" s="6">
        <f t="shared" si="6"/>
        <v>102.96000000000001</v>
      </c>
      <c r="G18" s="66">
        <f>SUM(C18:F18)</f>
        <v>411.84000000000003</v>
      </c>
      <c r="H18" s="126" t="s">
        <v>122</v>
      </c>
      <c r="I18" s="201">
        <f>SUM(K18*M18)*1.5</f>
        <v>34.32</v>
      </c>
      <c r="J18" s="201" t="s">
        <v>129</v>
      </c>
      <c r="K18" s="201">
        <v>0.88</v>
      </c>
      <c r="L18" s="201"/>
      <c r="M18" s="201">
        <f>SUM(J4+K4)</f>
        <v>26</v>
      </c>
      <c r="N18" s="203"/>
      <c r="O18" s="201">
        <f>SUM(Q18*S18)*1.5</f>
        <v>34.32</v>
      </c>
      <c r="P18" s="201" t="s">
        <v>129</v>
      </c>
      <c r="Q18" s="201">
        <v>0.88</v>
      </c>
      <c r="R18" s="201"/>
      <c r="S18" s="201">
        <f>SUM(J4+K4)</f>
        <v>26</v>
      </c>
      <c r="T18" s="203"/>
      <c r="U18" s="201">
        <f>SUM(W18*Y18)*1.5</f>
        <v>34.32</v>
      </c>
      <c r="V18" s="201" t="s">
        <v>129</v>
      </c>
      <c r="W18" s="201">
        <v>0.88</v>
      </c>
      <c r="X18" s="201"/>
      <c r="Y18" s="201">
        <f>SUM(J4+K4)</f>
        <v>26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165.24</v>
      </c>
      <c r="D20" s="15">
        <f t="shared" ref="D20:F20" si="7">SUM(D21:D22)</f>
        <v>165.24</v>
      </c>
      <c r="E20" s="15">
        <f t="shared" si="7"/>
        <v>165.24</v>
      </c>
      <c r="F20" s="15">
        <f t="shared" si="7"/>
        <v>165.24</v>
      </c>
      <c r="G20" s="5">
        <f>SUM(G21:G22)</f>
        <v>660.96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57.240000000000009</v>
      </c>
      <c r="D21" s="8">
        <f>SUM(M21*3)</f>
        <v>57.240000000000009</v>
      </c>
      <c r="E21" s="8">
        <f>SUM(M21*3)</f>
        <v>57.240000000000009</v>
      </c>
      <c r="F21" s="8">
        <f>SUM(M21*3)</f>
        <v>57.240000000000009</v>
      </c>
      <c r="G21" s="66">
        <f>SUM(C21:F21)</f>
        <v>228.96000000000004</v>
      </c>
      <c r="H21" s="125" t="s">
        <v>117</v>
      </c>
      <c r="I21" s="94">
        <f>SUM(J5)</f>
        <v>18</v>
      </c>
      <c r="J21" s="95"/>
      <c r="K21" s="95">
        <v>1.06</v>
      </c>
      <c r="L21" s="95"/>
      <c r="M21" s="96">
        <f>I21*K21</f>
        <v>19.080000000000002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108</v>
      </c>
      <c r="D22" s="18">
        <f>SUM(M22*3)</f>
        <v>108</v>
      </c>
      <c r="E22" s="18">
        <f>SUM(M22*3)</f>
        <v>108</v>
      </c>
      <c r="F22" s="18">
        <f>SUM(M22*3)</f>
        <v>108</v>
      </c>
      <c r="G22" s="67">
        <f>SUM(C22:F22)</f>
        <v>432</v>
      </c>
      <c r="H22" s="126" t="s">
        <v>124</v>
      </c>
      <c r="I22" s="97">
        <f>SUM(J5)</f>
        <v>18</v>
      </c>
      <c r="J22" s="98"/>
      <c r="K22" s="98">
        <v>2</v>
      </c>
      <c r="L22" s="98"/>
      <c r="M22" s="99">
        <f>I22*K22</f>
        <v>36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3957.6149999999998</v>
      </c>
      <c r="D23" s="15">
        <f t="shared" ref="D23:F23" si="8">SUM(D24:D25)</f>
        <v>3957.6149999999998</v>
      </c>
      <c r="E23" s="15">
        <f t="shared" si="8"/>
        <v>3957.6149999999998</v>
      </c>
      <c r="F23" s="15">
        <f t="shared" si="8"/>
        <v>3957.6149999999998</v>
      </c>
      <c r="G23" s="5">
        <f>SUM(G24:G25)</f>
        <v>15830.46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2638.41</v>
      </c>
      <c r="D24" s="6">
        <f>SUM(M24*3)</f>
        <v>2638.41</v>
      </c>
      <c r="E24" s="6">
        <f>SUM(M24*3)</f>
        <v>2638.41</v>
      </c>
      <c r="F24" s="6">
        <f>SUM(M24*3)</f>
        <v>2638.41</v>
      </c>
      <c r="G24" s="66">
        <f t="shared" ref="G24:G25" si="9">SUM(C24:F24)</f>
        <v>10553.64</v>
      </c>
      <c r="H24" s="128" t="s">
        <v>126</v>
      </c>
      <c r="I24" s="88">
        <f>SUM(J1)</f>
        <v>1418.5</v>
      </c>
      <c r="J24" s="89"/>
      <c r="K24" s="95">
        <v>0.62</v>
      </c>
      <c r="L24" s="95"/>
      <c r="M24" s="90">
        <f>SUM(I24*K24)</f>
        <v>879.47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1319.2049999999999</v>
      </c>
      <c r="D25" s="18">
        <f>SUM(M25*3)</f>
        <v>1319.2049999999999</v>
      </c>
      <c r="E25" s="18">
        <f>SUM(M25*3)</f>
        <v>1319.2049999999999</v>
      </c>
      <c r="F25" s="18">
        <f>SUM(M25*3)</f>
        <v>1319.2049999999999</v>
      </c>
      <c r="G25" s="67">
        <f t="shared" si="9"/>
        <v>5276.82</v>
      </c>
      <c r="H25" s="128" t="s">
        <v>127</v>
      </c>
      <c r="I25" s="91">
        <f>SUM(J1)</f>
        <v>1418.5</v>
      </c>
      <c r="J25" s="93"/>
      <c r="K25" s="98">
        <v>0.31</v>
      </c>
      <c r="L25" s="98"/>
      <c r="M25" s="92">
        <f>SUM(I25*K25)</f>
        <v>439.73500000000001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18</v>
      </c>
      <c r="J27" s="205"/>
      <c r="K27" s="206">
        <v>0.28000000000000003</v>
      </c>
      <c r="L27" s="205"/>
      <c r="M27" s="211">
        <f>SUM(I27*K27)</f>
        <v>5.0400000000000009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5590.9579350000004</v>
      </c>
      <c r="D29" s="41">
        <f>D9+D16+D20+D23+D26</f>
        <v>5590.9579349999995</v>
      </c>
      <c r="E29" s="41">
        <f>E9+E16+E20+E23+E26</f>
        <v>5590.9579349999995</v>
      </c>
      <c r="F29" s="41">
        <f>F9+F16+F20+F23+F26</f>
        <v>5590.9579350000004</v>
      </c>
      <c r="G29" s="42">
        <f t="shared" si="11"/>
        <v>22363.831740000001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1215.136349352658</v>
      </c>
      <c r="D31" s="53">
        <f>SUM(D32:D35)</f>
        <v>1215.136349352658</v>
      </c>
      <c r="E31" s="53">
        <f>SUM(E32:E35)</f>
        <v>1215.136349352658</v>
      </c>
      <c r="F31" s="53">
        <f>SUM(F32:F35)</f>
        <v>1215.136349352658</v>
      </c>
      <c r="G31" s="53">
        <f>SUM(G32:G35)</f>
        <v>4860.5453974106322</v>
      </c>
      <c r="H31" s="128" t="s">
        <v>253</v>
      </c>
      <c r="I31" s="88">
        <f>SUM(O1)</f>
        <v>1418.5</v>
      </c>
      <c r="J31" s="89"/>
      <c r="K31" s="95">
        <v>0.62</v>
      </c>
      <c r="L31" s="95"/>
      <c r="M31" s="90">
        <f>SUM(I31*K31)</f>
        <v>879.47</v>
      </c>
    </row>
    <row r="32" spans="1:35" ht="20.100000000000001" customHeight="1" thickBot="1">
      <c r="A32" s="35"/>
      <c r="B32" s="7" t="s">
        <v>3</v>
      </c>
      <c r="C32" s="32">
        <f>C10</f>
        <v>594.91890000000012</v>
      </c>
      <c r="D32" s="32">
        <f>D10</f>
        <v>594.91890000000012</v>
      </c>
      <c r="E32" s="32">
        <f>E10</f>
        <v>594.91890000000012</v>
      </c>
      <c r="F32" s="32">
        <f>F10</f>
        <v>594.91890000000012</v>
      </c>
      <c r="G32" s="62">
        <f>SUM(C32:F32)</f>
        <v>2379.6756000000005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185.96535000000003</v>
      </c>
      <c r="D33" s="32">
        <f t="shared" si="12"/>
        <v>185.96535000000003</v>
      </c>
      <c r="E33" s="32">
        <f t="shared" si="12"/>
        <v>185.96535000000003</v>
      </c>
      <c r="F33" s="32">
        <f t="shared" si="12"/>
        <v>185.96535000000003</v>
      </c>
      <c r="G33" s="62">
        <f>SUM(C33:F33)</f>
        <v>743.86140000000012</v>
      </c>
    </row>
    <row r="34" spans="1:7" ht="57.75" customHeight="1">
      <c r="A34" s="35"/>
      <c r="B34" s="7" t="s">
        <v>41</v>
      </c>
      <c r="C34" s="32">
        <f>Площадь!D11</f>
        <v>434.25209935265786</v>
      </c>
      <c r="D34" s="32">
        <f>C34</f>
        <v>434.25209935265786</v>
      </c>
      <c r="E34" s="32">
        <f t="shared" ref="E34:F34" si="13">D34</f>
        <v>434.25209935265786</v>
      </c>
      <c r="F34" s="32">
        <f t="shared" si="13"/>
        <v>434.25209935265786</v>
      </c>
      <c r="G34" s="62">
        <f>SUM(C34:F34)</f>
        <v>1737.0083974106315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165.24</v>
      </c>
      <c r="D39" s="53">
        <f t="shared" ref="D39:G39" si="15">SUM(D40:D41)</f>
        <v>165.24</v>
      </c>
      <c r="E39" s="53">
        <f t="shared" si="15"/>
        <v>165.24</v>
      </c>
      <c r="F39" s="53">
        <f t="shared" si="15"/>
        <v>165.24</v>
      </c>
      <c r="G39" s="53">
        <f t="shared" si="15"/>
        <v>660.96</v>
      </c>
    </row>
    <row r="40" spans="1:7" ht="20.100000000000001" customHeight="1">
      <c r="A40" s="35"/>
      <c r="B40" s="7" t="s">
        <v>40</v>
      </c>
      <c r="C40" s="32">
        <f t="shared" ref="C40:F41" si="16">C21</f>
        <v>57.240000000000009</v>
      </c>
      <c r="D40" s="32">
        <f t="shared" si="16"/>
        <v>57.240000000000009</v>
      </c>
      <c r="E40" s="32">
        <f t="shared" si="16"/>
        <v>57.240000000000009</v>
      </c>
      <c r="F40" s="32">
        <f t="shared" si="16"/>
        <v>57.240000000000009</v>
      </c>
      <c r="G40" s="62">
        <f>SUM(C40:F40)</f>
        <v>228.96000000000004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108</v>
      </c>
      <c r="D41" s="46">
        <f t="shared" si="16"/>
        <v>108</v>
      </c>
      <c r="E41" s="46">
        <f t="shared" si="16"/>
        <v>108</v>
      </c>
      <c r="F41" s="46">
        <f t="shared" si="16"/>
        <v>108</v>
      </c>
      <c r="G41" s="62">
        <f>SUM(C41:F41)</f>
        <v>432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2653.5299999999997</v>
      </c>
      <c r="D42" s="53">
        <f>SUM(D43:D58)</f>
        <v>2653.5299999999997</v>
      </c>
      <c r="E42" s="53">
        <f>SUM(E43:E58)</f>
        <v>2653.5299999999997</v>
      </c>
      <c r="F42" s="53">
        <f>SUM(F43:F58)</f>
        <v>2653.5299999999997</v>
      </c>
      <c r="G42" s="55">
        <f t="shared" ref="G42:G51" si="17">SUM(C42:F42)</f>
        <v>10614.119999999999</v>
      </c>
    </row>
    <row r="43" spans="1:7" ht="20.100000000000001" customHeight="1">
      <c r="A43" s="47"/>
      <c r="B43" s="38" t="s">
        <v>38</v>
      </c>
      <c r="C43" s="32">
        <f>SUM(M31*3)</f>
        <v>2638.41</v>
      </c>
      <c r="D43" s="32">
        <f>SUM(M31*3)</f>
        <v>2638.41</v>
      </c>
      <c r="E43" s="32">
        <f>SUM(M31*3)</f>
        <v>2638.41</v>
      </c>
      <c r="F43" s="32">
        <f>SUM(M31*3)</f>
        <v>2638.41</v>
      </c>
      <c r="G43" s="62">
        <f t="shared" si="17"/>
        <v>10553.64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15.120000000000003</v>
      </c>
      <c r="D51" s="32">
        <f>SUM(M27*3)</f>
        <v>15.120000000000003</v>
      </c>
      <c r="E51" s="32">
        <f>SUM(M27*3)</f>
        <v>15.120000000000003</v>
      </c>
      <c r="F51" s="32">
        <f>SUM(M27*3)</f>
        <v>15.120000000000003</v>
      </c>
      <c r="G51" s="62">
        <f t="shared" si="17"/>
        <v>60.480000000000011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4033.9063493526578</v>
      </c>
      <c r="D59" s="30">
        <f>D31+D36+D39+D42</f>
        <v>4033.9063493526578</v>
      </c>
      <c r="E59" s="30">
        <f>E31+E36+E39+E42</f>
        <v>4033.9063493526578</v>
      </c>
      <c r="F59" s="30">
        <f>F31+F36+F39+F42</f>
        <v>4033.9063493526578</v>
      </c>
      <c r="G59" s="31">
        <f>G31+G36+G39+G42</f>
        <v>16135.625397410631</v>
      </c>
    </row>
    <row r="60" spans="1:14" ht="26.1" hidden="1" customHeight="1" outlineLevel="1">
      <c r="A60" s="100"/>
      <c r="B60" s="60"/>
      <c r="C60" s="61">
        <f>C29-C59</f>
        <v>1557.0515856473426</v>
      </c>
      <c r="D60" s="61">
        <f>D29-D59</f>
        <v>1557.0515856473417</v>
      </c>
      <c r="E60" s="61">
        <f>E29-E59</f>
        <v>1557.0515856473417</v>
      </c>
      <c r="F60" s="61">
        <f>F29-F59</f>
        <v>1557.0515856473426</v>
      </c>
      <c r="G60" s="61">
        <f>G29-G59</f>
        <v>6228.2063425893703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2.3589720000000001</v>
      </c>
      <c r="D77" s="56">
        <f>D16*1.2/100</f>
        <v>2.3589720000000001</v>
      </c>
      <c r="E77" s="56">
        <f>E16*1.2/100</f>
        <v>2.3589720000000001</v>
      </c>
      <c r="F77" s="56">
        <f>F16*1.2/100</f>
        <v>2.3589720000000001</v>
      </c>
    </row>
    <row r="78" spans="1:15" hidden="1">
      <c r="A78" s="59"/>
      <c r="C78" s="56">
        <f>(C16-C77)*0.5/100</f>
        <v>0.97111014000000007</v>
      </c>
      <c r="D78" s="56">
        <f>(D16-D77)*0.5/100</f>
        <v>0.97111014000000007</v>
      </c>
      <c r="E78" s="56">
        <f>(E16-E77)*0.5/100</f>
        <v>0.97111014000000007</v>
      </c>
      <c r="F78" s="56">
        <f>(F16-F77)*0.5/100</f>
        <v>0.97111014000000007</v>
      </c>
    </row>
    <row r="79" spans="1:15" hidden="1">
      <c r="C79" s="3">
        <f>C9*1.2/100</f>
        <v>15.258263220000002</v>
      </c>
      <c r="D79" s="3">
        <f>D9*1.2/100</f>
        <v>15.258263219999998</v>
      </c>
      <c r="E79" s="3">
        <f>E9*1.2/100</f>
        <v>15.258263219999998</v>
      </c>
      <c r="F79" s="3">
        <f>F9*1.2/100</f>
        <v>15.258263220000002</v>
      </c>
    </row>
    <row r="80" spans="1:15" s="3" customFormat="1" hidden="1">
      <c r="A80" s="2"/>
      <c r="B80" s="2"/>
      <c r="C80" s="3">
        <f>(C9-C79)*4/100</f>
        <v>50.250546871200015</v>
      </c>
      <c r="D80" s="3">
        <f>(D9-D79)*4/100</f>
        <v>50.250546871200001</v>
      </c>
      <c r="E80" s="3">
        <f>(E9-E79)*4/100</f>
        <v>50.250546871200001</v>
      </c>
      <c r="F80" s="3">
        <f>(F9-F79)*4/100</f>
        <v>50.250546871200015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68.83889223120002</v>
      </c>
      <c r="D81" s="3">
        <f t="shared" ref="D81:F81" si="20">SUM(D77:D80)</f>
        <v>68.838892231199992</v>
      </c>
      <c r="E81" s="3">
        <f t="shared" si="20"/>
        <v>68.838892231199992</v>
      </c>
      <c r="F81" s="3">
        <f t="shared" si="20"/>
        <v>68.83889223120002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66F7-9584-4697-A11D-41B656080FA3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SUM(Площадь!L23)</f>
        <v>1259.8</v>
      </c>
      <c r="K1" s="4" t="s">
        <v>235</v>
      </c>
      <c r="O1" s="2">
        <f>SUM(Площадь!M23)</f>
        <v>1259.8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SUM(Площадь!R23)</f>
        <v>20</v>
      </c>
      <c r="K4" s="4">
        <f>SUM(Площадь!S23)</f>
        <v>8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SUM(Площадь!Q23)</f>
        <v>21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1168.1813699999998</v>
      </c>
      <c r="D9" s="15">
        <f t="shared" ref="D9:F9" si="0">SUM(D10:D15)</f>
        <v>1168.18137</v>
      </c>
      <c r="E9" s="15">
        <f t="shared" si="0"/>
        <v>1168.18137</v>
      </c>
      <c r="F9" s="15">
        <f t="shared" si="0"/>
        <v>1168.1813699999998</v>
      </c>
      <c r="G9" s="15">
        <f>SUM(G10:G15)</f>
        <v>4672.7254799999992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528.36012000000005</v>
      </c>
      <c r="D10" s="9">
        <f>SUM(I10*2+O10*1)</f>
        <v>528.36012000000005</v>
      </c>
      <c r="E10" s="9">
        <f>SUM(O10*2)+U10*1</f>
        <v>528.36012000000005</v>
      </c>
      <c r="F10" s="9">
        <f>SUM(U10*3)</f>
        <v>528.36012000000005</v>
      </c>
      <c r="G10" s="65">
        <f>SUM(C10:F10)</f>
        <v>2113.4404800000002</v>
      </c>
      <c r="H10" s="125" t="s">
        <v>125</v>
      </c>
      <c r="I10" s="201">
        <f>SUM(M10*K10)</f>
        <v>176.12004000000002</v>
      </c>
      <c r="J10" s="201" t="s">
        <v>238</v>
      </c>
      <c r="K10" s="201">
        <v>0.13980000000000001</v>
      </c>
      <c r="L10" s="201"/>
      <c r="M10" s="207">
        <f>SUM(J1)</f>
        <v>1259.8</v>
      </c>
      <c r="N10" s="202"/>
      <c r="O10" s="201">
        <f>SUM(S10*Q10)</f>
        <v>176.12004000000002</v>
      </c>
      <c r="P10" s="201" t="s">
        <v>238</v>
      </c>
      <c r="Q10" s="201">
        <v>0.13980000000000001</v>
      </c>
      <c r="R10" s="201"/>
      <c r="S10" s="130">
        <f>SUM(J1)</f>
        <v>1259.8</v>
      </c>
      <c r="T10" s="202"/>
      <c r="U10" s="201">
        <f>SUM(Y10*W10)</f>
        <v>176.12004000000002</v>
      </c>
      <c r="V10" s="201" t="s">
        <v>238</v>
      </c>
      <c r="W10" s="201">
        <v>0.13980000000000001</v>
      </c>
      <c r="X10" s="201"/>
      <c r="Y10" s="130">
        <f>SUM(J1)</f>
        <v>1259.8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1259.8</v>
      </c>
      <c r="N11" s="202"/>
      <c r="O11" s="201"/>
      <c r="P11" s="201" t="s">
        <v>238</v>
      </c>
      <c r="Q11" s="201"/>
      <c r="R11" s="201">
        <v>0.15</v>
      </c>
      <c r="S11" s="201">
        <f>SUM(J1)</f>
        <v>1259.8</v>
      </c>
      <c r="T11" s="202"/>
      <c r="U11" s="201"/>
      <c r="V11" s="201" t="s">
        <v>238</v>
      </c>
      <c r="W11" s="201"/>
      <c r="X11" s="201">
        <v>0.15</v>
      </c>
      <c r="Y11" s="130">
        <f>SUM(J1)</f>
        <v>1259.8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165.15978000000001</v>
      </c>
      <c r="D13" s="9">
        <f>SUM(I13*2+O13)</f>
        <v>165.15978000000001</v>
      </c>
      <c r="E13" s="9">
        <f>SUM(O13*2+U13)</f>
        <v>165.15978000000001</v>
      </c>
      <c r="F13" s="9">
        <f>SUM(U13*3)</f>
        <v>165.15978000000001</v>
      </c>
      <c r="G13" s="65">
        <f t="shared" ref="G13:G14" si="1">SUM(C13:F13)</f>
        <v>660.63912000000005</v>
      </c>
      <c r="H13" s="125" t="s">
        <v>120</v>
      </c>
      <c r="I13" s="201">
        <f>SUM(K13*M13)</f>
        <v>55.053260000000002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1259.8</v>
      </c>
      <c r="N13" s="203"/>
      <c r="O13" s="201">
        <f>SUM(Q13*S13)</f>
        <v>55.053260000000002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1259.8</v>
      </c>
      <c r="T13" s="203"/>
      <c r="U13" s="201">
        <f>SUM(W13*Y13)</f>
        <v>55.053260000000002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1259.8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260.58963</v>
      </c>
      <c r="D14" s="9">
        <f>SUM(I14*2+O14)</f>
        <v>260.58963</v>
      </c>
      <c r="E14" s="9">
        <f>SUM(O14*2+U14)</f>
        <v>260.58963</v>
      </c>
      <c r="F14" s="9">
        <f>SUM(U14*3)</f>
        <v>260.58963</v>
      </c>
      <c r="G14" s="65">
        <f t="shared" si="1"/>
        <v>1042.35852</v>
      </c>
      <c r="H14" s="125" t="s">
        <v>11</v>
      </c>
      <c r="I14" s="201">
        <f>SUM(K14+L14)/2*M14</f>
        <v>86.863209999999995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1259.8</v>
      </c>
      <c r="N14" s="203"/>
      <c r="O14" s="201">
        <f>SUM(Q14+R14)/2*S14</f>
        <v>86.863209999999995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1259.8</v>
      </c>
      <c r="T14" s="203"/>
      <c r="U14" s="201">
        <f>SUM(W14+X14)/2*Y14</f>
        <v>86.863209999999995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1259.8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214.07183999999995</v>
      </c>
      <c r="D15" s="6">
        <f>SUM(I15+I16)*2+O15+O16</f>
        <v>214.07183999999998</v>
      </c>
      <c r="E15" s="6">
        <f>SUM(O15+O16)*2+U15+U16</f>
        <v>214.07183999999998</v>
      </c>
      <c r="F15" s="6">
        <f>SUM(U15+U16)*3</f>
        <v>214.07183999999995</v>
      </c>
      <c r="G15" s="65">
        <f t="shared" ref="G15" si="2">SUM(C15:F15)</f>
        <v>856.28735999999981</v>
      </c>
      <c r="H15" s="125" t="s">
        <v>118</v>
      </c>
      <c r="I15" s="201">
        <f>SUM(J15*K15*M15)</f>
        <v>48.889439999999993</v>
      </c>
      <c r="J15" s="201">
        <v>0.24</v>
      </c>
      <c r="K15" s="201">
        <v>10.1853</v>
      </c>
      <c r="L15" s="201"/>
      <c r="M15" s="208">
        <f>SUM(J4)</f>
        <v>20</v>
      </c>
      <c r="N15" s="203"/>
      <c r="O15" s="201">
        <f>SUM(P15*Q15*S15)</f>
        <v>48.889439999999993</v>
      </c>
      <c r="P15" s="201">
        <v>0.24</v>
      </c>
      <c r="Q15" s="201">
        <v>10.1853</v>
      </c>
      <c r="R15" s="201"/>
      <c r="S15" s="201">
        <f>SUM(J4)</f>
        <v>20</v>
      </c>
      <c r="T15" s="203"/>
      <c r="U15" s="201">
        <f>SUM(V15*W15*Y15)</f>
        <v>48.889439999999993</v>
      </c>
      <c r="V15" s="201">
        <v>0.24</v>
      </c>
      <c r="W15" s="201">
        <v>10.1853</v>
      </c>
      <c r="X15" s="201"/>
      <c r="Y15" s="201">
        <f>SUM(J4)</f>
        <v>20</v>
      </c>
    </row>
    <row r="16" spans="1:26" ht="20.100000000000001" customHeight="1">
      <c r="A16" s="102">
        <v>2</v>
      </c>
      <c r="B16" s="20" t="s">
        <v>16</v>
      </c>
      <c r="C16" s="27">
        <f>SUM(C17:C19)</f>
        <v>194.02679999999998</v>
      </c>
      <c r="D16" s="27">
        <f t="shared" ref="D16:F16" si="3">SUM(D17:D19)</f>
        <v>194.02679999999998</v>
      </c>
      <c r="E16" s="27">
        <f t="shared" si="3"/>
        <v>194.02679999999998</v>
      </c>
      <c r="F16" s="27">
        <f t="shared" si="3"/>
        <v>194.02679999999998</v>
      </c>
      <c r="G16" s="27">
        <f t="shared" ref="G16" si="4">SUM(G17:G19)</f>
        <v>776.10719999999992</v>
      </c>
      <c r="H16" s="125"/>
      <c r="I16" s="201">
        <f>SUM(J16*L16*M16)</f>
        <v>22.467839999999999</v>
      </c>
      <c r="J16" s="201">
        <v>0.24</v>
      </c>
      <c r="K16" s="201"/>
      <c r="L16" s="201">
        <v>11.702</v>
      </c>
      <c r="M16" s="201">
        <f>SUM(K4)</f>
        <v>8</v>
      </c>
      <c r="O16" s="201">
        <f>SUM(P16*R16*S16)</f>
        <v>22.467839999999999</v>
      </c>
      <c r="P16" s="201">
        <v>0.24</v>
      </c>
      <c r="Q16" s="201"/>
      <c r="R16" s="201">
        <v>11.702</v>
      </c>
      <c r="S16" s="201">
        <f>SUM(K4)</f>
        <v>8</v>
      </c>
      <c r="U16" s="201">
        <f>SUM(V16*X16*Y16)</f>
        <v>22.467839999999999</v>
      </c>
      <c r="V16" s="201">
        <v>0.24</v>
      </c>
      <c r="W16" s="201"/>
      <c r="X16" s="201">
        <v>11.702</v>
      </c>
      <c r="Y16" s="201">
        <f>SUM(K4)</f>
        <v>8</v>
      </c>
    </row>
    <row r="17" spans="1:35" ht="39" customHeight="1" outlineLevel="1">
      <c r="A17" s="21"/>
      <c r="B17" s="7" t="s">
        <v>20</v>
      </c>
      <c r="C17" s="9">
        <f>$I$17*3</f>
        <v>83.146799999999999</v>
      </c>
      <c r="D17" s="9">
        <f t="shared" ref="D17:F17" si="5">$I$17*3</f>
        <v>83.146799999999999</v>
      </c>
      <c r="E17" s="9">
        <f t="shared" si="5"/>
        <v>83.146799999999999</v>
      </c>
      <c r="F17" s="9">
        <f t="shared" si="5"/>
        <v>83.146799999999999</v>
      </c>
      <c r="G17" s="66">
        <f>SUM(C17:F17)</f>
        <v>332.5872</v>
      </c>
      <c r="H17" s="126" t="s">
        <v>121</v>
      </c>
      <c r="I17" s="201">
        <f>SUM(K17*M17)</f>
        <v>27.715599999999998</v>
      </c>
      <c r="J17" s="201" t="s">
        <v>238</v>
      </c>
      <c r="K17" s="201">
        <v>2.1999999999999999E-2</v>
      </c>
      <c r="L17" s="201"/>
      <c r="M17" s="201">
        <f>SUM(J1)</f>
        <v>1259.8</v>
      </c>
      <c r="N17" s="203"/>
      <c r="O17" s="201">
        <f>SUM(Q17*S17)</f>
        <v>27.715599999999998</v>
      </c>
      <c r="P17" s="201" t="s">
        <v>238</v>
      </c>
      <c r="Q17" s="201">
        <v>2.1999999999999999E-2</v>
      </c>
      <c r="R17" s="201"/>
      <c r="S17" s="201">
        <f>SUM(J1)</f>
        <v>1259.8</v>
      </c>
      <c r="T17" s="203"/>
      <c r="U17" s="201">
        <f>SUM(W17*Y17)</f>
        <v>27.715599999999998</v>
      </c>
      <c r="V17" s="201" t="s">
        <v>238</v>
      </c>
      <c r="W17" s="201">
        <v>2.1999999999999999E-2</v>
      </c>
      <c r="X17" s="201"/>
      <c r="Y17" s="201">
        <f>SUM(J1)</f>
        <v>1259.8</v>
      </c>
    </row>
    <row r="18" spans="1:35" ht="40.5" customHeight="1" outlineLevel="1">
      <c r="A18" s="21"/>
      <c r="B18" s="7" t="s">
        <v>14</v>
      </c>
      <c r="C18" s="6">
        <f>$I$18*3</f>
        <v>110.88</v>
      </c>
      <c r="D18" s="6">
        <f t="shared" ref="D18:F18" si="6">$I$18*3</f>
        <v>110.88</v>
      </c>
      <c r="E18" s="6">
        <f t="shared" si="6"/>
        <v>110.88</v>
      </c>
      <c r="F18" s="6">
        <f t="shared" si="6"/>
        <v>110.88</v>
      </c>
      <c r="G18" s="66">
        <f>SUM(C18:F18)</f>
        <v>443.52</v>
      </c>
      <c r="H18" s="126" t="s">
        <v>122</v>
      </c>
      <c r="I18" s="201">
        <f>SUM(K18*M18)*1.5</f>
        <v>36.96</v>
      </c>
      <c r="J18" s="201" t="s">
        <v>129</v>
      </c>
      <c r="K18" s="201">
        <v>0.88</v>
      </c>
      <c r="L18" s="201"/>
      <c r="M18" s="201">
        <f>SUM(J4+K4)</f>
        <v>28</v>
      </c>
      <c r="N18" s="203"/>
      <c r="O18" s="201">
        <f>SUM(Q18*S18)*1.5</f>
        <v>36.96</v>
      </c>
      <c r="P18" s="201" t="s">
        <v>129</v>
      </c>
      <c r="Q18" s="201">
        <v>0.88</v>
      </c>
      <c r="R18" s="201"/>
      <c r="S18" s="201">
        <f>SUM(J4+K4)</f>
        <v>28</v>
      </c>
      <c r="T18" s="203"/>
      <c r="U18" s="201">
        <f>SUM(W18*Y18)*1.5</f>
        <v>36.96</v>
      </c>
      <c r="V18" s="201" t="s">
        <v>129</v>
      </c>
      <c r="W18" s="201">
        <v>0.88</v>
      </c>
      <c r="X18" s="201"/>
      <c r="Y18" s="201">
        <f>SUM(J4+K4)</f>
        <v>28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192.78</v>
      </c>
      <c r="D20" s="15">
        <f t="shared" ref="D20:F20" si="7">SUM(D21:D22)</f>
        <v>192.78</v>
      </c>
      <c r="E20" s="15">
        <f t="shared" si="7"/>
        <v>192.78</v>
      </c>
      <c r="F20" s="15">
        <f t="shared" si="7"/>
        <v>192.78</v>
      </c>
      <c r="G20" s="5">
        <f>SUM(G21:G22)</f>
        <v>771.12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66.78</v>
      </c>
      <c r="D21" s="8">
        <f>SUM(M21*3)</f>
        <v>66.78</v>
      </c>
      <c r="E21" s="8">
        <f>SUM(M21*3)</f>
        <v>66.78</v>
      </c>
      <c r="F21" s="8">
        <f>SUM(M21*3)</f>
        <v>66.78</v>
      </c>
      <c r="G21" s="66">
        <f>SUM(C21:F21)</f>
        <v>267.12</v>
      </c>
      <c r="H21" s="125" t="s">
        <v>117</v>
      </c>
      <c r="I21" s="94">
        <f>SUM(J5)</f>
        <v>21</v>
      </c>
      <c r="J21" s="95"/>
      <c r="K21" s="95">
        <v>1.06</v>
      </c>
      <c r="L21" s="95"/>
      <c r="M21" s="96">
        <f>I21*K21</f>
        <v>22.26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126</v>
      </c>
      <c r="D22" s="18">
        <f>SUM(M22*3)</f>
        <v>126</v>
      </c>
      <c r="E22" s="18">
        <f>SUM(M22*3)</f>
        <v>126</v>
      </c>
      <c r="F22" s="18">
        <f>SUM(M22*3)</f>
        <v>126</v>
      </c>
      <c r="G22" s="67">
        <f>SUM(C22:F22)</f>
        <v>504</v>
      </c>
      <c r="H22" s="126" t="s">
        <v>124</v>
      </c>
      <c r="I22" s="97">
        <f>SUM(J5)</f>
        <v>21</v>
      </c>
      <c r="J22" s="98"/>
      <c r="K22" s="98">
        <v>2</v>
      </c>
      <c r="L22" s="98"/>
      <c r="M22" s="99">
        <f>I22*K22</f>
        <v>42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3514.8420000000001</v>
      </c>
      <c r="D23" s="15">
        <f t="shared" ref="D23:F23" si="8">SUM(D24:D25)</f>
        <v>3514.8420000000001</v>
      </c>
      <c r="E23" s="15">
        <f t="shared" si="8"/>
        <v>3514.8420000000001</v>
      </c>
      <c r="F23" s="15">
        <f t="shared" si="8"/>
        <v>3514.8420000000001</v>
      </c>
      <c r="G23" s="5">
        <f>SUM(G24:G25)</f>
        <v>14059.368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2343.2280000000001</v>
      </c>
      <c r="D24" s="6">
        <f>SUM(M24*3)</f>
        <v>2343.2280000000001</v>
      </c>
      <c r="E24" s="6">
        <f>SUM(M24*3)</f>
        <v>2343.2280000000001</v>
      </c>
      <c r="F24" s="6">
        <f>SUM(M24*3)</f>
        <v>2343.2280000000001</v>
      </c>
      <c r="G24" s="66">
        <f t="shared" ref="G24:G25" si="9">SUM(C24:F24)</f>
        <v>9372.9120000000003</v>
      </c>
      <c r="H24" s="128" t="s">
        <v>126</v>
      </c>
      <c r="I24" s="88">
        <f>SUM(J1)</f>
        <v>1259.8</v>
      </c>
      <c r="J24" s="89"/>
      <c r="K24" s="95">
        <v>0.62</v>
      </c>
      <c r="L24" s="95"/>
      <c r="M24" s="90">
        <f>SUM(I24*K24)</f>
        <v>781.07600000000002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1171.614</v>
      </c>
      <c r="D25" s="18">
        <f>SUM(M25*3)</f>
        <v>1171.614</v>
      </c>
      <c r="E25" s="18">
        <f>SUM(M25*3)</f>
        <v>1171.614</v>
      </c>
      <c r="F25" s="18">
        <f>SUM(M25*3)</f>
        <v>1171.614</v>
      </c>
      <c r="G25" s="67">
        <f t="shared" si="9"/>
        <v>4686.4560000000001</v>
      </c>
      <c r="H25" s="128" t="s">
        <v>127</v>
      </c>
      <c r="I25" s="91">
        <f>SUM(J1)</f>
        <v>1259.8</v>
      </c>
      <c r="J25" s="93"/>
      <c r="K25" s="98">
        <v>0.31</v>
      </c>
      <c r="L25" s="98"/>
      <c r="M25" s="92">
        <f>SUM(I25*K25)</f>
        <v>390.53800000000001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21</v>
      </c>
      <c r="J27" s="205"/>
      <c r="K27" s="206">
        <v>0.28000000000000003</v>
      </c>
      <c r="L27" s="205"/>
      <c r="M27" s="211">
        <f>SUM(I27*K27)</f>
        <v>5.8800000000000008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5069.8301700000002</v>
      </c>
      <c r="D29" s="41">
        <f>D9+D16+D20+D23+D26</f>
        <v>5069.8301700000002</v>
      </c>
      <c r="E29" s="41">
        <f>E9+E16+E20+E23+E26</f>
        <v>5069.8301700000002</v>
      </c>
      <c r="F29" s="41">
        <f>F9+F16+F20+F23+F26</f>
        <v>5069.8301700000002</v>
      </c>
      <c r="G29" s="42">
        <f t="shared" si="11"/>
        <v>20279.320680000001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1079.1884193968829</v>
      </c>
      <c r="D31" s="53">
        <f>SUM(D32:D35)</f>
        <v>1079.1884193968829</v>
      </c>
      <c r="E31" s="53">
        <f>SUM(E32:E35)</f>
        <v>1079.1884193968829</v>
      </c>
      <c r="F31" s="53">
        <f>SUM(F32:F35)</f>
        <v>1079.1884193968829</v>
      </c>
      <c r="G31" s="53">
        <f>SUM(G32:G35)</f>
        <v>4316.7536775875315</v>
      </c>
      <c r="H31" s="128" t="s">
        <v>253</v>
      </c>
      <c r="I31" s="88">
        <f>SUM(O1)</f>
        <v>1259.8</v>
      </c>
      <c r="J31" s="89"/>
      <c r="K31" s="95">
        <v>0.62</v>
      </c>
      <c r="L31" s="95"/>
      <c r="M31" s="90">
        <f>SUM(I31*K31)</f>
        <v>781.07600000000002</v>
      </c>
    </row>
    <row r="32" spans="1:35" ht="20.100000000000001" customHeight="1" thickBot="1">
      <c r="A32" s="35"/>
      <c r="B32" s="7" t="s">
        <v>3</v>
      </c>
      <c r="C32" s="32">
        <f>C10</f>
        <v>528.36012000000005</v>
      </c>
      <c r="D32" s="32">
        <f>D10</f>
        <v>528.36012000000005</v>
      </c>
      <c r="E32" s="32">
        <f>E10</f>
        <v>528.36012000000005</v>
      </c>
      <c r="F32" s="32">
        <f>F10</f>
        <v>528.36012000000005</v>
      </c>
      <c r="G32" s="62">
        <f>SUM(C32:F32)</f>
        <v>2113.4404800000002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165.15978000000001</v>
      </c>
      <c r="D33" s="32">
        <f t="shared" si="12"/>
        <v>165.15978000000001</v>
      </c>
      <c r="E33" s="32">
        <f t="shared" si="12"/>
        <v>165.15978000000001</v>
      </c>
      <c r="F33" s="32">
        <f t="shared" si="12"/>
        <v>165.15978000000001</v>
      </c>
      <c r="G33" s="62">
        <f>SUM(C33:F33)</f>
        <v>660.63912000000005</v>
      </c>
    </row>
    <row r="34" spans="1:7" ht="57.75" customHeight="1">
      <c r="A34" s="35"/>
      <c r="B34" s="7" t="s">
        <v>41</v>
      </c>
      <c r="C34" s="32">
        <f>Площадь!D13</f>
        <v>385.66851939688286</v>
      </c>
      <c r="D34" s="32">
        <f>C34</f>
        <v>385.66851939688286</v>
      </c>
      <c r="E34" s="32">
        <f t="shared" ref="E34:F34" si="13">D34</f>
        <v>385.66851939688286</v>
      </c>
      <c r="F34" s="32">
        <f t="shared" si="13"/>
        <v>385.66851939688286</v>
      </c>
      <c r="G34" s="62">
        <f>SUM(C34:F34)</f>
        <v>1542.6740775875314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192.78</v>
      </c>
      <c r="D39" s="53">
        <f t="shared" ref="D39:G39" si="15">SUM(D40:D41)</f>
        <v>192.78</v>
      </c>
      <c r="E39" s="53">
        <f t="shared" si="15"/>
        <v>192.78</v>
      </c>
      <c r="F39" s="53">
        <f t="shared" si="15"/>
        <v>192.78</v>
      </c>
      <c r="G39" s="53">
        <f t="shared" si="15"/>
        <v>771.12</v>
      </c>
    </row>
    <row r="40" spans="1:7" ht="20.100000000000001" customHeight="1">
      <c r="A40" s="35"/>
      <c r="B40" s="7" t="s">
        <v>40</v>
      </c>
      <c r="C40" s="32">
        <f t="shared" ref="C40:F41" si="16">C21</f>
        <v>66.78</v>
      </c>
      <c r="D40" s="32">
        <f t="shared" si="16"/>
        <v>66.78</v>
      </c>
      <c r="E40" s="32">
        <f t="shared" si="16"/>
        <v>66.78</v>
      </c>
      <c r="F40" s="32">
        <f t="shared" si="16"/>
        <v>66.78</v>
      </c>
      <c r="G40" s="62">
        <f>SUM(C40:F40)</f>
        <v>267.12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126</v>
      </c>
      <c r="D41" s="46">
        <f t="shared" si="16"/>
        <v>126</v>
      </c>
      <c r="E41" s="46">
        <f t="shared" si="16"/>
        <v>126</v>
      </c>
      <c r="F41" s="46">
        <f t="shared" si="16"/>
        <v>126</v>
      </c>
      <c r="G41" s="62">
        <f>SUM(C41:F41)</f>
        <v>504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2360.8679999999999</v>
      </c>
      <c r="D42" s="53">
        <f>SUM(D43:D58)</f>
        <v>2360.8679999999999</v>
      </c>
      <c r="E42" s="53">
        <f>SUM(E43:E58)</f>
        <v>2360.8679999999999</v>
      </c>
      <c r="F42" s="53">
        <f>SUM(F43:F58)</f>
        <v>2360.8679999999999</v>
      </c>
      <c r="G42" s="55">
        <f t="shared" ref="G42:G51" si="17">SUM(C42:F42)</f>
        <v>9443.4719999999998</v>
      </c>
    </row>
    <row r="43" spans="1:7" ht="20.100000000000001" customHeight="1">
      <c r="A43" s="47"/>
      <c r="B43" s="38" t="s">
        <v>38</v>
      </c>
      <c r="C43" s="32">
        <f>SUM(M31*3)</f>
        <v>2343.2280000000001</v>
      </c>
      <c r="D43" s="32">
        <f>SUM(M31*3)</f>
        <v>2343.2280000000001</v>
      </c>
      <c r="E43" s="32">
        <f>SUM(M31*3)</f>
        <v>2343.2280000000001</v>
      </c>
      <c r="F43" s="32">
        <f>SUM(M31*3)</f>
        <v>2343.2280000000001</v>
      </c>
      <c r="G43" s="62">
        <f t="shared" si="17"/>
        <v>9372.9120000000003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17.64</v>
      </c>
      <c r="D51" s="32">
        <f>SUM(M27*3)</f>
        <v>17.64</v>
      </c>
      <c r="E51" s="32">
        <f>SUM(M27*3)</f>
        <v>17.64</v>
      </c>
      <c r="F51" s="32">
        <f>SUM(M27*3)</f>
        <v>17.64</v>
      </c>
      <c r="G51" s="62">
        <f t="shared" si="17"/>
        <v>70.56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3632.8364193968828</v>
      </c>
      <c r="D59" s="30">
        <f>D31+D36+D39+D42</f>
        <v>3632.8364193968828</v>
      </c>
      <c r="E59" s="30">
        <f>E31+E36+E39+E42</f>
        <v>3632.8364193968828</v>
      </c>
      <c r="F59" s="30">
        <f>F31+F36+F39+F42</f>
        <v>3632.8364193968828</v>
      </c>
      <c r="G59" s="31">
        <f>G31+G36+G39+G42</f>
        <v>14531.345677587531</v>
      </c>
    </row>
    <row r="60" spans="1:14" ht="26.1" hidden="1" customHeight="1" outlineLevel="1">
      <c r="A60" s="100"/>
      <c r="B60" s="60"/>
      <c r="C60" s="61">
        <f>C29-C59</f>
        <v>1436.9937506031174</v>
      </c>
      <c r="D60" s="61">
        <f>D29-D59</f>
        <v>1436.9937506031174</v>
      </c>
      <c r="E60" s="61">
        <f>E29-E59</f>
        <v>1436.9937506031174</v>
      </c>
      <c r="F60" s="61">
        <f>F29-F59</f>
        <v>1436.9937506031174</v>
      </c>
      <c r="G60" s="61">
        <f>G29-G59</f>
        <v>5747.9750024124696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2.3283215999999998</v>
      </c>
      <c r="D77" s="56">
        <f>D16*1.2/100</f>
        <v>2.3283215999999998</v>
      </c>
      <c r="E77" s="56">
        <f>E16*1.2/100</f>
        <v>2.3283215999999998</v>
      </c>
      <c r="F77" s="56">
        <f>F16*1.2/100</f>
        <v>2.3283215999999998</v>
      </c>
    </row>
    <row r="78" spans="1:15" hidden="1">
      <c r="A78" s="59"/>
      <c r="C78" s="56">
        <f>(C16-C77)*0.5/100</f>
        <v>0.9584923919999998</v>
      </c>
      <c r="D78" s="56">
        <f>(D16-D77)*0.5/100</f>
        <v>0.9584923919999998</v>
      </c>
      <c r="E78" s="56">
        <f>(E16-E77)*0.5/100</f>
        <v>0.9584923919999998</v>
      </c>
      <c r="F78" s="56">
        <f>(F16-F77)*0.5/100</f>
        <v>0.9584923919999998</v>
      </c>
    </row>
    <row r="79" spans="1:15" hidden="1">
      <c r="C79" s="3">
        <f>C9*1.2/100</f>
        <v>14.018176439999998</v>
      </c>
      <c r="D79" s="3">
        <f>D9*1.2/100</f>
        <v>14.01817644</v>
      </c>
      <c r="E79" s="3">
        <f>E9*1.2/100</f>
        <v>14.01817644</v>
      </c>
      <c r="F79" s="3">
        <f>F9*1.2/100</f>
        <v>14.018176439999998</v>
      </c>
    </row>
    <row r="80" spans="1:15" s="3" customFormat="1" hidden="1">
      <c r="A80" s="2"/>
      <c r="B80" s="2"/>
      <c r="C80" s="3">
        <f>(C9-C79)*4/100</f>
        <v>46.166527742399992</v>
      </c>
      <c r="D80" s="3">
        <f>(D9-D79)*4/100</f>
        <v>46.166527742400007</v>
      </c>
      <c r="E80" s="3">
        <f>(E9-E79)*4/100</f>
        <v>46.166527742400007</v>
      </c>
      <c r="F80" s="3">
        <f>(F9-F79)*4/100</f>
        <v>46.166527742399992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63.471518174399989</v>
      </c>
      <c r="D81" s="3">
        <f t="shared" ref="D81:F81" si="20">SUM(D77:D80)</f>
        <v>63.471518174400003</v>
      </c>
      <c r="E81" s="3">
        <f t="shared" si="20"/>
        <v>63.471518174400003</v>
      </c>
      <c r="F81" s="3">
        <f t="shared" si="20"/>
        <v>63.471518174399989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550B-1BF9-4DD5-A48B-4BD1E7185BDF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SUM(Площадь!L24)</f>
        <v>1259.4000000000001</v>
      </c>
      <c r="K1" s="4" t="s">
        <v>235</v>
      </c>
      <c r="O1" s="2">
        <f>SUM(Площадь!M24)</f>
        <v>1263.5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SUM(Площадь!R24)</f>
        <v>19</v>
      </c>
      <c r="K4" s="4">
        <f>SUM(Площадь!S24)</f>
        <v>8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SUM(Площадь!Q24)</f>
        <v>20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1160.5450140000003</v>
      </c>
      <c r="D9" s="15">
        <f t="shared" ref="D9:F9" si="0">SUM(D10:D15)</f>
        <v>1160.545014</v>
      </c>
      <c r="E9" s="15">
        <f t="shared" si="0"/>
        <v>1160.545014</v>
      </c>
      <c r="F9" s="15">
        <f t="shared" si="0"/>
        <v>1160.5450140000003</v>
      </c>
      <c r="G9" s="15">
        <f>SUM(G10:G15)</f>
        <v>4642.1800560000011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528.19236000000012</v>
      </c>
      <c r="D10" s="9">
        <f>SUM(I10*2+O10*1)</f>
        <v>528.19236000000012</v>
      </c>
      <c r="E10" s="9">
        <f>SUM(O10*2)+U10*1</f>
        <v>528.19236000000012</v>
      </c>
      <c r="F10" s="9">
        <f>SUM(U10*3)</f>
        <v>528.19236000000012</v>
      </c>
      <c r="G10" s="65">
        <f>SUM(C10:F10)</f>
        <v>2112.7694400000005</v>
      </c>
      <c r="H10" s="125" t="s">
        <v>125</v>
      </c>
      <c r="I10" s="201">
        <f>SUM(M10*K10)</f>
        <v>176.06412000000003</v>
      </c>
      <c r="J10" s="201" t="s">
        <v>238</v>
      </c>
      <c r="K10" s="201">
        <v>0.13980000000000001</v>
      </c>
      <c r="L10" s="201"/>
      <c r="M10" s="207">
        <f>SUM(J1)</f>
        <v>1259.4000000000001</v>
      </c>
      <c r="N10" s="202"/>
      <c r="O10" s="201">
        <f>SUM(S10*Q10)</f>
        <v>176.06412000000003</v>
      </c>
      <c r="P10" s="201" t="s">
        <v>238</v>
      </c>
      <c r="Q10" s="201">
        <v>0.13980000000000001</v>
      </c>
      <c r="R10" s="201"/>
      <c r="S10" s="130">
        <f>SUM(J1)</f>
        <v>1259.4000000000001</v>
      </c>
      <c r="T10" s="202"/>
      <c r="U10" s="201">
        <f>SUM(Y10*W10)</f>
        <v>176.06412000000003</v>
      </c>
      <c r="V10" s="201" t="s">
        <v>238</v>
      </c>
      <c r="W10" s="201">
        <v>0.13980000000000001</v>
      </c>
      <c r="X10" s="201"/>
      <c r="Y10" s="130">
        <f>SUM(J1)</f>
        <v>1259.4000000000001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1259.4000000000001</v>
      </c>
      <c r="N11" s="202"/>
      <c r="O11" s="201"/>
      <c r="P11" s="201" t="s">
        <v>238</v>
      </c>
      <c r="Q11" s="201"/>
      <c r="R11" s="201">
        <v>0.15</v>
      </c>
      <c r="S11" s="201">
        <f>SUM(J1)</f>
        <v>1259.4000000000001</v>
      </c>
      <c r="T11" s="202"/>
      <c r="U11" s="201"/>
      <c r="V11" s="201" t="s">
        <v>238</v>
      </c>
      <c r="W11" s="201"/>
      <c r="X11" s="201">
        <v>0.15</v>
      </c>
      <c r="Y11" s="130">
        <f>SUM(J1)</f>
        <v>1259.4000000000001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165.10734000000002</v>
      </c>
      <c r="D13" s="9">
        <f>SUM(I13*2+O13)</f>
        <v>165.10734000000002</v>
      </c>
      <c r="E13" s="9">
        <f>SUM(O13*2+U13)</f>
        <v>165.10734000000002</v>
      </c>
      <c r="F13" s="9">
        <f>SUM(U13*3)</f>
        <v>165.10734000000002</v>
      </c>
      <c r="G13" s="65">
        <f t="shared" ref="G13:G14" si="1">SUM(C13:F13)</f>
        <v>660.42936000000009</v>
      </c>
      <c r="H13" s="125" t="s">
        <v>120</v>
      </c>
      <c r="I13" s="201">
        <f>SUM(K13*M13)</f>
        <v>55.03578000000001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1259.4000000000001</v>
      </c>
      <c r="N13" s="203"/>
      <c r="O13" s="201">
        <f>SUM(Q13*S13)</f>
        <v>55.03578000000001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1259.4000000000001</v>
      </c>
      <c r="T13" s="203"/>
      <c r="U13" s="201">
        <f>SUM(W13*Y13)</f>
        <v>55.03578000000001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1259.4000000000001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260.50689</v>
      </c>
      <c r="D14" s="9">
        <f>SUM(I14*2+O14)</f>
        <v>260.50689</v>
      </c>
      <c r="E14" s="9">
        <f>SUM(O14*2+U14)</f>
        <v>260.50689</v>
      </c>
      <c r="F14" s="9">
        <f>SUM(U14*3)</f>
        <v>260.50689</v>
      </c>
      <c r="G14" s="65">
        <f t="shared" si="1"/>
        <v>1042.02756</v>
      </c>
      <c r="H14" s="125" t="s">
        <v>11</v>
      </c>
      <c r="I14" s="201">
        <f>SUM(K14+L14)/2*M14</f>
        <v>86.835630000000009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1259.4000000000001</v>
      </c>
      <c r="N14" s="203"/>
      <c r="O14" s="201">
        <f>SUM(Q14+R14)/2*S14</f>
        <v>86.835630000000009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1259.4000000000001</v>
      </c>
      <c r="T14" s="203"/>
      <c r="U14" s="201">
        <f>SUM(W14+X14)/2*Y14</f>
        <v>86.835630000000009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1259.4000000000001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206.73842400000001</v>
      </c>
      <c r="D15" s="6">
        <f>SUM(I15+I16)*2+O15+O16</f>
        <v>206.73842399999998</v>
      </c>
      <c r="E15" s="6">
        <f>SUM(O15+O16)*2+U15+U16</f>
        <v>206.73842399999998</v>
      </c>
      <c r="F15" s="6">
        <f>SUM(U15+U16)*3</f>
        <v>206.73842400000001</v>
      </c>
      <c r="G15" s="65">
        <f t="shared" ref="G15" si="2">SUM(C15:F15)</f>
        <v>826.95369600000004</v>
      </c>
      <c r="H15" s="125" t="s">
        <v>118</v>
      </c>
      <c r="I15" s="201">
        <f>SUM(J15*K15*M15)</f>
        <v>46.444967999999996</v>
      </c>
      <c r="J15" s="201">
        <v>0.24</v>
      </c>
      <c r="K15" s="201">
        <v>10.1853</v>
      </c>
      <c r="L15" s="201"/>
      <c r="M15" s="208">
        <f>SUM(J4)</f>
        <v>19</v>
      </c>
      <c r="N15" s="203"/>
      <c r="O15" s="201">
        <f>SUM(P15*Q15*S15)</f>
        <v>46.444967999999996</v>
      </c>
      <c r="P15" s="201">
        <v>0.24</v>
      </c>
      <c r="Q15" s="201">
        <v>10.1853</v>
      </c>
      <c r="R15" s="201"/>
      <c r="S15" s="201">
        <f>SUM(J4)</f>
        <v>19</v>
      </c>
      <c r="T15" s="203"/>
      <c r="U15" s="201">
        <f>SUM(V15*W15*Y15)</f>
        <v>46.444967999999996</v>
      </c>
      <c r="V15" s="201">
        <v>0.24</v>
      </c>
      <c r="W15" s="201">
        <v>10.1853</v>
      </c>
      <c r="X15" s="201"/>
      <c r="Y15" s="201">
        <f>SUM(J4)</f>
        <v>19</v>
      </c>
    </row>
    <row r="16" spans="1:26" ht="20.100000000000001" customHeight="1">
      <c r="A16" s="102">
        <v>2</v>
      </c>
      <c r="B16" s="20" t="s">
        <v>16</v>
      </c>
      <c r="C16" s="27">
        <f>SUM(C17:C19)</f>
        <v>190.04040000000001</v>
      </c>
      <c r="D16" s="27">
        <f t="shared" ref="D16:F16" si="3">SUM(D17:D19)</f>
        <v>190.04040000000001</v>
      </c>
      <c r="E16" s="27">
        <f t="shared" si="3"/>
        <v>190.04040000000001</v>
      </c>
      <c r="F16" s="27">
        <f t="shared" si="3"/>
        <v>190.04040000000001</v>
      </c>
      <c r="G16" s="27">
        <f t="shared" ref="G16" si="4">SUM(G17:G19)</f>
        <v>760.16160000000002</v>
      </c>
      <c r="H16" s="125"/>
      <c r="I16" s="201">
        <f>SUM(J16*L16*M16)</f>
        <v>22.467839999999999</v>
      </c>
      <c r="J16" s="201">
        <v>0.24</v>
      </c>
      <c r="K16" s="201"/>
      <c r="L16" s="201">
        <v>11.702</v>
      </c>
      <c r="M16" s="201">
        <f>SUM(K4)</f>
        <v>8</v>
      </c>
      <c r="O16" s="201">
        <f>SUM(P16*R16*S16)</f>
        <v>22.467839999999999</v>
      </c>
      <c r="P16" s="201">
        <v>0.24</v>
      </c>
      <c r="Q16" s="201"/>
      <c r="R16" s="201">
        <v>11.702</v>
      </c>
      <c r="S16" s="201">
        <f>SUM(K4)</f>
        <v>8</v>
      </c>
      <c r="U16" s="201">
        <f>SUM(V16*X16*Y16)</f>
        <v>22.467839999999999</v>
      </c>
      <c r="V16" s="201">
        <v>0.24</v>
      </c>
      <c r="W16" s="201"/>
      <c r="X16" s="201">
        <v>11.702</v>
      </c>
      <c r="Y16" s="201">
        <f>SUM(K4)</f>
        <v>8</v>
      </c>
    </row>
    <row r="17" spans="1:35" ht="39" customHeight="1" outlineLevel="1">
      <c r="A17" s="21"/>
      <c r="B17" s="7" t="s">
        <v>20</v>
      </c>
      <c r="C17" s="9">
        <f>$I$17*3</f>
        <v>83.120400000000004</v>
      </c>
      <c r="D17" s="9">
        <f t="shared" ref="D17:F17" si="5">$I$17*3</f>
        <v>83.120400000000004</v>
      </c>
      <c r="E17" s="9">
        <f t="shared" si="5"/>
        <v>83.120400000000004</v>
      </c>
      <c r="F17" s="9">
        <f t="shared" si="5"/>
        <v>83.120400000000004</v>
      </c>
      <c r="G17" s="66">
        <f>SUM(C17:F17)</f>
        <v>332.48160000000001</v>
      </c>
      <c r="H17" s="126" t="s">
        <v>121</v>
      </c>
      <c r="I17" s="201">
        <f>SUM(K17*M17)</f>
        <v>27.706800000000001</v>
      </c>
      <c r="J17" s="201" t="s">
        <v>238</v>
      </c>
      <c r="K17" s="201">
        <v>2.1999999999999999E-2</v>
      </c>
      <c r="L17" s="201"/>
      <c r="M17" s="201">
        <f>SUM(J1)</f>
        <v>1259.4000000000001</v>
      </c>
      <c r="N17" s="203"/>
      <c r="O17" s="201">
        <f>SUM(Q17*S17)</f>
        <v>27.706800000000001</v>
      </c>
      <c r="P17" s="201" t="s">
        <v>238</v>
      </c>
      <c r="Q17" s="201">
        <v>2.1999999999999999E-2</v>
      </c>
      <c r="R17" s="201"/>
      <c r="S17" s="201">
        <f>SUM(J1)</f>
        <v>1259.4000000000001</v>
      </c>
      <c r="T17" s="203"/>
      <c r="U17" s="201">
        <f>SUM(W17*Y17)</f>
        <v>27.706800000000001</v>
      </c>
      <c r="V17" s="201" t="s">
        <v>238</v>
      </c>
      <c r="W17" s="201">
        <v>2.1999999999999999E-2</v>
      </c>
      <c r="X17" s="201"/>
      <c r="Y17" s="201">
        <f>SUM(J1)</f>
        <v>1259.4000000000001</v>
      </c>
    </row>
    <row r="18" spans="1:35" ht="40.5" customHeight="1" outlineLevel="1">
      <c r="A18" s="21"/>
      <c r="B18" s="7" t="s">
        <v>14</v>
      </c>
      <c r="C18" s="6">
        <f>$I$18*3</f>
        <v>106.92</v>
      </c>
      <c r="D18" s="6">
        <f t="shared" ref="D18:F18" si="6">$I$18*3</f>
        <v>106.92</v>
      </c>
      <c r="E18" s="6">
        <f t="shared" si="6"/>
        <v>106.92</v>
      </c>
      <c r="F18" s="6">
        <f t="shared" si="6"/>
        <v>106.92</v>
      </c>
      <c r="G18" s="66">
        <f>SUM(C18:F18)</f>
        <v>427.68</v>
      </c>
      <c r="H18" s="126" t="s">
        <v>122</v>
      </c>
      <c r="I18" s="201">
        <f>SUM(K18*M18)*1.5</f>
        <v>35.64</v>
      </c>
      <c r="J18" s="201" t="s">
        <v>129</v>
      </c>
      <c r="K18" s="201">
        <v>0.88</v>
      </c>
      <c r="L18" s="201"/>
      <c r="M18" s="201">
        <f>SUM(J4+K4)</f>
        <v>27</v>
      </c>
      <c r="N18" s="203"/>
      <c r="O18" s="201">
        <f>SUM(Q18*S18)*1.5</f>
        <v>35.64</v>
      </c>
      <c r="P18" s="201" t="s">
        <v>129</v>
      </c>
      <c r="Q18" s="201">
        <v>0.88</v>
      </c>
      <c r="R18" s="201"/>
      <c r="S18" s="201">
        <f>SUM(J4+K4)</f>
        <v>27</v>
      </c>
      <c r="T18" s="203"/>
      <c r="U18" s="201">
        <f>SUM(W18*Y18)*1.5</f>
        <v>35.64</v>
      </c>
      <c r="V18" s="201" t="s">
        <v>129</v>
      </c>
      <c r="W18" s="201">
        <v>0.88</v>
      </c>
      <c r="X18" s="201"/>
      <c r="Y18" s="201">
        <f>SUM(J4+K4)</f>
        <v>27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183.60000000000002</v>
      </c>
      <c r="D20" s="15">
        <f t="shared" ref="D20:F20" si="7">SUM(D21:D22)</f>
        <v>183.60000000000002</v>
      </c>
      <c r="E20" s="15">
        <f t="shared" si="7"/>
        <v>183.60000000000002</v>
      </c>
      <c r="F20" s="15">
        <f t="shared" si="7"/>
        <v>183.60000000000002</v>
      </c>
      <c r="G20" s="5">
        <f>SUM(G21:G22)</f>
        <v>734.40000000000009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63.600000000000009</v>
      </c>
      <c r="D21" s="8">
        <f>SUM(M21*3)</f>
        <v>63.600000000000009</v>
      </c>
      <c r="E21" s="8">
        <f>SUM(M21*3)</f>
        <v>63.600000000000009</v>
      </c>
      <c r="F21" s="8">
        <f>SUM(M21*3)</f>
        <v>63.600000000000009</v>
      </c>
      <c r="G21" s="66">
        <f>SUM(C21:F21)</f>
        <v>254.40000000000003</v>
      </c>
      <c r="H21" s="125" t="s">
        <v>117</v>
      </c>
      <c r="I21" s="94">
        <f>SUM(J5)</f>
        <v>20</v>
      </c>
      <c r="J21" s="95"/>
      <c r="K21" s="95">
        <v>1.06</v>
      </c>
      <c r="L21" s="95"/>
      <c r="M21" s="96">
        <f>I21*K21</f>
        <v>21.200000000000003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120</v>
      </c>
      <c r="D22" s="18">
        <f>SUM(M22*3)</f>
        <v>120</v>
      </c>
      <c r="E22" s="18">
        <f>SUM(M22*3)</f>
        <v>120</v>
      </c>
      <c r="F22" s="18">
        <f>SUM(M22*3)</f>
        <v>120</v>
      </c>
      <c r="G22" s="67">
        <f>SUM(C22:F22)</f>
        <v>480</v>
      </c>
      <c r="H22" s="126" t="s">
        <v>124</v>
      </c>
      <c r="I22" s="97">
        <f>SUM(J5)</f>
        <v>20</v>
      </c>
      <c r="J22" s="98"/>
      <c r="K22" s="98">
        <v>2</v>
      </c>
      <c r="L22" s="98"/>
      <c r="M22" s="99">
        <f>I22*K22</f>
        <v>40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3513.7260000000006</v>
      </c>
      <c r="D23" s="15">
        <f t="shared" ref="D23:F23" si="8">SUM(D24:D25)</f>
        <v>3513.7260000000006</v>
      </c>
      <c r="E23" s="15">
        <f t="shared" si="8"/>
        <v>3513.7260000000006</v>
      </c>
      <c r="F23" s="15">
        <f t="shared" si="8"/>
        <v>3513.7260000000006</v>
      </c>
      <c r="G23" s="5">
        <f>SUM(G24:G25)</f>
        <v>14054.904000000002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2342.4840000000004</v>
      </c>
      <c r="D24" s="6">
        <f>SUM(M24*3)</f>
        <v>2342.4840000000004</v>
      </c>
      <c r="E24" s="6">
        <f>SUM(M24*3)</f>
        <v>2342.4840000000004</v>
      </c>
      <c r="F24" s="6">
        <f>SUM(M24*3)</f>
        <v>2342.4840000000004</v>
      </c>
      <c r="G24" s="66">
        <f t="shared" ref="G24:G25" si="9">SUM(C24:F24)</f>
        <v>9369.9360000000015</v>
      </c>
      <c r="H24" s="128" t="s">
        <v>126</v>
      </c>
      <c r="I24" s="88">
        <f>SUM(J1)</f>
        <v>1259.4000000000001</v>
      </c>
      <c r="J24" s="89"/>
      <c r="K24" s="95">
        <v>0.62</v>
      </c>
      <c r="L24" s="95"/>
      <c r="M24" s="90">
        <f>SUM(I24*K24)</f>
        <v>780.82800000000009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1171.2420000000002</v>
      </c>
      <c r="D25" s="18">
        <f>SUM(M25*3)</f>
        <v>1171.2420000000002</v>
      </c>
      <c r="E25" s="18">
        <f>SUM(M25*3)</f>
        <v>1171.2420000000002</v>
      </c>
      <c r="F25" s="18">
        <f>SUM(M25*3)</f>
        <v>1171.2420000000002</v>
      </c>
      <c r="G25" s="67">
        <f t="shared" si="9"/>
        <v>4684.9680000000008</v>
      </c>
      <c r="H25" s="128" t="s">
        <v>127</v>
      </c>
      <c r="I25" s="91">
        <f>SUM(J1)</f>
        <v>1259.4000000000001</v>
      </c>
      <c r="J25" s="93"/>
      <c r="K25" s="98">
        <v>0.31</v>
      </c>
      <c r="L25" s="98"/>
      <c r="M25" s="92">
        <f>SUM(I25*K25)</f>
        <v>390.41400000000004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20</v>
      </c>
      <c r="J27" s="205"/>
      <c r="K27" s="206">
        <v>0.28000000000000003</v>
      </c>
      <c r="L27" s="205"/>
      <c r="M27" s="211">
        <f>SUM(I27*K27)</f>
        <v>5.6000000000000005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5047.9114140000011</v>
      </c>
      <c r="D29" s="41">
        <f>D9+D16+D20+D23+D26</f>
        <v>5047.9114140000001</v>
      </c>
      <c r="E29" s="41">
        <f>E9+E16+E20+E23+E26</f>
        <v>5047.9114140000001</v>
      </c>
      <c r="F29" s="41">
        <f>F9+F16+F20+F23+F26</f>
        <v>5047.9114140000011</v>
      </c>
      <c r="G29" s="42">
        <f t="shared" si="11"/>
        <v>20191.645656000001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1078.8457655091559</v>
      </c>
      <c r="D31" s="53">
        <f>SUM(D32:D35)</f>
        <v>1078.8457655091559</v>
      </c>
      <c r="E31" s="53">
        <f>SUM(E32:E35)</f>
        <v>1078.8457655091559</v>
      </c>
      <c r="F31" s="53">
        <f>SUM(F32:F35)</f>
        <v>1078.8457655091559</v>
      </c>
      <c r="G31" s="53">
        <f>SUM(G32:G35)</f>
        <v>4315.3830620366234</v>
      </c>
      <c r="H31" s="128" t="s">
        <v>253</v>
      </c>
      <c r="I31" s="88">
        <f>SUM(O1)</f>
        <v>1263.5</v>
      </c>
      <c r="J31" s="89"/>
      <c r="K31" s="95">
        <v>0.62</v>
      </c>
      <c r="L31" s="95"/>
      <c r="M31" s="90">
        <f>SUM(I31*K31)</f>
        <v>783.37</v>
      </c>
    </row>
    <row r="32" spans="1:35" ht="20.100000000000001" customHeight="1" thickBot="1">
      <c r="A32" s="35"/>
      <c r="B32" s="7" t="s">
        <v>3</v>
      </c>
      <c r="C32" s="32">
        <f>C10</f>
        <v>528.19236000000012</v>
      </c>
      <c r="D32" s="32">
        <f>D10</f>
        <v>528.19236000000012</v>
      </c>
      <c r="E32" s="32">
        <f>E10</f>
        <v>528.19236000000012</v>
      </c>
      <c r="F32" s="32">
        <f>F10</f>
        <v>528.19236000000012</v>
      </c>
      <c r="G32" s="62">
        <f>SUM(C32:F32)</f>
        <v>2112.7694400000005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165.10734000000002</v>
      </c>
      <c r="D33" s="32">
        <f t="shared" si="12"/>
        <v>165.10734000000002</v>
      </c>
      <c r="E33" s="32">
        <f t="shared" si="12"/>
        <v>165.10734000000002</v>
      </c>
      <c r="F33" s="32">
        <f t="shared" si="12"/>
        <v>165.10734000000002</v>
      </c>
      <c r="G33" s="62">
        <f>SUM(C33:F33)</f>
        <v>660.42936000000009</v>
      </c>
    </row>
    <row r="34" spans="1:7" ht="57.75" customHeight="1">
      <c r="A34" s="35"/>
      <c r="B34" s="7" t="s">
        <v>41</v>
      </c>
      <c r="C34" s="32">
        <f>Площадь!D14</f>
        <v>385.54606550915565</v>
      </c>
      <c r="D34" s="32">
        <f>C34</f>
        <v>385.54606550915565</v>
      </c>
      <c r="E34" s="32">
        <f t="shared" ref="E34:F34" si="13">D34</f>
        <v>385.54606550915565</v>
      </c>
      <c r="F34" s="32">
        <f t="shared" si="13"/>
        <v>385.54606550915565</v>
      </c>
      <c r="G34" s="62">
        <f>SUM(C34:F34)</f>
        <v>1542.1842620366226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183.60000000000002</v>
      </c>
      <c r="D39" s="53">
        <f t="shared" ref="D39:G39" si="15">SUM(D40:D41)</f>
        <v>183.60000000000002</v>
      </c>
      <c r="E39" s="53">
        <f t="shared" si="15"/>
        <v>183.60000000000002</v>
      </c>
      <c r="F39" s="53">
        <f t="shared" si="15"/>
        <v>183.60000000000002</v>
      </c>
      <c r="G39" s="53">
        <f t="shared" si="15"/>
        <v>734.40000000000009</v>
      </c>
    </row>
    <row r="40" spans="1:7" ht="20.100000000000001" customHeight="1">
      <c r="A40" s="35"/>
      <c r="B40" s="7" t="s">
        <v>40</v>
      </c>
      <c r="C40" s="32">
        <f t="shared" ref="C40:F41" si="16">C21</f>
        <v>63.600000000000009</v>
      </c>
      <c r="D40" s="32">
        <f t="shared" si="16"/>
        <v>63.600000000000009</v>
      </c>
      <c r="E40" s="32">
        <f t="shared" si="16"/>
        <v>63.600000000000009</v>
      </c>
      <c r="F40" s="32">
        <f t="shared" si="16"/>
        <v>63.600000000000009</v>
      </c>
      <c r="G40" s="62">
        <f>SUM(C40:F40)</f>
        <v>254.40000000000003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120</v>
      </c>
      <c r="D41" s="46">
        <f t="shared" si="16"/>
        <v>120</v>
      </c>
      <c r="E41" s="46">
        <f t="shared" si="16"/>
        <v>120</v>
      </c>
      <c r="F41" s="46">
        <f t="shared" si="16"/>
        <v>120</v>
      </c>
      <c r="G41" s="62">
        <f>SUM(C41:F41)</f>
        <v>480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2366.9100000000003</v>
      </c>
      <c r="D42" s="53">
        <f>SUM(D43:D58)</f>
        <v>2366.9100000000003</v>
      </c>
      <c r="E42" s="53">
        <f>SUM(E43:E58)</f>
        <v>2366.9100000000003</v>
      </c>
      <c r="F42" s="53">
        <f>SUM(F43:F58)</f>
        <v>2366.9100000000003</v>
      </c>
      <c r="G42" s="55">
        <f t="shared" ref="G42:G51" si="17">SUM(C42:F42)</f>
        <v>9467.6400000000012</v>
      </c>
    </row>
    <row r="43" spans="1:7" ht="20.100000000000001" customHeight="1">
      <c r="A43" s="47"/>
      <c r="B43" s="38" t="s">
        <v>38</v>
      </c>
      <c r="C43" s="32">
        <f>SUM(M31*3)</f>
        <v>2350.11</v>
      </c>
      <c r="D43" s="32">
        <f>SUM(M31*3)</f>
        <v>2350.11</v>
      </c>
      <c r="E43" s="32">
        <f>SUM(M31*3)</f>
        <v>2350.11</v>
      </c>
      <c r="F43" s="32">
        <f>SUM(M31*3)</f>
        <v>2350.11</v>
      </c>
      <c r="G43" s="62">
        <f t="shared" si="17"/>
        <v>9400.44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16.8</v>
      </c>
      <c r="D51" s="32">
        <f>SUM(M27*3)</f>
        <v>16.8</v>
      </c>
      <c r="E51" s="32">
        <f>SUM(M27*3)</f>
        <v>16.8</v>
      </c>
      <c r="F51" s="32">
        <f>SUM(M27*3)</f>
        <v>16.8</v>
      </c>
      <c r="G51" s="62">
        <f t="shared" si="17"/>
        <v>67.2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3629.3557655091563</v>
      </c>
      <c r="D59" s="30">
        <f>D31+D36+D39+D42</f>
        <v>3629.3557655091563</v>
      </c>
      <c r="E59" s="30">
        <f>E31+E36+E39+E42</f>
        <v>3629.3557655091563</v>
      </c>
      <c r="F59" s="30">
        <f>F31+F36+F39+F42</f>
        <v>3629.3557655091563</v>
      </c>
      <c r="G59" s="31">
        <f>G31+G36+G39+G42</f>
        <v>14517.423062036625</v>
      </c>
    </row>
    <row r="60" spans="1:14" ht="26.1" hidden="1" customHeight="1" outlineLevel="1">
      <c r="A60" s="100"/>
      <c r="B60" s="60"/>
      <c r="C60" s="61">
        <f>C29-C59</f>
        <v>1418.5556484908448</v>
      </c>
      <c r="D60" s="61">
        <f>D29-D59</f>
        <v>1418.5556484908439</v>
      </c>
      <c r="E60" s="61">
        <f>E29-E59</f>
        <v>1418.5556484908439</v>
      </c>
      <c r="F60" s="61">
        <f>F29-F59</f>
        <v>1418.5556484908448</v>
      </c>
      <c r="G60" s="61">
        <f>G29-G59</f>
        <v>5674.2225939633754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2.2804848</v>
      </c>
      <c r="D77" s="56">
        <f>D16*1.2/100</f>
        <v>2.2804848</v>
      </c>
      <c r="E77" s="56">
        <f>E16*1.2/100</f>
        <v>2.2804848</v>
      </c>
      <c r="F77" s="56">
        <f>F16*1.2/100</f>
        <v>2.2804848</v>
      </c>
    </row>
    <row r="78" spans="1:15" hidden="1">
      <c r="A78" s="59"/>
      <c r="C78" s="56">
        <f>(C16-C77)*0.5/100</f>
        <v>0.93879957599999997</v>
      </c>
      <c r="D78" s="56">
        <f>(D16-D77)*0.5/100</f>
        <v>0.93879957599999997</v>
      </c>
      <c r="E78" s="56">
        <f>(E16-E77)*0.5/100</f>
        <v>0.93879957599999997</v>
      </c>
      <c r="F78" s="56">
        <f>(F16-F77)*0.5/100</f>
        <v>0.93879957599999997</v>
      </c>
    </row>
    <row r="79" spans="1:15" hidden="1">
      <c r="C79" s="3">
        <f>C9*1.2/100</f>
        <v>13.926540168000004</v>
      </c>
      <c r="D79" s="3">
        <f>D9*1.2/100</f>
        <v>13.926540167999999</v>
      </c>
      <c r="E79" s="3">
        <f>E9*1.2/100</f>
        <v>13.926540167999999</v>
      </c>
      <c r="F79" s="3">
        <f>F9*1.2/100</f>
        <v>13.926540168000004</v>
      </c>
    </row>
    <row r="80" spans="1:15" s="3" customFormat="1" hidden="1">
      <c r="A80" s="2"/>
      <c r="B80" s="2"/>
      <c r="C80" s="3">
        <f>(C9-C79)*4/100</f>
        <v>45.86473895328001</v>
      </c>
      <c r="D80" s="3">
        <f>(D9-D79)*4/100</f>
        <v>45.864738953280003</v>
      </c>
      <c r="E80" s="3">
        <f>(E9-E79)*4/100</f>
        <v>45.864738953280003</v>
      </c>
      <c r="F80" s="3">
        <f>(F9-F79)*4/100</f>
        <v>45.86473895328001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63.010563497280017</v>
      </c>
      <c r="D81" s="3">
        <f t="shared" ref="D81:F81" si="20">SUM(D77:D80)</f>
        <v>63.010563497280003</v>
      </c>
      <c r="E81" s="3">
        <f t="shared" si="20"/>
        <v>63.010563497280003</v>
      </c>
      <c r="F81" s="3">
        <f t="shared" si="20"/>
        <v>63.010563497280017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3FF3-30A9-4FFF-8AB1-0FA28B3071FC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SUM(Площадь!L25)</f>
        <v>1418.4</v>
      </c>
      <c r="K1" s="4" t="s">
        <v>235</v>
      </c>
      <c r="O1" s="2">
        <f>SUM(Площадь!M25)</f>
        <v>1420.9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SUM(Площадь!R25)</f>
        <v>35</v>
      </c>
      <c r="K4" s="4">
        <f>SUM(Площадь!S25)</f>
        <v>2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SUM(Площадь!Q25)</f>
        <v>18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1347.7456800000002</v>
      </c>
      <c r="D9" s="15">
        <f t="shared" ref="D9:F9" si="0">SUM(D10:D15)</f>
        <v>1347.7456800000002</v>
      </c>
      <c r="E9" s="15">
        <f t="shared" si="0"/>
        <v>1347.7456800000002</v>
      </c>
      <c r="F9" s="15">
        <f t="shared" si="0"/>
        <v>1347.7456800000002</v>
      </c>
      <c r="G9" s="15">
        <f>SUM(G10:G15)</f>
        <v>5390.9827200000009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594.87696000000005</v>
      </c>
      <c r="D10" s="9">
        <f>SUM(I10*2+O10*1)</f>
        <v>594.87696000000005</v>
      </c>
      <c r="E10" s="9">
        <f>SUM(O10*2)+U10*1</f>
        <v>594.87696000000005</v>
      </c>
      <c r="F10" s="9">
        <f>SUM(U10*3)</f>
        <v>594.87696000000005</v>
      </c>
      <c r="G10" s="65">
        <f>SUM(C10:F10)</f>
        <v>2379.5078400000002</v>
      </c>
      <c r="H10" s="125" t="s">
        <v>125</v>
      </c>
      <c r="I10" s="201">
        <f>SUM(M10*K10)</f>
        <v>198.29232000000002</v>
      </c>
      <c r="J10" s="201" t="s">
        <v>238</v>
      </c>
      <c r="K10" s="201">
        <v>0.13980000000000001</v>
      </c>
      <c r="L10" s="201"/>
      <c r="M10" s="207">
        <f>SUM(J1)</f>
        <v>1418.4</v>
      </c>
      <c r="N10" s="202"/>
      <c r="O10" s="201">
        <f>SUM(S10*Q10)</f>
        <v>198.29232000000002</v>
      </c>
      <c r="P10" s="201" t="s">
        <v>238</v>
      </c>
      <c r="Q10" s="201">
        <v>0.13980000000000001</v>
      </c>
      <c r="R10" s="201"/>
      <c r="S10" s="130">
        <f>SUM(J1)</f>
        <v>1418.4</v>
      </c>
      <c r="T10" s="202"/>
      <c r="U10" s="201">
        <f>SUM(Y10*W10)</f>
        <v>198.29232000000002</v>
      </c>
      <c r="V10" s="201" t="s">
        <v>238</v>
      </c>
      <c r="W10" s="201">
        <v>0.13980000000000001</v>
      </c>
      <c r="X10" s="201"/>
      <c r="Y10" s="130">
        <f>SUM(J1)</f>
        <v>1418.4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1418.4</v>
      </c>
      <c r="N11" s="202"/>
      <c r="O11" s="201"/>
      <c r="P11" s="201" t="s">
        <v>238</v>
      </c>
      <c r="Q11" s="201"/>
      <c r="R11" s="201">
        <v>0.15</v>
      </c>
      <c r="S11" s="201">
        <f>SUM(J1)</f>
        <v>1418.4</v>
      </c>
      <c r="T11" s="202"/>
      <c r="U11" s="201"/>
      <c r="V11" s="201" t="s">
        <v>238</v>
      </c>
      <c r="W11" s="201"/>
      <c r="X11" s="201">
        <v>0.15</v>
      </c>
      <c r="Y11" s="130">
        <f>SUM(J1)</f>
        <v>1418.4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185.95224000000002</v>
      </c>
      <c r="D13" s="9">
        <f>SUM(I13*2+O13)</f>
        <v>185.95224000000002</v>
      </c>
      <c r="E13" s="9">
        <f>SUM(O13*2+U13)</f>
        <v>185.95224000000002</v>
      </c>
      <c r="F13" s="9">
        <f>SUM(U13*3)</f>
        <v>185.95224000000002</v>
      </c>
      <c r="G13" s="65">
        <f t="shared" ref="G13:G14" si="1">SUM(C13:F13)</f>
        <v>743.80896000000007</v>
      </c>
      <c r="H13" s="125" t="s">
        <v>120</v>
      </c>
      <c r="I13" s="201">
        <f>SUM(K13*M13)</f>
        <v>61.984080000000006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1418.4</v>
      </c>
      <c r="N13" s="203"/>
      <c r="O13" s="201">
        <f>SUM(Q13*S13)</f>
        <v>61.984080000000006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1418.4</v>
      </c>
      <c r="T13" s="203"/>
      <c r="U13" s="201">
        <f>SUM(W13*Y13)</f>
        <v>61.984080000000006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1418.4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293.39604000000003</v>
      </c>
      <c r="D14" s="9">
        <f>SUM(I14*2+O14)</f>
        <v>293.39604000000003</v>
      </c>
      <c r="E14" s="9">
        <f>SUM(O14*2+U14)</f>
        <v>293.39604000000003</v>
      </c>
      <c r="F14" s="9">
        <f>SUM(U14*3)</f>
        <v>293.39604000000003</v>
      </c>
      <c r="G14" s="65">
        <f t="shared" si="1"/>
        <v>1173.5841600000001</v>
      </c>
      <c r="H14" s="125" t="s">
        <v>11</v>
      </c>
      <c r="I14" s="201">
        <f>SUM(K14+L14)/2*M14</f>
        <v>97.798680000000004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1418.4</v>
      </c>
      <c r="N14" s="203"/>
      <c r="O14" s="201">
        <f>SUM(Q14+R14)/2*S14</f>
        <v>97.798680000000004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1418.4</v>
      </c>
      <c r="T14" s="203"/>
      <c r="U14" s="201">
        <f>SUM(W14+X14)/2*Y14</f>
        <v>97.798680000000004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1418.4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273.52044000000001</v>
      </c>
      <c r="D15" s="6">
        <f>SUM(I15+I16)*2+O15+O16</f>
        <v>273.52044000000001</v>
      </c>
      <c r="E15" s="6">
        <f>SUM(O15+O16)*2+U15+U16</f>
        <v>273.52044000000001</v>
      </c>
      <c r="F15" s="6">
        <f>SUM(U15+U16)*3</f>
        <v>273.52044000000001</v>
      </c>
      <c r="G15" s="65">
        <f t="shared" ref="G15" si="2">SUM(C15:F15)</f>
        <v>1094.08176</v>
      </c>
      <c r="H15" s="125" t="s">
        <v>118</v>
      </c>
      <c r="I15" s="201">
        <f>SUM(J15*K15*M15)</f>
        <v>85.556519999999992</v>
      </c>
      <c r="J15" s="201">
        <v>0.24</v>
      </c>
      <c r="K15" s="201">
        <v>10.1853</v>
      </c>
      <c r="L15" s="201"/>
      <c r="M15" s="208">
        <f>SUM(J4)</f>
        <v>35</v>
      </c>
      <c r="N15" s="203"/>
      <c r="O15" s="201">
        <f>SUM(P15*Q15*S15)</f>
        <v>85.556519999999992</v>
      </c>
      <c r="P15" s="201">
        <v>0.24</v>
      </c>
      <c r="Q15" s="201">
        <v>10.1853</v>
      </c>
      <c r="R15" s="201"/>
      <c r="S15" s="201">
        <f>SUM(J4)</f>
        <v>35</v>
      </c>
      <c r="T15" s="203"/>
      <c r="U15" s="201">
        <f>SUM(V15*W15*Y15)</f>
        <v>85.556519999999992</v>
      </c>
      <c r="V15" s="201">
        <v>0.24</v>
      </c>
      <c r="W15" s="201">
        <v>10.1853</v>
      </c>
      <c r="X15" s="201"/>
      <c r="Y15" s="201">
        <f>SUM(J4)</f>
        <v>35</v>
      </c>
    </row>
    <row r="16" spans="1:26" ht="20.100000000000001" customHeight="1">
      <c r="A16" s="102">
        <v>2</v>
      </c>
      <c r="B16" s="20" t="s">
        <v>16</v>
      </c>
      <c r="C16" s="27">
        <f>SUM(C17:C19)</f>
        <v>240.1344</v>
      </c>
      <c r="D16" s="27">
        <f t="shared" ref="D16:F16" si="3">SUM(D17:D19)</f>
        <v>240.1344</v>
      </c>
      <c r="E16" s="27">
        <f t="shared" si="3"/>
        <v>240.1344</v>
      </c>
      <c r="F16" s="27">
        <f t="shared" si="3"/>
        <v>240.1344</v>
      </c>
      <c r="G16" s="27">
        <f t="shared" ref="G16" si="4">SUM(G17:G19)</f>
        <v>960.5376</v>
      </c>
      <c r="H16" s="125"/>
      <c r="I16" s="201">
        <f>SUM(J16*L16*M16)</f>
        <v>5.6169599999999997</v>
      </c>
      <c r="J16" s="201">
        <v>0.24</v>
      </c>
      <c r="K16" s="201"/>
      <c r="L16" s="201">
        <v>11.702</v>
      </c>
      <c r="M16" s="201">
        <f>SUM(K4)</f>
        <v>2</v>
      </c>
      <c r="O16" s="201">
        <f>SUM(P16*R16*S16)</f>
        <v>5.6169599999999997</v>
      </c>
      <c r="P16" s="201">
        <v>0.24</v>
      </c>
      <c r="Q16" s="201"/>
      <c r="R16" s="201">
        <v>11.702</v>
      </c>
      <c r="S16" s="201">
        <f>SUM(K4)</f>
        <v>2</v>
      </c>
      <c r="U16" s="201">
        <f>SUM(V16*X16*Y16)</f>
        <v>5.6169599999999997</v>
      </c>
      <c r="V16" s="201">
        <v>0.24</v>
      </c>
      <c r="W16" s="201"/>
      <c r="X16" s="201">
        <v>11.702</v>
      </c>
      <c r="Y16" s="201">
        <f>SUM(K4)</f>
        <v>2</v>
      </c>
    </row>
    <row r="17" spans="1:35" ht="39" customHeight="1" outlineLevel="1">
      <c r="A17" s="21"/>
      <c r="B17" s="7" t="s">
        <v>20</v>
      </c>
      <c r="C17" s="9">
        <f>$I$17*3</f>
        <v>93.614399999999989</v>
      </c>
      <c r="D17" s="9">
        <f t="shared" ref="D17:F17" si="5">$I$17*3</f>
        <v>93.614399999999989</v>
      </c>
      <c r="E17" s="9">
        <f t="shared" si="5"/>
        <v>93.614399999999989</v>
      </c>
      <c r="F17" s="9">
        <f t="shared" si="5"/>
        <v>93.614399999999989</v>
      </c>
      <c r="G17" s="66">
        <f>SUM(C17:F17)</f>
        <v>374.45759999999996</v>
      </c>
      <c r="H17" s="126" t="s">
        <v>121</v>
      </c>
      <c r="I17" s="201">
        <f>SUM(K17*M17)</f>
        <v>31.204799999999999</v>
      </c>
      <c r="J17" s="201" t="s">
        <v>238</v>
      </c>
      <c r="K17" s="201">
        <v>2.1999999999999999E-2</v>
      </c>
      <c r="L17" s="201"/>
      <c r="M17" s="201">
        <f>SUM(J1)</f>
        <v>1418.4</v>
      </c>
      <c r="N17" s="203"/>
      <c r="O17" s="201">
        <f>SUM(Q17*S17)</f>
        <v>31.204799999999999</v>
      </c>
      <c r="P17" s="201" t="s">
        <v>238</v>
      </c>
      <c r="Q17" s="201">
        <v>2.1999999999999999E-2</v>
      </c>
      <c r="R17" s="201"/>
      <c r="S17" s="201">
        <f>SUM(J1)</f>
        <v>1418.4</v>
      </c>
      <c r="T17" s="203"/>
      <c r="U17" s="201">
        <f>SUM(W17*Y17)</f>
        <v>31.204799999999999</v>
      </c>
      <c r="V17" s="201" t="s">
        <v>238</v>
      </c>
      <c r="W17" s="201">
        <v>2.1999999999999999E-2</v>
      </c>
      <c r="X17" s="201"/>
      <c r="Y17" s="201">
        <f>SUM(J1)</f>
        <v>1418.4</v>
      </c>
    </row>
    <row r="18" spans="1:35" ht="40.5" customHeight="1" outlineLevel="1">
      <c r="A18" s="21"/>
      <c r="B18" s="7" t="s">
        <v>14</v>
      </c>
      <c r="C18" s="6">
        <f>$I$18*3</f>
        <v>146.52000000000001</v>
      </c>
      <c r="D18" s="6">
        <f t="shared" ref="D18:F18" si="6">$I$18*3</f>
        <v>146.52000000000001</v>
      </c>
      <c r="E18" s="6">
        <f t="shared" si="6"/>
        <v>146.52000000000001</v>
      </c>
      <c r="F18" s="6">
        <f t="shared" si="6"/>
        <v>146.52000000000001</v>
      </c>
      <c r="G18" s="66">
        <f>SUM(C18:F18)</f>
        <v>586.08000000000004</v>
      </c>
      <c r="H18" s="126" t="s">
        <v>122</v>
      </c>
      <c r="I18" s="201">
        <f>SUM(K18*M18)*1.5</f>
        <v>48.84</v>
      </c>
      <c r="J18" s="201" t="s">
        <v>129</v>
      </c>
      <c r="K18" s="201">
        <v>0.88</v>
      </c>
      <c r="L18" s="201"/>
      <c r="M18" s="201">
        <f>SUM(J4+K4)</f>
        <v>37</v>
      </c>
      <c r="N18" s="203"/>
      <c r="O18" s="201">
        <f>SUM(Q18*S18)*1.5</f>
        <v>48.84</v>
      </c>
      <c r="P18" s="201" t="s">
        <v>129</v>
      </c>
      <c r="Q18" s="201">
        <v>0.88</v>
      </c>
      <c r="R18" s="201"/>
      <c r="S18" s="201">
        <f>SUM(J4+K4)</f>
        <v>37</v>
      </c>
      <c r="T18" s="203"/>
      <c r="U18" s="201">
        <f>SUM(W18*Y18)*1.5</f>
        <v>48.84</v>
      </c>
      <c r="V18" s="201" t="s">
        <v>129</v>
      </c>
      <c r="W18" s="201">
        <v>0.88</v>
      </c>
      <c r="X18" s="201"/>
      <c r="Y18" s="201">
        <f>SUM(J4+K4)</f>
        <v>37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165.24</v>
      </c>
      <c r="D20" s="15">
        <f t="shared" ref="D20:F20" si="7">SUM(D21:D22)</f>
        <v>165.24</v>
      </c>
      <c r="E20" s="15">
        <f t="shared" si="7"/>
        <v>165.24</v>
      </c>
      <c r="F20" s="15">
        <f t="shared" si="7"/>
        <v>165.24</v>
      </c>
      <c r="G20" s="5">
        <f>SUM(G21:G22)</f>
        <v>660.96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57.240000000000009</v>
      </c>
      <c r="D21" s="8">
        <f>SUM(M21*3)</f>
        <v>57.240000000000009</v>
      </c>
      <c r="E21" s="8">
        <f>SUM(M21*3)</f>
        <v>57.240000000000009</v>
      </c>
      <c r="F21" s="8">
        <f>SUM(M21*3)</f>
        <v>57.240000000000009</v>
      </c>
      <c r="G21" s="66">
        <f>SUM(C21:F21)</f>
        <v>228.96000000000004</v>
      </c>
      <c r="H21" s="125" t="s">
        <v>117</v>
      </c>
      <c r="I21" s="94">
        <f>SUM(J5)</f>
        <v>18</v>
      </c>
      <c r="J21" s="95"/>
      <c r="K21" s="95">
        <v>1.06</v>
      </c>
      <c r="L21" s="95"/>
      <c r="M21" s="96">
        <f>I21*K21</f>
        <v>19.080000000000002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108</v>
      </c>
      <c r="D22" s="18">
        <f>SUM(M22*3)</f>
        <v>108</v>
      </c>
      <c r="E22" s="18">
        <f>SUM(M22*3)</f>
        <v>108</v>
      </c>
      <c r="F22" s="18">
        <f>SUM(M22*3)</f>
        <v>108</v>
      </c>
      <c r="G22" s="67">
        <f>SUM(C22:F22)</f>
        <v>432</v>
      </c>
      <c r="H22" s="126" t="s">
        <v>124</v>
      </c>
      <c r="I22" s="97">
        <f>SUM(J5)</f>
        <v>18</v>
      </c>
      <c r="J22" s="98"/>
      <c r="K22" s="98">
        <v>2</v>
      </c>
      <c r="L22" s="98"/>
      <c r="M22" s="99">
        <f>I22*K22</f>
        <v>36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3957.3360000000002</v>
      </c>
      <c r="D23" s="15">
        <f t="shared" ref="D23:F23" si="8">SUM(D24:D25)</f>
        <v>3957.3360000000002</v>
      </c>
      <c r="E23" s="15">
        <f t="shared" si="8"/>
        <v>3957.3360000000002</v>
      </c>
      <c r="F23" s="15">
        <f t="shared" si="8"/>
        <v>3957.3360000000002</v>
      </c>
      <c r="G23" s="5">
        <f>SUM(G24:G25)</f>
        <v>15829.344000000001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2638.2240000000002</v>
      </c>
      <c r="D24" s="6">
        <f>SUM(M24*3)</f>
        <v>2638.2240000000002</v>
      </c>
      <c r="E24" s="6">
        <f>SUM(M24*3)</f>
        <v>2638.2240000000002</v>
      </c>
      <c r="F24" s="6">
        <f>SUM(M24*3)</f>
        <v>2638.2240000000002</v>
      </c>
      <c r="G24" s="66">
        <f t="shared" ref="G24:G25" si="9">SUM(C24:F24)</f>
        <v>10552.896000000001</v>
      </c>
      <c r="H24" s="128" t="s">
        <v>126</v>
      </c>
      <c r="I24" s="88">
        <f>SUM(J1)</f>
        <v>1418.4</v>
      </c>
      <c r="J24" s="89"/>
      <c r="K24" s="95">
        <v>0.62</v>
      </c>
      <c r="L24" s="95"/>
      <c r="M24" s="90">
        <f>SUM(I24*K24)</f>
        <v>879.40800000000002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1319.1120000000001</v>
      </c>
      <c r="D25" s="18">
        <f>SUM(M25*3)</f>
        <v>1319.1120000000001</v>
      </c>
      <c r="E25" s="18">
        <f>SUM(M25*3)</f>
        <v>1319.1120000000001</v>
      </c>
      <c r="F25" s="18">
        <f>SUM(M25*3)</f>
        <v>1319.1120000000001</v>
      </c>
      <c r="G25" s="67">
        <f t="shared" si="9"/>
        <v>5276.4480000000003</v>
      </c>
      <c r="H25" s="128" t="s">
        <v>127</v>
      </c>
      <c r="I25" s="91">
        <f>SUM(J1)</f>
        <v>1418.4</v>
      </c>
      <c r="J25" s="93"/>
      <c r="K25" s="98">
        <v>0.31</v>
      </c>
      <c r="L25" s="98"/>
      <c r="M25" s="92">
        <f>SUM(I25*K25)</f>
        <v>439.70400000000001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18</v>
      </c>
      <c r="J27" s="205"/>
      <c r="K27" s="206">
        <v>0.28000000000000003</v>
      </c>
      <c r="L27" s="205"/>
      <c r="M27" s="211">
        <f>SUM(I27*K27)</f>
        <v>5.0400000000000009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5710.4560799999999</v>
      </c>
      <c r="D29" s="41">
        <f>D9+D16+D20+D23+D26</f>
        <v>5710.4560799999999</v>
      </c>
      <c r="E29" s="41">
        <f>E9+E16+E20+E23+E26</f>
        <v>5710.4560799999999</v>
      </c>
      <c r="F29" s="41">
        <f>F9+F16+F20+F23+F26</f>
        <v>5710.4560799999999</v>
      </c>
      <c r="G29" s="42">
        <f t="shared" si="11"/>
        <v>22841.82432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1215.0506858807262</v>
      </c>
      <c r="D31" s="53">
        <f>SUM(D32:D35)</f>
        <v>1215.0506858807262</v>
      </c>
      <c r="E31" s="53">
        <f>SUM(E32:E35)</f>
        <v>1215.0506858807262</v>
      </c>
      <c r="F31" s="53">
        <f>SUM(F32:F35)</f>
        <v>1215.0506858807262</v>
      </c>
      <c r="G31" s="53">
        <f>SUM(G32:G35)</f>
        <v>4860.2027435229047</v>
      </c>
      <c r="H31" s="128" t="s">
        <v>253</v>
      </c>
      <c r="I31" s="88">
        <f>SUM(O1)</f>
        <v>1420.9</v>
      </c>
      <c r="J31" s="89"/>
      <c r="K31" s="95">
        <v>0.62</v>
      </c>
      <c r="L31" s="95"/>
      <c r="M31" s="90">
        <f>SUM(I31*K31)</f>
        <v>880.95800000000008</v>
      </c>
    </row>
    <row r="32" spans="1:35" ht="20.100000000000001" customHeight="1" thickBot="1">
      <c r="A32" s="35"/>
      <c r="B32" s="7" t="s">
        <v>3</v>
      </c>
      <c r="C32" s="32">
        <f>C10</f>
        <v>594.87696000000005</v>
      </c>
      <c r="D32" s="32">
        <f>D10</f>
        <v>594.87696000000005</v>
      </c>
      <c r="E32" s="32">
        <f>E10</f>
        <v>594.87696000000005</v>
      </c>
      <c r="F32" s="32">
        <f>F10</f>
        <v>594.87696000000005</v>
      </c>
      <c r="G32" s="62">
        <f>SUM(C32:F32)</f>
        <v>2379.5078400000002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185.95224000000002</v>
      </c>
      <c r="D33" s="32">
        <f t="shared" si="12"/>
        <v>185.95224000000002</v>
      </c>
      <c r="E33" s="32">
        <f t="shared" si="12"/>
        <v>185.95224000000002</v>
      </c>
      <c r="F33" s="32">
        <f t="shared" si="12"/>
        <v>185.95224000000002</v>
      </c>
      <c r="G33" s="62">
        <f>SUM(C33:F33)</f>
        <v>743.80896000000007</v>
      </c>
    </row>
    <row r="34" spans="1:7" ht="57.75" customHeight="1">
      <c r="A34" s="35"/>
      <c r="B34" s="7" t="s">
        <v>41</v>
      </c>
      <c r="C34" s="32">
        <f>Площадь!D15</f>
        <v>434.22148588072605</v>
      </c>
      <c r="D34" s="32">
        <f>C34</f>
        <v>434.22148588072605</v>
      </c>
      <c r="E34" s="32">
        <f t="shared" ref="E34:F34" si="13">D34</f>
        <v>434.22148588072605</v>
      </c>
      <c r="F34" s="32">
        <f t="shared" si="13"/>
        <v>434.22148588072605</v>
      </c>
      <c r="G34" s="62">
        <f>SUM(C34:F34)</f>
        <v>1736.8859435229042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165.24</v>
      </c>
      <c r="D39" s="53">
        <f t="shared" ref="D39:G39" si="15">SUM(D40:D41)</f>
        <v>165.24</v>
      </c>
      <c r="E39" s="53">
        <f t="shared" si="15"/>
        <v>165.24</v>
      </c>
      <c r="F39" s="53">
        <f t="shared" si="15"/>
        <v>165.24</v>
      </c>
      <c r="G39" s="53">
        <f t="shared" si="15"/>
        <v>660.96</v>
      </c>
    </row>
    <row r="40" spans="1:7" ht="20.100000000000001" customHeight="1">
      <c r="A40" s="35"/>
      <c r="B40" s="7" t="s">
        <v>40</v>
      </c>
      <c r="C40" s="32">
        <f t="shared" ref="C40:F41" si="16">C21</f>
        <v>57.240000000000009</v>
      </c>
      <c r="D40" s="32">
        <f t="shared" si="16"/>
        <v>57.240000000000009</v>
      </c>
      <c r="E40" s="32">
        <f t="shared" si="16"/>
        <v>57.240000000000009</v>
      </c>
      <c r="F40" s="32">
        <f t="shared" si="16"/>
        <v>57.240000000000009</v>
      </c>
      <c r="G40" s="62">
        <f>SUM(C40:F40)</f>
        <v>228.96000000000004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108</v>
      </c>
      <c r="D41" s="46">
        <f t="shared" si="16"/>
        <v>108</v>
      </c>
      <c r="E41" s="46">
        <f t="shared" si="16"/>
        <v>108</v>
      </c>
      <c r="F41" s="46">
        <f t="shared" si="16"/>
        <v>108</v>
      </c>
      <c r="G41" s="62">
        <f>SUM(C41:F41)</f>
        <v>432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2657.9940000000001</v>
      </c>
      <c r="D42" s="53">
        <f>SUM(D43:D58)</f>
        <v>2657.9940000000001</v>
      </c>
      <c r="E42" s="53">
        <f>SUM(E43:E58)</f>
        <v>2657.9940000000001</v>
      </c>
      <c r="F42" s="53">
        <f>SUM(F43:F58)</f>
        <v>2657.9940000000001</v>
      </c>
      <c r="G42" s="55">
        <f t="shared" ref="G42:G51" si="17">SUM(C42:F42)</f>
        <v>10631.976000000001</v>
      </c>
    </row>
    <row r="43" spans="1:7" ht="20.100000000000001" customHeight="1">
      <c r="A43" s="47"/>
      <c r="B43" s="38" t="s">
        <v>38</v>
      </c>
      <c r="C43" s="32">
        <f>SUM(M31*3)</f>
        <v>2642.8740000000003</v>
      </c>
      <c r="D43" s="32">
        <f>SUM(M31*3)</f>
        <v>2642.8740000000003</v>
      </c>
      <c r="E43" s="32">
        <f>SUM(M31*3)</f>
        <v>2642.8740000000003</v>
      </c>
      <c r="F43" s="32">
        <f>SUM(M31*3)</f>
        <v>2642.8740000000003</v>
      </c>
      <c r="G43" s="62">
        <f t="shared" si="17"/>
        <v>10571.496000000001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15.120000000000003</v>
      </c>
      <c r="D51" s="32">
        <f>SUM(M27*3)</f>
        <v>15.120000000000003</v>
      </c>
      <c r="E51" s="32">
        <f>SUM(M27*3)</f>
        <v>15.120000000000003</v>
      </c>
      <c r="F51" s="32">
        <f>SUM(M27*3)</f>
        <v>15.120000000000003</v>
      </c>
      <c r="G51" s="62">
        <f t="shared" si="17"/>
        <v>60.480000000000011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4038.2846858807261</v>
      </c>
      <c r="D59" s="30">
        <f>D31+D36+D39+D42</f>
        <v>4038.2846858807261</v>
      </c>
      <c r="E59" s="30">
        <f>E31+E36+E39+E42</f>
        <v>4038.2846858807261</v>
      </c>
      <c r="F59" s="30">
        <f>F31+F36+F39+F42</f>
        <v>4038.2846858807261</v>
      </c>
      <c r="G59" s="31">
        <f>G31+G36+G39+G42</f>
        <v>16153.138743522904</v>
      </c>
    </row>
    <row r="60" spans="1:14" ht="26.1" hidden="1" customHeight="1" outlineLevel="1">
      <c r="A60" s="100"/>
      <c r="B60" s="60"/>
      <c r="C60" s="61">
        <f>C29-C59</f>
        <v>1672.1713941192738</v>
      </c>
      <c r="D60" s="61">
        <f>D29-D59</f>
        <v>1672.1713941192738</v>
      </c>
      <c r="E60" s="61">
        <f>E29-E59</f>
        <v>1672.1713941192738</v>
      </c>
      <c r="F60" s="61">
        <f>F29-F59</f>
        <v>1672.1713941192738</v>
      </c>
      <c r="G60" s="61">
        <f>G29-G59</f>
        <v>6688.6855764770953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2.8816127999999996</v>
      </c>
      <c r="D77" s="56">
        <f>D16*1.2/100</f>
        <v>2.8816127999999996</v>
      </c>
      <c r="E77" s="56">
        <f>E16*1.2/100</f>
        <v>2.8816127999999996</v>
      </c>
      <c r="F77" s="56">
        <f>F16*1.2/100</f>
        <v>2.8816127999999996</v>
      </c>
    </row>
    <row r="78" spans="1:15" hidden="1">
      <c r="A78" s="59"/>
      <c r="C78" s="56">
        <f>(C16-C77)*0.5/100</f>
        <v>1.186263936</v>
      </c>
      <c r="D78" s="56">
        <f>(D16-D77)*0.5/100</f>
        <v>1.186263936</v>
      </c>
      <c r="E78" s="56">
        <f>(E16-E77)*0.5/100</f>
        <v>1.186263936</v>
      </c>
      <c r="F78" s="56">
        <f>(F16-F77)*0.5/100</f>
        <v>1.186263936</v>
      </c>
    </row>
    <row r="79" spans="1:15" hidden="1">
      <c r="C79" s="3">
        <f>C9*1.2/100</f>
        <v>16.172948160000004</v>
      </c>
      <c r="D79" s="3">
        <f>D9*1.2/100</f>
        <v>16.172948160000004</v>
      </c>
      <c r="E79" s="3">
        <f>E9*1.2/100</f>
        <v>16.172948160000004</v>
      </c>
      <c r="F79" s="3">
        <f>F9*1.2/100</f>
        <v>16.172948160000004</v>
      </c>
    </row>
    <row r="80" spans="1:15" s="3" customFormat="1" hidden="1">
      <c r="A80" s="2"/>
      <c r="B80" s="2"/>
      <c r="C80" s="3">
        <f>(C9-C79)*4/100</f>
        <v>53.262909273600009</v>
      </c>
      <c r="D80" s="3">
        <f>(D9-D79)*4/100</f>
        <v>53.262909273600009</v>
      </c>
      <c r="E80" s="3">
        <f>(E9-E79)*4/100</f>
        <v>53.262909273600009</v>
      </c>
      <c r="F80" s="3">
        <f>(F9-F79)*4/100</f>
        <v>53.262909273600009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73.503734169600008</v>
      </c>
      <c r="D81" s="3">
        <f t="shared" ref="D81:F81" si="20">SUM(D77:D80)</f>
        <v>73.503734169600008</v>
      </c>
      <c r="E81" s="3">
        <f t="shared" si="20"/>
        <v>73.503734169600008</v>
      </c>
      <c r="F81" s="3">
        <f t="shared" si="20"/>
        <v>73.503734169600008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351D-2866-4006-939B-4AF16F2BAB1F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7" width="10.140625" style="2"/>
    <col min="18" max="18" width="12.7109375" style="2" customWidth="1"/>
    <col min="19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SUM(Площадь!L26)</f>
        <v>1419.1</v>
      </c>
      <c r="K1" s="4" t="s">
        <v>235</v>
      </c>
      <c r="O1" s="2">
        <f>SUM(Площадь!M26)</f>
        <v>1421.6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SUM(Площадь!R26)</f>
        <v>21</v>
      </c>
      <c r="K4" s="4">
        <f>SUM(Площадь!S26)</f>
        <v>2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SUM(Площадь!Q26)</f>
        <v>17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1245.6080009999998</v>
      </c>
      <c r="D9" s="15">
        <f t="shared" ref="D9:F9" si="0">SUM(D10:D15)</f>
        <v>1245.6080010000001</v>
      </c>
      <c r="E9" s="15">
        <f t="shared" si="0"/>
        <v>1245.6080010000001</v>
      </c>
      <c r="F9" s="15">
        <f t="shared" si="0"/>
        <v>1245.6080009999998</v>
      </c>
      <c r="G9" s="15">
        <f>SUM(G10:G15)</f>
        <v>4982.4320040000002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595.17053999999996</v>
      </c>
      <c r="D10" s="9">
        <f>SUM(I10*2+O10*1)</f>
        <v>595.17053999999996</v>
      </c>
      <c r="E10" s="9">
        <f>SUM(O10*2)+U10*1</f>
        <v>595.17053999999996</v>
      </c>
      <c r="F10" s="9">
        <f>SUM(U10*3)</f>
        <v>595.17053999999996</v>
      </c>
      <c r="G10" s="65">
        <f>SUM(C10:F10)</f>
        <v>2380.6821599999998</v>
      </c>
      <c r="H10" s="125" t="s">
        <v>125</v>
      </c>
      <c r="I10" s="201">
        <f>SUM(M10*K10)</f>
        <v>198.39017999999999</v>
      </c>
      <c r="J10" s="201" t="s">
        <v>238</v>
      </c>
      <c r="K10" s="201">
        <v>0.13980000000000001</v>
      </c>
      <c r="L10" s="201"/>
      <c r="M10" s="207">
        <f>SUM(J1)</f>
        <v>1419.1</v>
      </c>
      <c r="N10" s="202"/>
      <c r="O10" s="201">
        <f>SUM(S10*Q10)</f>
        <v>198.39017999999999</v>
      </c>
      <c r="P10" s="201" t="s">
        <v>238</v>
      </c>
      <c r="Q10" s="201">
        <v>0.13980000000000001</v>
      </c>
      <c r="R10" s="201"/>
      <c r="S10" s="130">
        <f>SUM(J1)</f>
        <v>1419.1</v>
      </c>
      <c r="T10" s="202"/>
      <c r="U10" s="201">
        <f>SUM(Y10*W10)</f>
        <v>198.39017999999999</v>
      </c>
      <c r="V10" s="201" t="s">
        <v>238</v>
      </c>
      <c r="W10" s="201">
        <v>0.13980000000000001</v>
      </c>
      <c r="X10" s="201"/>
      <c r="Y10" s="130">
        <f>SUM(J1)</f>
        <v>1419.1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1419.1</v>
      </c>
      <c r="N11" s="202"/>
      <c r="O11" s="201"/>
      <c r="P11" s="201" t="s">
        <v>238</v>
      </c>
      <c r="Q11" s="201"/>
      <c r="R11" s="201">
        <v>0.15</v>
      </c>
      <c r="S11" s="201">
        <f>SUM(J1)</f>
        <v>1419.1</v>
      </c>
      <c r="T11" s="202"/>
      <c r="U11" s="201"/>
      <c r="V11" s="201" t="s">
        <v>238</v>
      </c>
      <c r="W11" s="201"/>
      <c r="X11" s="201">
        <v>0.15</v>
      </c>
      <c r="Y11" s="130">
        <f>SUM(J1)</f>
        <v>1419.1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186.04401000000001</v>
      </c>
      <c r="D13" s="9">
        <f>SUM(I13*2+O13)</f>
        <v>186.04401000000001</v>
      </c>
      <c r="E13" s="9">
        <f>SUM(O13*2+U13)</f>
        <v>186.04401000000001</v>
      </c>
      <c r="F13" s="9">
        <f>SUM(U13*3)</f>
        <v>186.04401000000001</v>
      </c>
      <c r="G13" s="65">
        <f t="shared" ref="G13:G14" si="1">SUM(C13:F13)</f>
        <v>744.17604000000006</v>
      </c>
      <c r="H13" s="125" t="s">
        <v>120</v>
      </c>
      <c r="I13" s="201">
        <f>SUM(K13*M13)</f>
        <v>62.014670000000002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1419.1</v>
      </c>
      <c r="N13" s="203"/>
      <c r="O13" s="201">
        <f>SUM(Q13*S13)</f>
        <v>62.014670000000002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1419.1</v>
      </c>
      <c r="T13" s="203"/>
      <c r="U13" s="201">
        <f>SUM(W13*Y13)</f>
        <v>62.014670000000002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1419.1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293.54083499999996</v>
      </c>
      <c r="D14" s="9">
        <f>SUM(I14*2+O14)</f>
        <v>293.54083499999996</v>
      </c>
      <c r="E14" s="9">
        <f>SUM(O14*2+U14)</f>
        <v>293.54083499999996</v>
      </c>
      <c r="F14" s="9">
        <f>SUM(U14*3)</f>
        <v>293.54083499999996</v>
      </c>
      <c r="G14" s="65">
        <f t="shared" si="1"/>
        <v>1174.1633399999998</v>
      </c>
      <c r="H14" s="125" t="s">
        <v>11</v>
      </c>
      <c r="I14" s="201">
        <f>SUM(K14+L14)/2*M14</f>
        <v>97.846944999999991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1419.1</v>
      </c>
      <c r="N14" s="203"/>
      <c r="O14" s="201">
        <f>SUM(Q14+R14)/2*S14</f>
        <v>97.846944999999991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1419.1</v>
      </c>
      <c r="T14" s="203"/>
      <c r="U14" s="201">
        <f>SUM(W14+X14)/2*Y14</f>
        <v>97.846944999999991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1419.1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170.85261599999998</v>
      </c>
      <c r="D15" s="6">
        <f>SUM(I15+I16)*2+O15+O16</f>
        <v>170.85261600000001</v>
      </c>
      <c r="E15" s="6">
        <f>SUM(O15+O16)*2+U15+U16</f>
        <v>170.85261600000001</v>
      </c>
      <c r="F15" s="6">
        <f>SUM(U15+U16)*3</f>
        <v>170.85261599999998</v>
      </c>
      <c r="G15" s="65">
        <f t="shared" ref="G15" si="2">SUM(C15:F15)</f>
        <v>683.41046400000005</v>
      </c>
      <c r="H15" s="125" t="s">
        <v>118</v>
      </c>
      <c r="I15" s="201">
        <f>SUM(J15*K15*M15)</f>
        <v>51.333911999999998</v>
      </c>
      <c r="J15" s="201">
        <v>0.24</v>
      </c>
      <c r="K15" s="201">
        <v>10.1853</v>
      </c>
      <c r="L15" s="201"/>
      <c r="M15" s="208">
        <f>SUM(J4)</f>
        <v>21</v>
      </c>
      <c r="N15" s="203"/>
      <c r="O15" s="201">
        <f>SUM(P15*Q15*S15)</f>
        <v>51.333911999999998</v>
      </c>
      <c r="P15" s="201">
        <v>0.24</v>
      </c>
      <c r="Q15" s="201">
        <v>10.1853</v>
      </c>
      <c r="R15" s="201"/>
      <c r="S15" s="201">
        <f>SUM(J4)</f>
        <v>21</v>
      </c>
      <c r="T15" s="203"/>
      <c r="U15" s="201">
        <f>SUM(V15*W15*Y15)</f>
        <v>51.333911999999998</v>
      </c>
      <c r="V15" s="201">
        <v>0.24</v>
      </c>
      <c r="W15" s="201">
        <v>10.1853</v>
      </c>
      <c r="X15" s="201"/>
      <c r="Y15" s="201">
        <f>SUM(J4)</f>
        <v>21</v>
      </c>
    </row>
    <row r="16" spans="1:26" ht="20.100000000000001" customHeight="1">
      <c r="A16" s="102">
        <v>2</v>
      </c>
      <c r="B16" s="20" t="s">
        <v>16</v>
      </c>
      <c r="C16" s="27">
        <f>SUM(C17:C19)</f>
        <v>184.74059999999997</v>
      </c>
      <c r="D16" s="27">
        <f t="shared" ref="D16:F16" si="3">SUM(D17:D19)</f>
        <v>184.74059999999997</v>
      </c>
      <c r="E16" s="27">
        <f t="shared" si="3"/>
        <v>184.74059999999997</v>
      </c>
      <c r="F16" s="27">
        <f t="shared" si="3"/>
        <v>184.74059999999997</v>
      </c>
      <c r="G16" s="27">
        <f t="shared" ref="G16" si="4">SUM(G17:G19)</f>
        <v>738.96239999999989</v>
      </c>
      <c r="H16" s="125"/>
      <c r="I16" s="201">
        <f>SUM(J16*L16*M16)</f>
        <v>5.6169599999999997</v>
      </c>
      <c r="J16" s="201">
        <v>0.24</v>
      </c>
      <c r="K16" s="201"/>
      <c r="L16" s="201">
        <v>11.702</v>
      </c>
      <c r="M16" s="201">
        <f>SUM(K4)</f>
        <v>2</v>
      </c>
      <c r="O16" s="201">
        <f>SUM(P16*R16*S16)</f>
        <v>5.6169599999999997</v>
      </c>
      <c r="P16" s="201">
        <v>0.24</v>
      </c>
      <c r="Q16" s="201"/>
      <c r="R16" s="201">
        <v>11.702</v>
      </c>
      <c r="S16" s="201">
        <f>SUM(K4)</f>
        <v>2</v>
      </c>
      <c r="U16" s="201">
        <f>SUM(V16*X16*Y16)</f>
        <v>5.6169599999999997</v>
      </c>
      <c r="V16" s="201">
        <v>0.24</v>
      </c>
      <c r="W16" s="201"/>
      <c r="X16" s="201">
        <v>11.702</v>
      </c>
      <c r="Y16" s="201">
        <f>SUM(K4)</f>
        <v>2</v>
      </c>
    </row>
    <row r="17" spans="1:35" ht="39" customHeight="1" outlineLevel="1">
      <c r="A17" s="21"/>
      <c r="B17" s="7" t="s">
        <v>20</v>
      </c>
      <c r="C17" s="9">
        <f>$I$17*3</f>
        <v>93.660599999999988</v>
      </c>
      <c r="D17" s="9">
        <f t="shared" ref="D17:F17" si="5">$I$17*3</f>
        <v>93.660599999999988</v>
      </c>
      <c r="E17" s="9">
        <f t="shared" si="5"/>
        <v>93.660599999999988</v>
      </c>
      <c r="F17" s="9">
        <f t="shared" si="5"/>
        <v>93.660599999999988</v>
      </c>
      <c r="G17" s="66">
        <f>SUM(C17:F17)</f>
        <v>374.64239999999995</v>
      </c>
      <c r="H17" s="126" t="s">
        <v>121</v>
      </c>
      <c r="I17" s="201">
        <f>SUM(K17*M17)</f>
        <v>31.220199999999995</v>
      </c>
      <c r="J17" s="201" t="s">
        <v>238</v>
      </c>
      <c r="K17" s="201">
        <v>2.1999999999999999E-2</v>
      </c>
      <c r="L17" s="201"/>
      <c r="M17" s="201">
        <f>SUM(J1)</f>
        <v>1419.1</v>
      </c>
      <c r="N17" s="203"/>
      <c r="O17" s="201">
        <f>SUM(Q17*S17)</f>
        <v>31.220199999999995</v>
      </c>
      <c r="P17" s="201" t="s">
        <v>238</v>
      </c>
      <c r="Q17" s="201">
        <v>2.1999999999999999E-2</v>
      </c>
      <c r="R17" s="201"/>
      <c r="S17" s="201">
        <f>SUM(J1)</f>
        <v>1419.1</v>
      </c>
      <c r="T17" s="203"/>
      <c r="U17" s="201">
        <f>SUM(W17*Y17)</f>
        <v>31.220199999999995</v>
      </c>
      <c r="V17" s="201" t="s">
        <v>238</v>
      </c>
      <c r="W17" s="201">
        <v>2.1999999999999999E-2</v>
      </c>
      <c r="X17" s="201"/>
      <c r="Y17" s="201">
        <f>SUM(J1)</f>
        <v>1419.1</v>
      </c>
    </row>
    <row r="18" spans="1:35" ht="40.5" customHeight="1" outlineLevel="1">
      <c r="A18" s="21"/>
      <c r="B18" s="7" t="s">
        <v>14</v>
      </c>
      <c r="C18" s="6">
        <f>$I$18*3</f>
        <v>91.08</v>
      </c>
      <c r="D18" s="6">
        <f t="shared" ref="D18:F18" si="6">$I$18*3</f>
        <v>91.08</v>
      </c>
      <c r="E18" s="6">
        <f t="shared" si="6"/>
        <v>91.08</v>
      </c>
      <c r="F18" s="6">
        <f t="shared" si="6"/>
        <v>91.08</v>
      </c>
      <c r="G18" s="66">
        <f>SUM(C18:F18)</f>
        <v>364.32</v>
      </c>
      <c r="H18" s="126" t="s">
        <v>122</v>
      </c>
      <c r="I18" s="201">
        <f>SUM(K18*M18)*1.5</f>
        <v>30.36</v>
      </c>
      <c r="J18" s="201" t="s">
        <v>129</v>
      </c>
      <c r="K18" s="201">
        <v>0.88</v>
      </c>
      <c r="L18" s="201"/>
      <c r="M18" s="201">
        <f>SUM(J4+K4)</f>
        <v>23</v>
      </c>
      <c r="N18" s="203"/>
      <c r="O18" s="201">
        <f>SUM(Q18*S18)*1.5</f>
        <v>30.36</v>
      </c>
      <c r="P18" s="201" t="s">
        <v>129</v>
      </c>
      <c r="Q18" s="201">
        <v>0.88</v>
      </c>
      <c r="R18" s="201"/>
      <c r="S18" s="201">
        <f>SUM(J4+K4)</f>
        <v>23</v>
      </c>
      <c r="T18" s="203"/>
      <c r="U18" s="201">
        <f>SUM(W18*Y18)*1.5</f>
        <v>30.36</v>
      </c>
      <c r="V18" s="201" t="s">
        <v>129</v>
      </c>
      <c r="W18" s="201">
        <v>0.88</v>
      </c>
      <c r="X18" s="201"/>
      <c r="Y18" s="201">
        <f>SUM(J4+K4)</f>
        <v>23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156.06</v>
      </c>
      <c r="D20" s="15">
        <f t="shared" ref="D20:F20" si="7">SUM(D21:D22)</f>
        <v>156.06</v>
      </c>
      <c r="E20" s="15">
        <f t="shared" si="7"/>
        <v>156.06</v>
      </c>
      <c r="F20" s="15">
        <f t="shared" si="7"/>
        <v>156.06</v>
      </c>
      <c r="G20" s="5">
        <f>SUM(G21:G22)</f>
        <v>624.24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54.06</v>
      </c>
      <c r="D21" s="8">
        <f>SUM(M21*3)</f>
        <v>54.06</v>
      </c>
      <c r="E21" s="8">
        <f>SUM(M21*3)</f>
        <v>54.06</v>
      </c>
      <c r="F21" s="8">
        <f>SUM(M21*3)</f>
        <v>54.06</v>
      </c>
      <c r="G21" s="66">
        <f>SUM(C21:F21)</f>
        <v>216.24</v>
      </c>
      <c r="H21" s="125" t="s">
        <v>117</v>
      </c>
      <c r="I21" s="94">
        <f>SUM(J5)</f>
        <v>17</v>
      </c>
      <c r="J21" s="95"/>
      <c r="K21" s="95">
        <v>1.06</v>
      </c>
      <c r="L21" s="95"/>
      <c r="M21" s="96">
        <f>I21*K21</f>
        <v>18.02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102</v>
      </c>
      <c r="D22" s="18">
        <f>SUM(M22*3)</f>
        <v>102</v>
      </c>
      <c r="E22" s="18">
        <f>SUM(M22*3)</f>
        <v>102</v>
      </c>
      <c r="F22" s="18">
        <f>SUM(M22*3)</f>
        <v>102</v>
      </c>
      <c r="G22" s="67">
        <f>SUM(C22:F22)</f>
        <v>408</v>
      </c>
      <c r="H22" s="126" t="s">
        <v>124</v>
      </c>
      <c r="I22" s="97">
        <f>SUM(J5)</f>
        <v>17</v>
      </c>
      <c r="J22" s="98"/>
      <c r="K22" s="98">
        <v>2</v>
      </c>
      <c r="L22" s="98"/>
      <c r="M22" s="99">
        <f>I22*K22</f>
        <v>34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3959.2889999999998</v>
      </c>
      <c r="D23" s="15">
        <f t="shared" ref="D23:F23" si="8">SUM(D24:D25)</f>
        <v>3959.2889999999998</v>
      </c>
      <c r="E23" s="15">
        <f t="shared" si="8"/>
        <v>3959.2889999999998</v>
      </c>
      <c r="F23" s="15">
        <f t="shared" si="8"/>
        <v>3959.2889999999998</v>
      </c>
      <c r="G23" s="5">
        <f>SUM(G24:G25)</f>
        <v>15837.155999999999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2639.5259999999998</v>
      </c>
      <c r="D24" s="6">
        <f>SUM(M24*3)</f>
        <v>2639.5259999999998</v>
      </c>
      <c r="E24" s="6">
        <f>SUM(M24*3)</f>
        <v>2639.5259999999998</v>
      </c>
      <c r="F24" s="6">
        <f>SUM(M24*3)</f>
        <v>2639.5259999999998</v>
      </c>
      <c r="G24" s="66">
        <f t="shared" ref="G24:G25" si="9">SUM(C24:F24)</f>
        <v>10558.103999999999</v>
      </c>
      <c r="H24" s="128" t="s">
        <v>126</v>
      </c>
      <c r="I24" s="88">
        <f>SUM(J1)</f>
        <v>1419.1</v>
      </c>
      <c r="J24" s="89"/>
      <c r="K24" s="95">
        <v>0.62</v>
      </c>
      <c r="L24" s="95"/>
      <c r="M24" s="90">
        <f>SUM(I24*K24)</f>
        <v>879.84199999999998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1319.7629999999999</v>
      </c>
      <c r="D25" s="18">
        <f>SUM(M25*3)</f>
        <v>1319.7629999999999</v>
      </c>
      <c r="E25" s="18">
        <f>SUM(M25*3)</f>
        <v>1319.7629999999999</v>
      </c>
      <c r="F25" s="18">
        <f>SUM(M25*3)</f>
        <v>1319.7629999999999</v>
      </c>
      <c r="G25" s="67">
        <f t="shared" si="9"/>
        <v>5279.0519999999997</v>
      </c>
      <c r="H25" s="128" t="s">
        <v>127</v>
      </c>
      <c r="I25" s="91">
        <f>SUM(J1)</f>
        <v>1419.1</v>
      </c>
      <c r="J25" s="93"/>
      <c r="K25" s="98">
        <v>0.31</v>
      </c>
      <c r="L25" s="98"/>
      <c r="M25" s="92">
        <f>SUM(I25*K25)</f>
        <v>439.92099999999999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17</v>
      </c>
      <c r="J27" s="205"/>
      <c r="K27" s="206">
        <v>0.28000000000000003</v>
      </c>
      <c r="L27" s="205"/>
      <c r="M27" s="211">
        <f>SUM(I27*K27)</f>
        <v>4.7600000000000007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5545.6976009999998</v>
      </c>
      <c r="D29" s="41">
        <f>D9+D16+D20+D23+D26</f>
        <v>5545.6976009999998</v>
      </c>
      <c r="E29" s="41">
        <f>E9+E16+E20+E23+E26</f>
        <v>5545.6976009999998</v>
      </c>
      <c r="F29" s="41">
        <f>F9+F16+F20+F23+F26</f>
        <v>5545.6976009999998</v>
      </c>
      <c r="G29" s="42">
        <f t="shared" si="11"/>
        <v>22182.790403999999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1215.6503301842486</v>
      </c>
      <c r="D31" s="53">
        <f>SUM(D32:D35)</f>
        <v>1215.6503301842486</v>
      </c>
      <c r="E31" s="53">
        <f>SUM(E32:E35)</f>
        <v>1215.6503301842486</v>
      </c>
      <c r="F31" s="53">
        <f>SUM(F32:F35)</f>
        <v>1215.6503301842486</v>
      </c>
      <c r="G31" s="53">
        <f>SUM(G32:G35)</f>
        <v>4862.6013207369942</v>
      </c>
      <c r="H31" s="128" t="s">
        <v>253</v>
      </c>
      <c r="I31" s="88">
        <f>SUM(O1)</f>
        <v>1421.6</v>
      </c>
      <c r="J31" s="89"/>
      <c r="K31" s="95">
        <v>0.62</v>
      </c>
      <c r="L31" s="95"/>
      <c r="M31" s="90">
        <f>SUM(I31*K31)</f>
        <v>881.39199999999994</v>
      </c>
    </row>
    <row r="32" spans="1:35" ht="20.100000000000001" customHeight="1" thickBot="1">
      <c r="A32" s="35"/>
      <c r="B32" s="7" t="s">
        <v>3</v>
      </c>
      <c r="C32" s="32">
        <f>C10</f>
        <v>595.17053999999996</v>
      </c>
      <c r="D32" s="32">
        <f>D10</f>
        <v>595.17053999999996</v>
      </c>
      <c r="E32" s="32">
        <f>E10</f>
        <v>595.17053999999996</v>
      </c>
      <c r="F32" s="32">
        <f>F10</f>
        <v>595.17053999999996</v>
      </c>
      <c r="G32" s="62">
        <f>SUM(C32:F32)</f>
        <v>2380.6821599999998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186.04401000000001</v>
      </c>
      <c r="D33" s="32">
        <f t="shared" si="12"/>
        <v>186.04401000000001</v>
      </c>
      <c r="E33" s="32">
        <f t="shared" si="12"/>
        <v>186.04401000000001</v>
      </c>
      <c r="F33" s="32">
        <f t="shared" si="12"/>
        <v>186.04401000000001</v>
      </c>
      <c r="G33" s="62">
        <f>SUM(C33:F33)</f>
        <v>744.17604000000006</v>
      </c>
    </row>
    <row r="34" spans="1:7" ht="57.75" customHeight="1">
      <c r="A34" s="35"/>
      <c r="B34" s="7" t="s">
        <v>41</v>
      </c>
      <c r="C34" s="32">
        <f>Площадь!D16</f>
        <v>434.4357801842487</v>
      </c>
      <c r="D34" s="32">
        <f>C34</f>
        <v>434.4357801842487</v>
      </c>
      <c r="E34" s="32">
        <f t="shared" ref="E34:F34" si="13">D34</f>
        <v>434.4357801842487</v>
      </c>
      <c r="F34" s="32">
        <f t="shared" si="13"/>
        <v>434.4357801842487</v>
      </c>
      <c r="G34" s="62">
        <f>SUM(C34:F34)</f>
        <v>1737.7431207369948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156.06</v>
      </c>
      <c r="D39" s="53">
        <f t="shared" ref="D39:G39" si="15">SUM(D40:D41)</f>
        <v>156.06</v>
      </c>
      <c r="E39" s="53">
        <f t="shared" si="15"/>
        <v>156.06</v>
      </c>
      <c r="F39" s="53">
        <f t="shared" si="15"/>
        <v>156.06</v>
      </c>
      <c r="G39" s="53">
        <f t="shared" si="15"/>
        <v>624.24</v>
      </c>
    </row>
    <row r="40" spans="1:7" ht="20.100000000000001" customHeight="1">
      <c r="A40" s="35"/>
      <c r="B40" s="7" t="s">
        <v>40</v>
      </c>
      <c r="C40" s="32">
        <f t="shared" ref="C40:F41" si="16">C21</f>
        <v>54.06</v>
      </c>
      <c r="D40" s="32">
        <f t="shared" si="16"/>
        <v>54.06</v>
      </c>
      <c r="E40" s="32">
        <f t="shared" si="16"/>
        <v>54.06</v>
      </c>
      <c r="F40" s="32">
        <f t="shared" si="16"/>
        <v>54.06</v>
      </c>
      <c r="G40" s="62">
        <f>SUM(C40:F40)</f>
        <v>216.24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102</v>
      </c>
      <c r="D41" s="46">
        <f t="shared" si="16"/>
        <v>102</v>
      </c>
      <c r="E41" s="46">
        <f t="shared" si="16"/>
        <v>102</v>
      </c>
      <c r="F41" s="46">
        <f t="shared" si="16"/>
        <v>102</v>
      </c>
      <c r="G41" s="62">
        <f>SUM(C41:F41)</f>
        <v>408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2658.4560000000001</v>
      </c>
      <c r="D42" s="53">
        <f>SUM(D43:D58)</f>
        <v>2658.4560000000001</v>
      </c>
      <c r="E42" s="53">
        <f>SUM(E43:E58)</f>
        <v>2658.4560000000001</v>
      </c>
      <c r="F42" s="53">
        <f>SUM(F43:F58)</f>
        <v>2658.4560000000001</v>
      </c>
      <c r="G42" s="55">
        <f t="shared" ref="G42:G51" si="17">SUM(C42:F42)</f>
        <v>10633.824000000001</v>
      </c>
    </row>
    <row r="43" spans="1:7" ht="20.100000000000001" customHeight="1">
      <c r="A43" s="47"/>
      <c r="B43" s="38" t="s">
        <v>38</v>
      </c>
      <c r="C43" s="32">
        <f>SUM(M31*3)</f>
        <v>2644.1759999999999</v>
      </c>
      <c r="D43" s="32">
        <f>SUM(M31*3)</f>
        <v>2644.1759999999999</v>
      </c>
      <c r="E43" s="32">
        <f>SUM(M31*3)</f>
        <v>2644.1759999999999</v>
      </c>
      <c r="F43" s="32">
        <f>SUM(M31*3)</f>
        <v>2644.1759999999999</v>
      </c>
      <c r="G43" s="62">
        <f t="shared" si="17"/>
        <v>10576.704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14.280000000000001</v>
      </c>
      <c r="D51" s="32">
        <f>SUM(M27*3)</f>
        <v>14.280000000000001</v>
      </c>
      <c r="E51" s="32">
        <f>SUM(M27*3)</f>
        <v>14.280000000000001</v>
      </c>
      <c r="F51" s="32">
        <f>SUM(M27*3)</f>
        <v>14.280000000000001</v>
      </c>
      <c r="G51" s="62">
        <f t="shared" si="17"/>
        <v>57.120000000000005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4030.1663301842486</v>
      </c>
      <c r="D59" s="30">
        <f>D31+D36+D39+D42</f>
        <v>4030.1663301842486</v>
      </c>
      <c r="E59" s="30">
        <f>E31+E36+E39+E42</f>
        <v>4030.1663301842486</v>
      </c>
      <c r="F59" s="30">
        <f>F31+F36+F39+F42</f>
        <v>4030.1663301842486</v>
      </c>
      <c r="G59" s="31">
        <f>G31+G36+G39+G42</f>
        <v>16120.665320736995</v>
      </c>
    </row>
    <row r="60" spans="1:14" ht="26.1" hidden="1" customHeight="1" outlineLevel="1">
      <c r="A60" s="100"/>
      <c r="B60" s="60"/>
      <c r="C60" s="61">
        <f>C29-C59</f>
        <v>1515.5312708157512</v>
      </c>
      <c r="D60" s="61">
        <f>D29-D59</f>
        <v>1515.5312708157512</v>
      </c>
      <c r="E60" s="61">
        <f>E29-E59</f>
        <v>1515.5312708157512</v>
      </c>
      <c r="F60" s="61">
        <f>F29-F59</f>
        <v>1515.5312708157512</v>
      </c>
      <c r="G60" s="61">
        <f>G29-G59</f>
        <v>6062.1250832630049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2.2168871999999995</v>
      </c>
      <c r="D77" s="56">
        <f>D16*1.2/100</f>
        <v>2.2168871999999995</v>
      </c>
      <c r="E77" s="56">
        <f>E16*1.2/100</f>
        <v>2.2168871999999995</v>
      </c>
      <c r="F77" s="56">
        <f>F16*1.2/100</f>
        <v>2.2168871999999995</v>
      </c>
    </row>
    <row r="78" spans="1:15" hidden="1">
      <c r="A78" s="59"/>
      <c r="C78" s="56">
        <f>(C16-C77)*0.5/100</f>
        <v>0.91261856399999985</v>
      </c>
      <c r="D78" s="56">
        <f>(D16-D77)*0.5/100</f>
        <v>0.91261856399999985</v>
      </c>
      <c r="E78" s="56">
        <f>(E16-E77)*0.5/100</f>
        <v>0.91261856399999985</v>
      </c>
      <c r="F78" s="56">
        <f>(F16-F77)*0.5/100</f>
        <v>0.91261856399999985</v>
      </c>
    </row>
    <row r="79" spans="1:15" hidden="1">
      <c r="C79" s="3">
        <f>C9*1.2/100</f>
        <v>14.947296011999997</v>
      </c>
      <c r="D79" s="3">
        <f>D9*1.2/100</f>
        <v>14.947296011999999</v>
      </c>
      <c r="E79" s="3">
        <f>E9*1.2/100</f>
        <v>14.947296011999999</v>
      </c>
      <c r="F79" s="3">
        <f>F9*1.2/100</f>
        <v>14.947296011999997</v>
      </c>
    </row>
    <row r="80" spans="1:15" s="3" customFormat="1" hidden="1">
      <c r="A80" s="2"/>
      <c r="B80" s="2"/>
      <c r="C80" s="3">
        <f>(C9-C79)*4/100</f>
        <v>49.226428199519994</v>
      </c>
      <c r="D80" s="3">
        <f>(D9-D79)*4/100</f>
        <v>49.226428199520008</v>
      </c>
      <c r="E80" s="3">
        <f>(E9-E79)*4/100</f>
        <v>49.226428199520008</v>
      </c>
      <c r="F80" s="3">
        <f>(F9-F79)*4/100</f>
        <v>49.226428199519994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67.303229975519997</v>
      </c>
      <c r="D81" s="3">
        <f t="shared" ref="D81:F81" si="20">SUM(D77:D80)</f>
        <v>67.303229975519997</v>
      </c>
      <c r="E81" s="3">
        <f t="shared" si="20"/>
        <v>67.303229975519997</v>
      </c>
      <c r="F81" s="3">
        <f t="shared" si="20"/>
        <v>67.303229975519997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6E3B-A198-4D3E-991A-4118857E0B51}">
  <sheetPr>
    <tabColor rgb="FFFFC000"/>
    <pageSetUpPr fitToPage="1"/>
  </sheetPr>
  <dimension ref="A1:AI81"/>
  <sheetViews>
    <sheetView showGridLines="0" view="pageBreakPreview" zoomScale="60" zoomScaleNormal="70" workbookViewId="0">
      <selection activeCell="E12" sqref="E12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57.85546875" style="2" customWidth="1"/>
    <col min="9" max="9" width="33.85546875" style="2" customWidth="1"/>
    <col min="10" max="10" width="11.7109375" style="2" bestFit="1" customWidth="1"/>
    <col min="11" max="12" width="29.85546875" style="2" bestFit="1" customWidth="1"/>
    <col min="13" max="13" width="17.85546875" style="2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SUM(Площадь!L27)</f>
        <v>1419.1</v>
      </c>
      <c r="K1" s="4" t="s">
        <v>235</v>
      </c>
      <c r="O1" s="2">
        <f>SUM(Площадь!M27)</f>
        <v>1423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SUM(Площадь!R27)</f>
        <v>29</v>
      </c>
      <c r="K4" s="4">
        <f>SUM(Площадь!S27)</f>
        <v>1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SUM(Площадь!Q27)</f>
        <v>18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27.95" customHeight="1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7.95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7.95" customHeight="1">
      <c r="A9" s="102">
        <v>1</v>
      </c>
      <c r="B9" s="14" t="s">
        <v>15</v>
      </c>
      <c r="C9" s="15">
        <f>SUM(C10:C15)</f>
        <v>1295.8498889999998</v>
      </c>
      <c r="D9" s="15">
        <f t="shared" ref="D9:F9" si="0">SUM(D10:D15)</f>
        <v>1295.8498889999998</v>
      </c>
      <c r="E9" s="15">
        <f t="shared" si="0"/>
        <v>1295.8498889999998</v>
      </c>
      <c r="F9" s="15">
        <f t="shared" si="0"/>
        <v>1295.8498889999998</v>
      </c>
      <c r="G9" s="15">
        <f>SUM(G10:G15)</f>
        <v>5183.3995559999994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7.95" customHeight="1">
      <c r="A10" s="103"/>
      <c r="B10" s="7" t="s">
        <v>3</v>
      </c>
      <c r="C10" s="9">
        <f>SUM(I10*3)</f>
        <v>595.17053999999996</v>
      </c>
      <c r="D10" s="9">
        <f>SUM(I10*2+O10*1)</f>
        <v>595.17053999999996</v>
      </c>
      <c r="E10" s="9">
        <f>SUM(O10*2)+U10*1</f>
        <v>595.17053999999996</v>
      </c>
      <c r="F10" s="9">
        <f>SUM(U10*3)</f>
        <v>595.17053999999996</v>
      </c>
      <c r="G10" s="65">
        <f>SUM(C10:F10)</f>
        <v>2380.6821599999998</v>
      </c>
      <c r="H10" s="125" t="s">
        <v>125</v>
      </c>
      <c r="I10" s="201">
        <f>SUM(M10*K10)</f>
        <v>198.39017999999999</v>
      </c>
      <c r="J10" s="201" t="s">
        <v>238</v>
      </c>
      <c r="K10" s="201">
        <v>0.13980000000000001</v>
      </c>
      <c r="L10" s="201"/>
      <c r="M10" s="207">
        <f>SUM(J1)</f>
        <v>1419.1</v>
      </c>
      <c r="N10" s="202"/>
      <c r="O10" s="201">
        <f>SUM(S10*Q10)</f>
        <v>198.39017999999999</v>
      </c>
      <c r="P10" s="201" t="s">
        <v>238</v>
      </c>
      <c r="Q10" s="201">
        <v>0.13980000000000001</v>
      </c>
      <c r="R10" s="201"/>
      <c r="S10" s="130">
        <f>SUM(J1)</f>
        <v>1419.1</v>
      </c>
      <c r="T10" s="202"/>
      <c r="U10" s="201">
        <f>SUM(Y10*W10)</f>
        <v>198.39017999999999</v>
      </c>
      <c r="V10" s="201" t="s">
        <v>238</v>
      </c>
      <c r="W10" s="201">
        <v>0.13980000000000001</v>
      </c>
      <c r="X10" s="201"/>
      <c r="Y10" s="130">
        <f>SUM(J1)</f>
        <v>1419.1</v>
      </c>
      <c r="Z10" s="373"/>
    </row>
    <row r="11" spans="1:26" ht="27.95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1419.1</v>
      </c>
      <c r="N11" s="202"/>
      <c r="O11" s="201"/>
      <c r="P11" s="201" t="s">
        <v>238</v>
      </c>
      <c r="Q11" s="201"/>
      <c r="R11" s="201">
        <v>0.15</v>
      </c>
      <c r="S11" s="201">
        <f>SUM(J1)</f>
        <v>1419.1</v>
      </c>
      <c r="T11" s="202"/>
      <c r="U11" s="201"/>
      <c r="V11" s="201" t="s">
        <v>238</v>
      </c>
      <c r="W11" s="201"/>
      <c r="X11" s="201">
        <v>0.15</v>
      </c>
      <c r="Y11" s="130">
        <f>SUM(J1)</f>
        <v>1419.1</v>
      </c>
      <c r="Z11" s="373"/>
    </row>
    <row r="12" spans="1:26" ht="27.95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7.95" customHeight="1">
      <c r="A13" s="103"/>
      <c r="B13" s="7" t="s">
        <v>10</v>
      </c>
      <c r="C13" s="9">
        <f>SUM(I13*3)</f>
        <v>186.04401000000001</v>
      </c>
      <c r="D13" s="9">
        <f>SUM(I13*2+O13)</f>
        <v>186.04401000000001</v>
      </c>
      <c r="E13" s="9">
        <f>SUM(O13*2+U13)</f>
        <v>186.04401000000001</v>
      </c>
      <c r="F13" s="9">
        <f>SUM(U13*3)</f>
        <v>186.04401000000001</v>
      </c>
      <c r="G13" s="65">
        <f t="shared" ref="G13:G14" si="1">SUM(C13:F13)</f>
        <v>744.17604000000006</v>
      </c>
      <c r="H13" s="125" t="s">
        <v>120</v>
      </c>
      <c r="I13" s="201">
        <f>SUM(K13*M13)</f>
        <v>62.014670000000002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1419.1</v>
      </c>
      <c r="N13" s="203"/>
      <c r="O13" s="201">
        <f>SUM(Q13*S13)</f>
        <v>62.014670000000002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1419.1</v>
      </c>
      <c r="T13" s="203"/>
      <c r="U13" s="201">
        <f>SUM(W13*Y13)</f>
        <v>62.014670000000002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1419.1</v>
      </c>
      <c r="Z13" s="3"/>
    </row>
    <row r="14" spans="1:26" ht="27.95" customHeight="1" outlineLevel="1">
      <c r="A14" s="16"/>
      <c r="B14" s="7" t="s">
        <v>11</v>
      </c>
      <c r="C14" s="9">
        <f>SUM(I14*3)</f>
        <v>293.54083499999996</v>
      </c>
      <c r="D14" s="9">
        <f>SUM(I14*2+O14)</f>
        <v>293.54083499999996</v>
      </c>
      <c r="E14" s="9">
        <f>SUM(O14*2+U14)</f>
        <v>293.54083499999996</v>
      </c>
      <c r="F14" s="9">
        <f>SUM(U14*3)</f>
        <v>293.54083499999996</v>
      </c>
      <c r="G14" s="65">
        <f t="shared" si="1"/>
        <v>1174.1633399999998</v>
      </c>
      <c r="H14" s="125" t="s">
        <v>11</v>
      </c>
      <c r="I14" s="201">
        <f>SUM(K14+L14)/2*M14</f>
        <v>97.846944999999991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1419.1</v>
      </c>
      <c r="N14" s="203"/>
      <c r="O14" s="201">
        <f>SUM(Q14+R14)/2*S14</f>
        <v>97.846944999999991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1419.1</v>
      </c>
      <c r="T14" s="203"/>
      <c r="U14" s="201">
        <f>SUM(W14+X14)/2*Y14</f>
        <v>97.846944999999991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1419.1</v>
      </c>
      <c r="Z14" s="3"/>
    </row>
    <row r="15" spans="1:26" ht="48" customHeight="1" outlineLevel="1" thickBot="1">
      <c r="A15" s="16"/>
      <c r="B15" s="7" t="s">
        <v>12</v>
      </c>
      <c r="C15" s="6">
        <f>SUM(I15+I16)*3</f>
        <v>221.09450399999997</v>
      </c>
      <c r="D15" s="6">
        <f>SUM(I15+I16)*2+O15+O16</f>
        <v>221.094504</v>
      </c>
      <c r="E15" s="6">
        <f>SUM(O15+O16)*2+U15+U16</f>
        <v>221.094504</v>
      </c>
      <c r="F15" s="6">
        <f>SUM(U15+U16)*3</f>
        <v>221.09450399999997</v>
      </c>
      <c r="G15" s="65">
        <f t="shared" ref="G15" si="2">SUM(C15:F15)</f>
        <v>884.37801599999989</v>
      </c>
      <c r="H15" s="125" t="s">
        <v>118</v>
      </c>
      <c r="I15" s="201">
        <f>SUM(J15*K15*M15)</f>
        <v>70.889687999999992</v>
      </c>
      <c r="J15" s="201">
        <v>0.24</v>
      </c>
      <c r="K15" s="201">
        <v>10.1853</v>
      </c>
      <c r="L15" s="201"/>
      <c r="M15" s="208">
        <f>SUM(J4)</f>
        <v>29</v>
      </c>
      <c r="N15" s="203"/>
      <c r="O15" s="201">
        <f>SUM(P15*Q15*S15)</f>
        <v>70.889687999999992</v>
      </c>
      <c r="P15" s="201">
        <v>0.24</v>
      </c>
      <c r="Q15" s="201">
        <v>10.1853</v>
      </c>
      <c r="R15" s="201"/>
      <c r="S15" s="201">
        <f>SUM(J4)</f>
        <v>29</v>
      </c>
      <c r="T15" s="203"/>
      <c r="U15" s="201">
        <f>SUM(V15*W15*Y15)</f>
        <v>70.889687999999992</v>
      </c>
      <c r="V15" s="201">
        <v>0.24</v>
      </c>
      <c r="W15" s="201">
        <v>10.1853</v>
      </c>
      <c r="X15" s="201"/>
      <c r="Y15" s="201">
        <f>SUM(J4)</f>
        <v>29</v>
      </c>
    </row>
    <row r="16" spans="1:26" ht="27.95" customHeight="1">
      <c r="A16" s="102">
        <v>2</v>
      </c>
      <c r="B16" s="20" t="s">
        <v>16</v>
      </c>
      <c r="C16" s="27">
        <f>SUM(C17:C19)</f>
        <v>212.46059999999997</v>
      </c>
      <c r="D16" s="27">
        <f t="shared" ref="D16:F16" si="3">SUM(D17:D19)</f>
        <v>212.46059999999997</v>
      </c>
      <c r="E16" s="27">
        <f t="shared" si="3"/>
        <v>212.46059999999997</v>
      </c>
      <c r="F16" s="27">
        <f t="shared" si="3"/>
        <v>212.46059999999997</v>
      </c>
      <c r="G16" s="27">
        <f t="shared" ref="G16" si="4">SUM(G17:G19)</f>
        <v>849.84239999999988</v>
      </c>
      <c r="H16" s="125"/>
      <c r="I16" s="201">
        <f>SUM(J16*L16*M16)</f>
        <v>2.8084799999999999</v>
      </c>
      <c r="J16" s="201">
        <v>0.24</v>
      </c>
      <c r="K16" s="201"/>
      <c r="L16" s="201">
        <v>11.702</v>
      </c>
      <c r="M16" s="201">
        <f>SUM(K4)</f>
        <v>1</v>
      </c>
      <c r="O16" s="201">
        <f>SUM(P16*R16*S16)</f>
        <v>2.8084799999999999</v>
      </c>
      <c r="P16" s="201">
        <v>0.24</v>
      </c>
      <c r="Q16" s="201"/>
      <c r="R16" s="201">
        <v>11.702</v>
      </c>
      <c r="S16" s="201">
        <f>SUM(K4)</f>
        <v>1</v>
      </c>
      <c r="U16" s="201">
        <f>SUM(V16*X16*Y16)</f>
        <v>2.8084799999999999</v>
      </c>
      <c r="V16" s="201">
        <v>0.24</v>
      </c>
      <c r="W16" s="201"/>
      <c r="X16" s="201">
        <v>11.702</v>
      </c>
      <c r="Y16" s="201">
        <f>SUM(K4)</f>
        <v>1</v>
      </c>
    </row>
    <row r="17" spans="1:35" ht="27.95" customHeight="1" outlineLevel="1">
      <c r="A17" s="21"/>
      <c r="B17" s="7" t="s">
        <v>20</v>
      </c>
      <c r="C17" s="9">
        <f>$I$17*3</f>
        <v>93.660599999999988</v>
      </c>
      <c r="D17" s="9">
        <f t="shared" ref="D17:F17" si="5">$I$17*3</f>
        <v>93.660599999999988</v>
      </c>
      <c r="E17" s="9">
        <f t="shared" si="5"/>
        <v>93.660599999999988</v>
      </c>
      <c r="F17" s="9">
        <f t="shared" si="5"/>
        <v>93.660599999999988</v>
      </c>
      <c r="G17" s="66">
        <f>SUM(C17:F17)</f>
        <v>374.64239999999995</v>
      </c>
      <c r="H17" s="126" t="s">
        <v>121</v>
      </c>
      <c r="I17" s="201">
        <f>SUM(K17*M17)</f>
        <v>31.220199999999995</v>
      </c>
      <c r="J17" s="201" t="s">
        <v>238</v>
      </c>
      <c r="K17" s="201">
        <v>2.1999999999999999E-2</v>
      </c>
      <c r="L17" s="201"/>
      <c r="M17" s="201">
        <f>SUM(J1)</f>
        <v>1419.1</v>
      </c>
      <c r="N17" s="203"/>
      <c r="O17" s="201">
        <f>SUM(Q17*S17)</f>
        <v>31.220199999999995</v>
      </c>
      <c r="P17" s="201" t="s">
        <v>238</v>
      </c>
      <c r="Q17" s="201">
        <v>2.1999999999999999E-2</v>
      </c>
      <c r="R17" s="201"/>
      <c r="S17" s="201">
        <f>SUM(J1)</f>
        <v>1419.1</v>
      </c>
      <c r="T17" s="203"/>
      <c r="U17" s="201">
        <f>SUM(W17*Y17)</f>
        <v>31.220199999999995</v>
      </c>
      <c r="V17" s="201" t="s">
        <v>238</v>
      </c>
      <c r="W17" s="201">
        <v>2.1999999999999999E-2</v>
      </c>
      <c r="X17" s="201"/>
      <c r="Y17" s="201">
        <f>SUM(J1)</f>
        <v>1419.1</v>
      </c>
    </row>
    <row r="18" spans="1:35" ht="27.95" customHeight="1" outlineLevel="1">
      <c r="A18" s="21"/>
      <c r="B18" s="7" t="s">
        <v>14</v>
      </c>
      <c r="C18" s="6">
        <f>$I$18*3</f>
        <v>118.79999999999998</v>
      </c>
      <c r="D18" s="6">
        <f t="shared" ref="D18:F18" si="6">$I$18*3</f>
        <v>118.79999999999998</v>
      </c>
      <c r="E18" s="6">
        <f t="shared" si="6"/>
        <v>118.79999999999998</v>
      </c>
      <c r="F18" s="6">
        <f t="shared" si="6"/>
        <v>118.79999999999998</v>
      </c>
      <c r="G18" s="66">
        <f>SUM(C18:F18)</f>
        <v>475.19999999999993</v>
      </c>
      <c r="H18" s="126" t="s">
        <v>122</v>
      </c>
      <c r="I18" s="201">
        <f>SUM(K18*M18)*1.5</f>
        <v>39.599999999999994</v>
      </c>
      <c r="J18" s="201" t="s">
        <v>129</v>
      </c>
      <c r="K18" s="201">
        <v>0.88</v>
      </c>
      <c r="L18" s="201"/>
      <c r="M18" s="201">
        <f>SUM(J4+K4)</f>
        <v>30</v>
      </c>
      <c r="N18" s="203"/>
      <c r="O18" s="201">
        <f>SUM(Q18*S18)*1.5</f>
        <v>39.599999999999994</v>
      </c>
      <c r="P18" s="201" t="s">
        <v>129</v>
      </c>
      <c r="Q18" s="201">
        <v>0.88</v>
      </c>
      <c r="R18" s="201"/>
      <c r="S18" s="201">
        <f>SUM(J4+K4)</f>
        <v>30</v>
      </c>
      <c r="T18" s="203"/>
      <c r="U18" s="201">
        <f>SUM(W18*Y18)*1.5</f>
        <v>39.599999999999994</v>
      </c>
      <c r="V18" s="201" t="s">
        <v>129</v>
      </c>
      <c r="W18" s="201">
        <v>0.88</v>
      </c>
      <c r="X18" s="201"/>
      <c r="Y18" s="201">
        <f>SUM(J4+K4)</f>
        <v>30</v>
      </c>
    </row>
    <row r="19" spans="1:35" ht="27.9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7.95" customHeight="1" outlineLevel="1" thickBot="1">
      <c r="A20" s="102">
        <v>3</v>
      </c>
      <c r="B20" s="20" t="s">
        <v>17</v>
      </c>
      <c r="C20" s="15">
        <f>SUM(C21:C22)</f>
        <v>165.24</v>
      </c>
      <c r="D20" s="15">
        <f t="shared" ref="D20:F20" si="7">SUM(D21:D22)</f>
        <v>165.24</v>
      </c>
      <c r="E20" s="15">
        <f t="shared" si="7"/>
        <v>165.24</v>
      </c>
      <c r="F20" s="15">
        <f t="shared" si="7"/>
        <v>165.24</v>
      </c>
      <c r="G20" s="5">
        <f>SUM(G21:G22)</f>
        <v>660.96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7.95" customHeight="1" outlineLevel="1">
      <c r="A21" s="21"/>
      <c r="B21" s="7" t="s">
        <v>40</v>
      </c>
      <c r="C21" s="8">
        <f>SUM(M21)*3</f>
        <v>57.240000000000009</v>
      </c>
      <c r="D21" s="8">
        <f>SUM(M21*3)</f>
        <v>57.240000000000009</v>
      </c>
      <c r="E21" s="8">
        <f>SUM(M21*3)</f>
        <v>57.240000000000009</v>
      </c>
      <c r="F21" s="8">
        <f>SUM(M21*3)</f>
        <v>57.240000000000009</v>
      </c>
      <c r="G21" s="66">
        <f>SUM(C21:F21)</f>
        <v>228.96000000000004</v>
      </c>
      <c r="H21" s="125" t="s">
        <v>117</v>
      </c>
      <c r="I21" s="94">
        <f>SUM(J5)</f>
        <v>18</v>
      </c>
      <c r="J21" s="95"/>
      <c r="K21" s="95">
        <v>1.06</v>
      </c>
      <c r="L21" s="95"/>
      <c r="M21" s="96">
        <f>I21*K21</f>
        <v>19.080000000000002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7.95" customHeight="1" outlineLevel="1" thickBot="1">
      <c r="A22" s="19"/>
      <c r="B22" s="17" t="s">
        <v>18</v>
      </c>
      <c r="C22" s="18">
        <f>SUM(M22)*3</f>
        <v>108</v>
      </c>
      <c r="D22" s="18">
        <f>SUM(M22*3)</f>
        <v>108</v>
      </c>
      <c r="E22" s="18">
        <f>SUM(M22*3)</f>
        <v>108</v>
      </c>
      <c r="F22" s="18">
        <f>SUM(M22*3)</f>
        <v>108</v>
      </c>
      <c r="G22" s="67">
        <f>SUM(C22:F22)</f>
        <v>432</v>
      </c>
      <c r="H22" s="126" t="s">
        <v>124</v>
      </c>
      <c r="I22" s="97">
        <f>SUM(J5)</f>
        <v>18</v>
      </c>
      <c r="J22" s="98"/>
      <c r="K22" s="98">
        <v>2</v>
      </c>
      <c r="L22" s="98"/>
      <c r="M22" s="99">
        <f>I22*K22</f>
        <v>36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7.95" customHeight="1" thickBot="1">
      <c r="A23" s="23" t="s">
        <v>9</v>
      </c>
      <c r="B23" s="20" t="s">
        <v>22</v>
      </c>
      <c r="C23" s="15">
        <f>SUM(C24:C25)</f>
        <v>3959.2889999999998</v>
      </c>
      <c r="D23" s="15">
        <f t="shared" ref="D23:F23" si="8">SUM(D24:D25)</f>
        <v>3959.2889999999998</v>
      </c>
      <c r="E23" s="15">
        <f t="shared" si="8"/>
        <v>3959.2889999999998</v>
      </c>
      <c r="F23" s="15">
        <f t="shared" si="8"/>
        <v>3959.2889999999998</v>
      </c>
      <c r="G23" s="5">
        <f>SUM(G24:G25)</f>
        <v>15837.155999999999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7.95" customHeight="1" outlineLevel="1">
      <c r="A24" s="24"/>
      <c r="B24" s="7" t="s">
        <v>21</v>
      </c>
      <c r="C24" s="6">
        <f>SUM(M24)*3</f>
        <v>2639.5259999999998</v>
      </c>
      <c r="D24" s="6">
        <f>SUM(M24*3)</f>
        <v>2639.5259999999998</v>
      </c>
      <c r="E24" s="6">
        <f>SUM(M24*3)</f>
        <v>2639.5259999999998</v>
      </c>
      <c r="F24" s="6">
        <f>SUM(M24*3)</f>
        <v>2639.5259999999998</v>
      </c>
      <c r="G24" s="66">
        <f t="shared" ref="G24:G25" si="9">SUM(C24:F24)</f>
        <v>10558.103999999999</v>
      </c>
      <c r="H24" s="128" t="s">
        <v>126</v>
      </c>
      <c r="I24" s="88">
        <f>SUM(J1)</f>
        <v>1419.1</v>
      </c>
      <c r="J24" s="89"/>
      <c r="K24" s="95">
        <v>0.62</v>
      </c>
      <c r="L24" s="95"/>
      <c r="M24" s="90">
        <f>SUM(I24*K24)</f>
        <v>879.84199999999998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7.95" customHeight="1" outlineLevel="1" thickBot="1">
      <c r="A25" s="25"/>
      <c r="B25" s="17" t="s">
        <v>55</v>
      </c>
      <c r="C25" s="18">
        <f>SUM(M25)*3</f>
        <v>1319.7629999999999</v>
      </c>
      <c r="D25" s="18">
        <f>SUM(M25*3)</f>
        <v>1319.7629999999999</v>
      </c>
      <c r="E25" s="18">
        <f>SUM(M25*3)</f>
        <v>1319.7629999999999</v>
      </c>
      <c r="F25" s="18">
        <f>SUM(M25*3)</f>
        <v>1319.7629999999999</v>
      </c>
      <c r="G25" s="67">
        <f t="shared" si="9"/>
        <v>5279.0519999999997</v>
      </c>
      <c r="H25" s="128" t="s">
        <v>127</v>
      </c>
      <c r="I25" s="91">
        <f>SUM(J1)</f>
        <v>1419.1</v>
      </c>
      <c r="J25" s="93"/>
      <c r="K25" s="98">
        <v>0.31</v>
      </c>
      <c r="L25" s="98"/>
      <c r="M25" s="92">
        <f>SUM(I25*K25)</f>
        <v>439.92099999999999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7.95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7.95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18</v>
      </c>
      <c r="J27" s="205"/>
      <c r="K27" s="206">
        <v>0.28000000000000003</v>
      </c>
      <c r="L27" s="205"/>
      <c r="M27" s="211">
        <f>SUM(I27*K27)</f>
        <v>5.0400000000000009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7.95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7.95" customHeight="1" outlineLevel="1" thickBot="1">
      <c r="A29" s="381" t="s">
        <v>6</v>
      </c>
      <c r="B29" s="382"/>
      <c r="C29" s="41">
        <f>C9+C16+C20+C23+C26</f>
        <v>5632.839489</v>
      </c>
      <c r="D29" s="41">
        <f>D9+D16+D20+D23+D26</f>
        <v>5632.839489</v>
      </c>
      <c r="E29" s="41">
        <f>E9+E16+E20+E23+E26</f>
        <v>5632.839489</v>
      </c>
      <c r="F29" s="41">
        <f>F9+F16+F20+F23+F26</f>
        <v>5632.839489</v>
      </c>
      <c r="G29" s="42">
        <f t="shared" si="11"/>
        <v>22531.357956</v>
      </c>
    </row>
    <row r="30" spans="1:35" ht="27.95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7.95" customHeight="1">
      <c r="A31" s="102">
        <v>1</v>
      </c>
      <c r="B31" s="14" t="s">
        <v>15</v>
      </c>
      <c r="C31" s="53">
        <f>SUM(C32:C35)</f>
        <v>1215.6503301842486</v>
      </c>
      <c r="D31" s="53">
        <f>SUM(D32:D35)</f>
        <v>1215.6503301842486</v>
      </c>
      <c r="E31" s="53">
        <f>SUM(E32:E35)</f>
        <v>1215.6503301842486</v>
      </c>
      <c r="F31" s="53">
        <f>SUM(F32:F35)</f>
        <v>1215.6503301842486</v>
      </c>
      <c r="G31" s="53">
        <f>SUM(G32:G35)</f>
        <v>4862.6013207369942</v>
      </c>
      <c r="H31" s="128" t="s">
        <v>253</v>
      </c>
      <c r="I31" s="88">
        <f>SUM(O1)</f>
        <v>1423</v>
      </c>
      <c r="J31" s="89"/>
      <c r="K31" s="95">
        <v>0.62</v>
      </c>
      <c r="L31" s="95"/>
      <c r="M31" s="90">
        <f>SUM(I31*K31)</f>
        <v>882.26</v>
      </c>
    </row>
    <row r="32" spans="1:35" ht="27.95" customHeight="1" thickBot="1">
      <c r="A32" s="35"/>
      <c r="B32" s="7" t="s">
        <v>3</v>
      </c>
      <c r="C32" s="32">
        <f>C10</f>
        <v>595.17053999999996</v>
      </c>
      <c r="D32" s="32">
        <f>D10</f>
        <v>595.17053999999996</v>
      </c>
      <c r="E32" s="32">
        <f>E10</f>
        <v>595.17053999999996</v>
      </c>
      <c r="F32" s="32">
        <f>F10</f>
        <v>595.17053999999996</v>
      </c>
      <c r="G32" s="62">
        <f>SUM(C32:F32)</f>
        <v>2380.6821599999998</v>
      </c>
      <c r="H32" s="128"/>
      <c r="I32" s="91"/>
      <c r="J32" s="93"/>
      <c r="K32" s="98"/>
      <c r="L32" s="98"/>
      <c r="M32" s="92"/>
    </row>
    <row r="33" spans="1:7" ht="27.95" customHeight="1">
      <c r="A33" s="35"/>
      <c r="B33" s="7" t="s">
        <v>10</v>
      </c>
      <c r="C33" s="32">
        <f t="shared" ref="C33:F33" si="12">C13</f>
        <v>186.04401000000001</v>
      </c>
      <c r="D33" s="32">
        <f t="shared" si="12"/>
        <v>186.04401000000001</v>
      </c>
      <c r="E33" s="32">
        <f t="shared" si="12"/>
        <v>186.04401000000001</v>
      </c>
      <c r="F33" s="32">
        <f t="shared" si="12"/>
        <v>186.04401000000001</v>
      </c>
      <c r="G33" s="62">
        <f>SUM(C33:F33)</f>
        <v>744.17604000000006</v>
      </c>
    </row>
    <row r="34" spans="1:7" ht="27.95" customHeight="1">
      <c r="A34" s="35"/>
      <c r="B34" s="7" t="s">
        <v>41</v>
      </c>
      <c r="C34" s="32">
        <f>Площадь!D17</f>
        <v>434.4357801842487</v>
      </c>
      <c r="D34" s="32">
        <f>C34</f>
        <v>434.4357801842487</v>
      </c>
      <c r="E34" s="32">
        <f t="shared" ref="E34:F34" si="13">D34</f>
        <v>434.4357801842487</v>
      </c>
      <c r="F34" s="32">
        <f t="shared" si="13"/>
        <v>434.4357801842487</v>
      </c>
      <c r="G34" s="62">
        <f>SUM(C34:F34)</f>
        <v>1737.7431207369948</v>
      </c>
    </row>
    <row r="35" spans="1:7" ht="27.95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7.95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27.95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27.95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7.95" customHeight="1">
      <c r="A39" s="102" t="s">
        <v>28</v>
      </c>
      <c r="B39" s="20" t="s">
        <v>17</v>
      </c>
      <c r="C39" s="53">
        <f>SUM(C40:C41)</f>
        <v>165.24</v>
      </c>
      <c r="D39" s="53">
        <f t="shared" ref="D39:G39" si="15">SUM(D40:D41)</f>
        <v>165.24</v>
      </c>
      <c r="E39" s="53">
        <f t="shared" si="15"/>
        <v>165.24</v>
      </c>
      <c r="F39" s="53">
        <f t="shared" si="15"/>
        <v>165.24</v>
      </c>
      <c r="G39" s="53">
        <f t="shared" si="15"/>
        <v>660.96</v>
      </c>
    </row>
    <row r="40" spans="1:7" ht="27.95" customHeight="1">
      <c r="A40" s="35"/>
      <c r="B40" s="7" t="s">
        <v>40</v>
      </c>
      <c r="C40" s="32">
        <f t="shared" ref="C40:F41" si="16">C21</f>
        <v>57.240000000000009</v>
      </c>
      <c r="D40" s="32">
        <f t="shared" si="16"/>
        <v>57.240000000000009</v>
      </c>
      <c r="E40" s="32">
        <f t="shared" si="16"/>
        <v>57.240000000000009</v>
      </c>
      <c r="F40" s="32">
        <f t="shared" si="16"/>
        <v>57.240000000000009</v>
      </c>
      <c r="G40" s="62">
        <f>SUM(C40:F40)</f>
        <v>228.96000000000004</v>
      </c>
    </row>
    <row r="41" spans="1:7" s="4" customFormat="1" ht="27.95" customHeight="1" thickBot="1">
      <c r="A41" s="45"/>
      <c r="B41" s="17" t="s">
        <v>18</v>
      </c>
      <c r="C41" s="46">
        <f t="shared" si="16"/>
        <v>108</v>
      </c>
      <c r="D41" s="46">
        <f t="shared" si="16"/>
        <v>108</v>
      </c>
      <c r="E41" s="46">
        <f t="shared" si="16"/>
        <v>108</v>
      </c>
      <c r="F41" s="46">
        <f t="shared" si="16"/>
        <v>108</v>
      </c>
      <c r="G41" s="62">
        <f>SUM(C41:F41)</f>
        <v>432</v>
      </c>
    </row>
    <row r="42" spans="1:7" ht="27.95" customHeight="1">
      <c r="A42" s="102" t="s">
        <v>9</v>
      </c>
      <c r="B42" s="20" t="s">
        <v>33</v>
      </c>
      <c r="C42" s="53">
        <f>SUM(C43:C58)</f>
        <v>2661.8999999999996</v>
      </c>
      <c r="D42" s="53">
        <f>SUM(D43:D58)</f>
        <v>2661.8999999999996</v>
      </c>
      <c r="E42" s="53">
        <f>SUM(E43:E58)</f>
        <v>2661.8999999999996</v>
      </c>
      <c r="F42" s="53">
        <f>SUM(F43:F58)</f>
        <v>2661.8999999999996</v>
      </c>
      <c r="G42" s="55">
        <f t="shared" ref="G42:G51" si="17">SUM(C42:F42)</f>
        <v>10647.599999999999</v>
      </c>
    </row>
    <row r="43" spans="1:7" ht="27.95" customHeight="1">
      <c r="A43" s="47"/>
      <c r="B43" s="38" t="s">
        <v>38</v>
      </c>
      <c r="C43" s="32">
        <f>SUM(M31*3)</f>
        <v>2646.7799999999997</v>
      </c>
      <c r="D43" s="32">
        <f>SUM(M31*3)</f>
        <v>2646.7799999999997</v>
      </c>
      <c r="E43" s="32">
        <f>SUM(M31*3)</f>
        <v>2646.7799999999997</v>
      </c>
      <c r="F43" s="32">
        <f>SUM(M31*3)</f>
        <v>2646.7799999999997</v>
      </c>
      <c r="G43" s="62">
        <f t="shared" si="17"/>
        <v>10587.119999999999</v>
      </c>
    </row>
    <row r="44" spans="1:7" ht="27.95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7.95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7.95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7.95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7.95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27.95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7.95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7.95" customHeight="1">
      <c r="A51" s="37"/>
      <c r="B51" s="38" t="s">
        <v>35</v>
      </c>
      <c r="C51" s="32">
        <f>SUM(M27*3)</f>
        <v>15.120000000000003</v>
      </c>
      <c r="D51" s="32">
        <f>SUM(M27*3)</f>
        <v>15.120000000000003</v>
      </c>
      <c r="E51" s="32">
        <f>SUM(M27*3)</f>
        <v>15.120000000000003</v>
      </c>
      <c r="F51" s="32">
        <f>SUM(M27*3)</f>
        <v>15.120000000000003</v>
      </c>
      <c r="G51" s="62">
        <f t="shared" si="17"/>
        <v>60.480000000000011</v>
      </c>
    </row>
    <row r="52" spans="1:14" ht="27.95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7.95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7.95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27.9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27.95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27.95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7.95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7.95" customHeight="1" outlineLevel="1" thickBot="1">
      <c r="A59" s="378" t="s">
        <v>37</v>
      </c>
      <c r="B59" s="379"/>
      <c r="C59" s="30">
        <f>C31+C36+C39+C42</f>
        <v>4042.790330184248</v>
      </c>
      <c r="D59" s="30">
        <f>D31+D36+D39+D42</f>
        <v>4042.790330184248</v>
      </c>
      <c r="E59" s="30">
        <f>E31+E36+E39+E42</f>
        <v>4042.790330184248</v>
      </c>
      <c r="F59" s="30">
        <f>F31+F36+F39+F42</f>
        <v>4042.790330184248</v>
      </c>
      <c r="G59" s="31">
        <f>G31+G36+G39+G42</f>
        <v>16171.161320736992</v>
      </c>
    </row>
    <row r="60" spans="1:14" ht="27.95" customHeight="1" outlineLevel="1">
      <c r="A60" s="100"/>
      <c r="B60" s="60"/>
      <c r="C60" s="61">
        <f>C29-C59</f>
        <v>1590.049158815752</v>
      </c>
      <c r="D60" s="61">
        <f>D29-D59</f>
        <v>1590.049158815752</v>
      </c>
      <c r="E60" s="61">
        <f>E29-E59</f>
        <v>1590.049158815752</v>
      </c>
      <c r="F60" s="61">
        <f>F29-F59</f>
        <v>1590.049158815752</v>
      </c>
      <c r="G60" s="61">
        <f>G29-G59</f>
        <v>6360.1966352630079</v>
      </c>
    </row>
    <row r="61" spans="1:14" ht="27.95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27.95" customHeight="1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27.9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 ht="27.95" customHeight="1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 ht="27.95" customHeight="1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2.5495271999999995</v>
      </c>
      <c r="D77" s="56">
        <f>D16*1.2/100</f>
        <v>2.5495271999999995</v>
      </c>
      <c r="E77" s="56">
        <f>E16*1.2/100</f>
        <v>2.5495271999999995</v>
      </c>
      <c r="F77" s="56">
        <f>F16*1.2/100</f>
        <v>2.5495271999999995</v>
      </c>
    </row>
    <row r="78" spans="1:15" hidden="1">
      <c r="A78" s="59"/>
      <c r="C78" s="56">
        <f>(C16-C77)*0.5/100</f>
        <v>1.0495553639999999</v>
      </c>
      <c r="D78" s="56">
        <f>(D16-D77)*0.5/100</f>
        <v>1.0495553639999999</v>
      </c>
      <c r="E78" s="56">
        <f>(E16-E77)*0.5/100</f>
        <v>1.0495553639999999</v>
      </c>
      <c r="F78" s="56">
        <f>(F16-F77)*0.5/100</f>
        <v>1.0495553639999999</v>
      </c>
    </row>
    <row r="79" spans="1:15" hidden="1">
      <c r="C79" s="3">
        <f>C9*1.2/100</f>
        <v>15.550198667999998</v>
      </c>
      <c r="D79" s="3">
        <f>D9*1.2/100</f>
        <v>15.550198667999998</v>
      </c>
      <c r="E79" s="3">
        <f>E9*1.2/100</f>
        <v>15.550198667999998</v>
      </c>
      <c r="F79" s="3">
        <f>F9*1.2/100</f>
        <v>15.550198667999998</v>
      </c>
    </row>
    <row r="80" spans="1:15" s="3" customFormat="1" hidden="1">
      <c r="A80" s="2"/>
      <c r="B80" s="2"/>
      <c r="C80" s="3">
        <f>(C9-C79)*4/100</f>
        <v>51.211987613280002</v>
      </c>
      <c r="D80" s="3">
        <f>(D9-D79)*4/100</f>
        <v>51.211987613280002</v>
      </c>
      <c r="E80" s="3">
        <f>(E9-E79)*4/100</f>
        <v>51.211987613280002</v>
      </c>
      <c r="F80" s="3">
        <f>(F9-F79)*4/100</f>
        <v>51.211987613280002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70.361268845279994</v>
      </c>
      <c r="D81" s="3">
        <f t="shared" ref="D81:F81" si="20">SUM(D77:D80)</f>
        <v>70.361268845279994</v>
      </c>
      <c r="E81" s="3">
        <f t="shared" si="20"/>
        <v>70.361268845279994</v>
      </c>
      <c r="F81" s="3">
        <f t="shared" si="20"/>
        <v>70.361268845279994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38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F80B-6A23-4443-81A3-0AE871FCB37A}">
  <sheetPr>
    <tabColor rgb="FFFFC000"/>
  </sheetPr>
  <dimension ref="A1:T29"/>
  <sheetViews>
    <sheetView topLeftCell="L10" workbookViewId="0">
      <selection activeCell="Q18" sqref="Q18"/>
    </sheetView>
  </sheetViews>
  <sheetFormatPr defaultRowHeight="15"/>
  <cols>
    <col min="1" max="5" width="9.140625" hidden="1" customWidth="1"/>
    <col min="6" max="6" width="0" hidden="1" customWidth="1"/>
    <col min="7" max="7" width="8.85546875" hidden="1" customWidth="1"/>
    <col min="8" max="8" width="9.140625" hidden="1" customWidth="1"/>
    <col min="9" max="9" width="28.7109375" hidden="1" customWidth="1"/>
    <col min="10" max="10" width="0" hidden="1" customWidth="1"/>
    <col min="12" max="12" width="12" style="214" customWidth="1"/>
    <col min="13" max="13" width="14" customWidth="1"/>
    <col min="17" max="17" width="20.140625" customWidth="1"/>
    <col min="18" max="18" width="18.5703125" customWidth="1"/>
    <col min="19" max="19" width="10.42578125" customWidth="1"/>
    <col min="20" max="20" width="20" customWidth="1"/>
  </cols>
  <sheetData>
    <row r="1" spans="1:20" ht="26.25" customHeight="1" thickBot="1">
      <c r="L1" s="230" t="s">
        <v>239</v>
      </c>
      <c r="M1" s="227" t="s">
        <v>240</v>
      </c>
      <c r="N1" s="392" t="s">
        <v>132</v>
      </c>
      <c r="O1" s="392"/>
      <c r="P1" s="392"/>
      <c r="Q1" s="184" t="s">
        <v>131</v>
      </c>
      <c r="R1" s="184" t="s">
        <v>243</v>
      </c>
      <c r="S1" s="227" t="s">
        <v>244</v>
      </c>
      <c r="T1" s="227" t="s">
        <v>242</v>
      </c>
    </row>
    <row r="2" spans="1:20">
      <c r="A2" t="s">
        <v>67</v>
      </c>
      <c r="B2" s="111">
        <f>тх2!J1</f>
        <v>774.4</v>
      </c>
      <c r="F2" s="114" t="s">
        <v>70</v>
      </c>
      <c r="G2" s="115">
        <v>169.1</v>
      </c>
      <c r="H2" s="116"/>
      <c r="I2" s="117" t="s">
        <v>85</v>
      </c>
      <c r="K2" s="129" t="s">
        <v>70</v>
      </c>
      <c r="L2" s="228">
        <v>169.1</v>
      </c>
      <c r="M2" s="229">
        <v>169.1</v>
      </c>
      <c r="N2" s="229" t="s">
        <v>85</v>
      </c>
      <c r="O2" s="229"/>
      <c r="P2" s="229"/>
      <c r="Q2" s="229">
        <v>1</v>
      </c>
      <c r="R2" s="229">
        <v>1</v>
      </c>
      <c r="S2" s="229"/>
      <c r="T2" s="184"/>
    </row>
    <row r="3" spans="1:20">
      <c r="A3" t="s">
        <v>68</v>
      </c>
      <c r="B3" s="111">
        <f>тх4!J1</f>
        <v>774</v>
      </c>
      <c r="F3" s="118" t="s">
        <v>70</v>
      </c>
      <c r="G3" s="119">
        <v>178</v>
      </c>
      <c r="H3" s="119"/>
      <c r="I3" s="120" t="s">
        <v>86</v>
      </c>
      <c r="K3" s="129" t="s">
        <v>70</v>
      </c>
      <c r="L3" s="213">
        <v>178</v>
      </c>
      <c r="M3" s="129">
        <v>170.5</v>
      </c>
      <c r="N3" s="129" t="s">
        <v>86</v>
      </c>
      <c r="O3" s="129"/>
      <c r="P3" s="129"/>
      <c r="Q3" s="129">
        <v>1</v>
      </c>
      <c r="R3" s="129">
        <v>0</v>
      </c>
      <c r="S3" s="184">
        <v>1</v>
      </c>
      <c r="T3" s="184"/>
    </row>
    <row r="4" spans="1:20">
      <c r="A4" t="s">
        <v>69</v>
      </c>
      <c r="B4" s="111">
        <f>тх6!J1</f>
        <v>774.4</v>
      </c>
      <c r="F4" s="118" t="s">
        <v>70</v>
      </c>
      <c r="G4" s="119">
        <v>181</v>
      </c>
      <c r="H4" s="119"/>
      <c r="I4" s="120" t="s">
        <v>87</v>
      </c>
      <c r="K4" s="129" t="s">
        <v>70</v>
      </c>
      <c r="L4" s="213">
        <v>169.4</v>
      </c>
      <c r="M4" s="129">
        <v>169.4</v>
      </c>
      <c r="N4" s="129" t="s">
        <v>87</v>
      </c>
      <c r="O4" s="129"/>
      <c r="P4" s="129"/>
      <c r="Q4" s="129">
        <v>1</v>
      </c>
      <c r="R4" s="129">
        <v>0</v>
      </c>
      <c r="S4" s="184">
        <v>1</v>
      </c>
      <c r="T4" s="184"/>
    </row>
    <row r="5" spans="1:20">
      <c r="A5" t="s">
        <v>70</v>
      </c>
      <c r="B5" s="111">
        <f>КТ!J1</f>
        <v>1581.0000000000002</v>
      </c>
      <c r="C5" s="112"/>
      <c r="F5" s="118" t="s">
        <v>70</v>
      </c>
      <c r="G5" s="119">
        <v>181</v>
      </c>
      <c r="H5" s="119"/>
      <c r="I5" s="120" t="s">
        <v>88</v>
      </c>
      <c r="K5" s="129" t="s">
        <v>70</v>
      </c>
      <c r="L5" s="213">
        <v>181</v>
      </c>
      <c r="M5" s="129">
        <v>171.2</v>
      </c>
      <c r="N5" s="129" t="s">
        <v>88</v>
      </c>
      <c r="O5" s="129"/>
      <c r="P5" s="129"/>
      <c r="Q5" s="129">
        <v>1</v>
      </c>
      <c r="R5" s="129">
        <v>1</v>
      </c>
      <c r="S5" s="184"/>
      <c r="T5" s="184"/>
    </row>
    <row r="6" spans="1:20">
      <c r="A6" t="s">
        <v>71</v>
      </c>
      <c r="B6" s="111">
        <f>УВ1!J1</f>
        <v>1254.5999999999999</v>
      </c>
      <c r="C6" s="112">
        <f>$C$18*B6/$B$18</f>
        <v>1536.3064754257159</v>
      </c>
      <c r="D6" s="112">
        <f>C6/4</f>
        <v>384.07661885642898</v>
      </c>
      <c r="F6" s="118" t="s">
        <v>70</v>
      </c>
      <c r="G6" s="119">
        <v>169.9</v>
      </c>
      <c r="H6" s="119"/>
      <c r="I6" s="120" t="s">
        <v>89</v>
      </c>
      <c r="K6" s="129" t="s">
        <v>70</v>
      </c>
      <c r="L6" s="213">
        <v>169.9</v>
      </c>
      <c r="M6" s="129">
        <v>169.9</v>
      </c>
      <c r="N6" s="129" t="s">
        <v>89</v>
      </c>
      <c r="O6" s="129"/>
      <c r="P6" s="129"/>
      <c r="Q6" s="129">
        <v>1</v>
      </c>
      <c r="R6" s="129">
        <v>0</v>
      </c>
      <c r="S6" s="184">
        <v>1</v>
      </c>
      <c r="T6" s="184"/>
    </row>
    <row r="7" spans="1:20">
      <c r="A7" t="s">
        <v>72</v>
      </c>
      <c r="B7" s="111">
        <f>УВ3!J1</f>
        <v>1423.8</v>
      </c>
      <c r="C7" s="112">
        <f t="shared" ref="C7:C17" si="0">$C$18*B7/$B$18</f>
        <v>1743.4984534601742</v>
      </c>
      <c r="D7" s="112">
        <f t="shared" ref="D7:D17" si="1">C7/4</f>
        <v>435.87461336504356</v>
      </c>
      <c r="F7" s="118" t="s">
        <v>70</v>
      </c>
      <c r="G7" s="119">
        <v>178</v>
      </c>
      <c r="H7" s="119"/>
      <c r="I7" s="120" t="s">
        <v>90</v>
      </c>
      <c r="K7" s="129" t="s">
        <v>70</v>
      </c>
      <c r="L7" s="213">
        <v>178</v>
      </c>
      <c r="M7" s="129">
        <v>176.5</v>
      </c>
      <c r="N7" s="129" t="s">
        <v>90</v>
      </c>
      <c r="O7" s="129"/>
      <c r="P7" s="129"/>
      <c r="Q7" s="129">
        <v>1</v>
      </c>
      <c r="R7" s="129">
        <v>4</v>
      </c>
      <c r="S7" s="184"/>
      <c r="T7" s="184"/>
    </row>
    <row r="8" spans="1:20">
      <c r="A8" t="s">
        <v>73</v>
      </c>
      <c r="B8" s="111">
        <f>УВ5!J1</f>
        <v>1416.9</v>
      </c>
      <c r="C8" s="112">
        <f t="shared" si="0"/>
        <v>1735.049135206996</v>
      </c>
      <c r="D8" s="112">
        <f t="shared" si="1"/>
        <v>433.76228380174899</v>
      </c>
      <c r="F8" s="118" t="s">
        <v>70</v>
      </c>
      <c r="G8" s="119">
        <v>183</v>
      </c>
      <c r="H8" s="119"/>
      <c r="I8" s="120" t="s">
        <v>91</v>
      </c>
      <c r="K8" s="129" t="s">
        <v>70</v>
      </c>
      <c r="L8" s="213">
        <v>183</v>
      </c>
      <c r="M8" s="129">
        <v>169.8</v>
      </c>
      <c r="N8" s="129" t="s">
        <v>91</v>
      </c>
      <c r="O8" s="129"/>
      <c r="P8" s="129"/>
      <c r="Q8" s="129">
        <v>1</v>
      </c>
      <c r="R8" s="129">
        <v>1</v>
      </c>
      <c r="S8" s="184"/>
      <c r="T8" s="184"/>
    </row>
    <row r="9" spans="1:20">
      <c r="A9" t="s">
        <v>74</v>
      </c>
      <c r="B9" s="111">
        <f>УВ7!J1</f>
        <v>1422.7</v>
      </c>
      <c r="C9" s="112">
        <f t="shared" si="0"/>
        <v>1742.1514606951746</v>
      </c>
      <c r="D9" s="112">
        <f t="shared" si="1"/>
        <v>435.53786517379365</v>
      </c>
      <c r="F9" s="118" t="s">
        <v>70</v>
      </c>
      <c r="G9" s="119">
        <v>176.2</v>
      </c>
      <c r="H9" s="119"/>
      <c r="I9" s="120" t="s">
        <v>92</v>
      </c>
      <c r="K9" s="129" t="s">
        <v>70</v>
      </c>
      <c r="L9" s="213">
        <v>176.2</v>
      </c>
      <c r="M9" s="129">
        <v>176.2</v>
      </c>
      <c r="N9" s="129" t="s">
        <v>92</v>
      </c>
      <c r="O9" s="129"/>
      <c r="P9" s="129"/>
      <c r="Q9" s="129">
        <v>1</v>
      </c>
      <c r="R9" s="129">
        <v>1</v>
      </c>
      <c r="S9" s="184"/>
      <c r="T9" s="184"/>
    </row>
    <row r="10" spans="1:20" ht="15.75" thickBot="1">
      <c r="A10" t="s">
        <v>75</v>
      </c>
      <c r="B10" s="111">
        <f>УВ9!J1</f>
        <v>1256.5999999999999</v>
      </c>
      <c r="C10" s="112">
        <f t="shared" si="0"/>
        <v>1538.7555531802604</v>
      </c>
      <c r="D10" s="112">
        <f t="shared" si="1"/>
        <v>384.68888829506511</v>
      </c>
      <c r="F10" s="121" t="s">
        <v>70</v>
      </c>
      <c r="G10" s="122">
        <v>176.4</v>
      </c>
      <c r="H10" s="122"/>
      <c r="I10" s="123" t="s">
        <v>93</v>
      </c>
      <c r="K10" s="129" t="s">
        <v>70</v>
      </c>
      <c r="L10" s="213">
        <v>176.4</v>
      </c>
      <c r="M10" s="129">
        <v>176.4</v>
      </c>
      <c r="N10" s="129" t="s">
        <v>93</v>
      </c>
      <c r="O10" s="129"/>
      <c r="P10" s="129"/>
      <c r="Q10" s="129">
        <v>1</v>
      </c>
      <c r="R10" s="129">
        <v>2</v>
      </c>
      <c r="S10" s="184"/>
      <c r="T10" s="184"/>
    </row>
    <row r="11" spans="1:20">
      <c r="A11" t="s">
        <v>76</v>
      </c>
      <c r="B11" s="111">
        <f>УВ11!J1</f>
        <v>1418.5</v>
      </c>
      <c r="C11" s="112">
        <f t="shared" si="0"/>
        <v>1737.0083974106315</v>
      </c>
      <c r="D11" s="112">
        <f t="shared" si="1"/>
        <v>434.25209935265786</v>
      </c>
      <c r="F11" t="s">
        <v>71</v>
      </c>
      <c r="G11">
        <v>1249.5</v>
      </c>
      <c r="I11" t="s">
        <v>94</v>
      </c>
      <c r="L11" s="131">
        <f>SUM(L2:L10)</f>
        <v>1581.0000000000002</v>
      </c>
      <c r="M11" s="131">
        <f>SUM(M2:M10)</f>
        <v>1549</v>
      </c>
      <c r="Q11" s="225">
        <f>SUM(Q2:Q10)</f>
        <v>9</v>
      </c>
      <c r="R11">
        <f>SUM(R2:R10)</f>
        <v>10</v>
      </c>
      <c r="S11" s="181">
        <f>SUM(S2:S10)</f>
        <v>3</v>
      </c>
      <c r="T11">
        <f>SUM(R11+S11)</f>
        <v>13</v>
      </c>
    </row>
    <row r="12" spans="1:20" s="181" customFormat="1">
      <c r="B12" s="111"/>
      <c r="C12" s="112"/>
      <c r="D12" s="112"/>
      <c r="L12" s="131"/>
    </row>
    <row r="13" spans="1:20">
      <c r="A13" t="s">
        <v>77</v>
      </c>
      <c r="B13" s="111">
        <f>УВ13!J1</f>
        <v>1259.8</v>
      </c>
      <c r="C13" s="112">
        <f t="shared" si="0"/>
        <v>1542.6740775875314</v>
      </c>
      <c r="D13" s="112">
        <f t="shared" si="1"/>
        <v>385.66851939688286</v>
      </c>
      <c r="F13" t="s">
        <v>76</v>
      </c>
      <c r="G13" s="111">
        <v>1418.5</v>
      </c>
      <c r="I13" t="s">
        <v>95</v>
      </c>
      <c r="K13" s="129" t="s">
        <v>67</v>
      </c>
      <c r="L13" s="212">
        <v>774.4</v>
      </c>
      <c r="M13" s="129">
        <v>776.1</v>
      </c>
      <c r="N13" s="129" t="s">
        <v>100</v>
      </c>
      <c r="O13" s="129"/>
      <c r="P13" s="129"/>
      <c r="Q13" s="212">
        <v>6</v>
      </c>
      <c r="R13" s="132">
        <v>9</v>
      </c>
      <c r="S13" s="132">
        <v>3</v>
      </c>
      <c r="T13" s="184">
        <f>SUM(R13+S13)</f>
        <v>12</v>
      </c>
    </row>
    <row r="14" spans="1:20">
      <c r="A14" t="s">
        <v>78</v>
      </c>
      <c r="B14" s="111">
        <f>УВ15!J1</f>
        <v>1259.4000000000001</v>
      </c>
      <c r="C14" s="112">
        <f t="shared" si="0"/>
        <v>1542.1842620366226</v>
      </c>
      <c r="D14" s="112">
        <f t="shared" si="1"/>
        <v>385.54606550915565</v>
      </c>
      <c r="F14" t="s">
        <v>77</v>
      </c>
      <c r="G14" s="111">
        <v>1259.8</v>
      </c>
      <c r="I14" t="s">
        <v>96</v>
      </c>
      <c r="K14" s="129" t="s">
        <v>68</v>
      </c>
      <c r="L14" s="212">
        <v>774</v>
      </c>
      <c r="M14" s="129">
        <v>774</v>
      </c>
      <c r="N14" s="129" t="s">
        <v>103</v>
      </c>
      <c r="O14" s="129"/>
      <c r="P14" s="129"/>
      <c r="Q14" s="129">
        <v>6</v>
      </c>
      <c r="R14" s="132">
        <v>6</v>
      </c>
      <c r="S14" s="132">
        <v>2</v>
      </c>
      <c r="T14" s="184">
        <f>SUM(R14+S14)</f>
        <v>8</v>
      </c>
    </row>
    <row r="15" spans="1:20">
      <c r="A15" t="s">
        <v>79</v>
      </c>
      <c r="B15" s="111">
        <f>УВ17!J1</f>
        <v>1418.4</v>
      </c>
      <c r="C15" s="112">
        <f t="shared" si="0"/>
        <v>1736.8859435229042</v>
      </c>
      <c r="D15" s="112">
        <f t="shared" si="1"/>
        <v>434.22148588072605</v>
      </c>
      <c r="F15" t="s">
        <v>78</v>
      </c>
      <c r="G15" s="111">
        <v>1261.9000000000001</v>
      </c>
      <c r="I15" t="s">
        <v>97</v>
      </c>
      <c r="K15" s="129" t="s">
        <v>69</v>
      </c>
      <c r="L15" s="212">
        <v>774.4</v>
      </c>
      <c r="M15" s="129">
        <v>774.4</v>
      </c>
      <c r="N15" s="129" t="s">
        <v>105</v>
      </c>
      <c r="O15" s="129"/>
      <c r="P15" s="129"/>
      <c r="Q15" s="129">
        <v>6</v>
      </c>
      <c r="R15" s="132">
        <v>1</v>
      </c>
      <c r="S15" s="132">
        <v>5</v>
      </c>
      <c r="T15" s="184">
        <f>SUM(R15+S15)</f>
        <v>6</v>
      </c>
    </row>
    <row r="16" spans="1:20">
      <c r="A16" t="s">
        <v>80</v>
      </c>
      <c r="B16" s="111">
        <f>УВ19!J1</f>
        <v>1419.1</v>
      </c>
      <c r="C16" s="112">
        <f t="shared" si="0"/>
        <v>1737.7431207369948</v>
      </c>
      <c r="D16" s="112">
        <f t="shared" si="1"/>
        <v>434.4357801842487</v>
      </c>
      <c r="F16" t="s">
        <v>79</v>
      </c>
      <c r="G16" s="111">
        <v>1420.9</v>
      </c>
      <c r="I16" t="s">
        <v>98</v>
      </c>
      <c r="R16" s="231"/>
      <c r="S16" s="231"/>
    </row>
    <row r="17" spans="1:20">
      <c r="A17" t="s">
        <v>81</v>
      </c>
      <c r="B17" s="111">
        <f>УВ21!J1</f>
        <v>1419.1</v>
      </c>
      <c r="C17" s="112">
        <f t="shared" si="0"/>
        <v>1737.7431207369948</v>
      </c>
      <c r="D17" s="112">
        <f t="shared" si="1"/>
        <v>434.4357801842487</v>
      </c>
      <c r="F17" t="s">
        <v>80</v>
      </c>
      <c r="G17" s="111">
        <v>1419.1</v>
      </c>
      <c r="I17" t="s">
        <v>99</v>
      </c>
      <c r="K17" s="129" t="s">
        <v>110</v>
      </c>
      <c r="L17" s="212">
        <v>1254.5999999999999</v>
      </c>
      <c r="M17" s="129">
        <v>1252</v>
      </c>
      <c r="N17" s="129" t="s">
        <v>94</v>
      </c>
      <c r="O17" s="129"/>
      <c r="P17" s="129"/>
      <c r="Q17" s="129">
        <v>19</v>
      </c>
      <c r="R17" s="184">
        <v>15</v>
      </c>
      <c r="S17" s="184">
        <v>8</v>
      </c>
      <c r="T17" s="184">
        <f t="shared" ref="T17:T27" si="2">SUM(R17+S17)</f>
        <v>23</v>
      </c>
    </row>
    <row r="18" spans="1:20">
      <c r="A18" t="s">
        <v>83</v>
      </c>
      <c r="B18" s="111">
        <f>SUM(B6:B17)</f>
        <v>14968.9</v>
      </c>
      <c r="C18">
        <v>18330</v>
      </c>
      <c r="F18" t="s">
        <v>67</v>
      </c>
      <c r="G18">
        <v>776.1</v>
      </c>
      <c r="I18" t="s">
        <v>100</v>
      </c>
      <c r="K18" s="129" t="s">
        <v>108</v>
      </c>
      <c r="L18" s="215">
        <v>1423.8</v>
      </c>
      <c r="M18" s="129">
        <v>1427.3</v>
      </c>
      <c r="N18" s="129" t="s">
        <v>102</v>
      </c>
      <c r="O18" s="129"/>
      <c r="P18" s="129"/>
      <c r="Q18" s="129">
        <v>18</v>
      </c>
      <c r="R18" s="184">
        <v>21</v>
      </c>
      <c r="S18" s="184">
        <v>5</v>
      </c>
      <c r="T18" s="184">
        <f t="shared" si="2"/>
        <v>26</v>
      </c>
    </row>
    <row r="19" spans="1:20">
      <c r="A19" t="s">
        <v>84</v>
      </c>
      <c r="B19" s="111">
        <f>B2+B3+B4</f>
        <v>2322.8000000000002</v>
      </c>
      <c r="F19" t="s">
        <v>81</v>
      </c>
      <c r="G19" s="111">
        <v>1421.6</v>
      </c>
      <c r="I19" t="s">
        <v>101</v>
      </c>
      <c r="K19" s="129" t="s">
        <v>109</v>
      </c>
      <c r="L19" s="215">
        <v>1416.9</v>
      </c>
      <c r="M19" s="129">
        <v>1421.7</v>
      </c>
      <c r="N19" s="129" t="s">
        <v>104</v>
      </c>
      <c r="O19" s="129"/>
      <c r="P19" s="129"/>
      <c r="Q19" s="129">
        <v>17</v>
      </c>
      <c r="R19" s="184">
        <v>25</v>
      </c>
      <c r="S19" s="184">
        <v>3</v>
      </c>
      <c r="T19" s="184">
        <f t="shared" si="2"/>
        <v>28</v>
      </c>
    </row>
    <row r="20" spans="1:20">
      <c r="A20" t="s">
        <v>70</v>
      </c>
      <c r="B20" s="111">
        <f>B5</f>
        <v>1581.0000000000002</v>
      </c>
      <c r="F20" t="s">
        <v>83</v>
      </c>
      <c r="G20" s="111">
        <v>1425.9</v>
      </c>
      <c r="I20" t="s">
        <v>102</v>
      </c>
      <c r="K20" s="129" t="s">
        <v>111</v>
      </c>
      <c r="L20" s="215">
        <v>1422.7</v>
      </c>
      <c r="M20" s="129">
        <v>1425</v>
      </c>
      <c r="N20" s="129" t="s">
        <v>106</v>
      </c>
      <c r="O20" s="129"/>
      <c r="P20" s="129"/>
      <c r="Q20" s="129">
        <v>18</v>
      </c>
      <c r="R20" s="184">
        <v>18</v>
      </c>
      <c r="S20" s="184">
        <v>8</v>
      </c>
      <c r="T20" s="184">
        <f t="shared" si="2"/>
        <v>26</v>
      </c>
    </row>
    <row r="21" spans="1:20">
      <c r="B21" s="111">
        <f>SUM(B18:B20)</f>
        <v>18872.7</v>
      </c>
      <c r="F21" t="s">
        <v>68</v>
      </c>
      <c r="G21">
        <v>774</v>
      </c>
      <c r="I21" t="s">
        <v>103</v>
      </c>
      <c r="K21" s="129" t="s">
        <v>112</v>
      </c>
      <c r="L21" s="215">
        <v>1256.5999999999999</v>
      </c>
      <c r="M21" s="129">
        <v>1257</v>
      </c>
      <c r="N21" s="129" t="s">
        <v>107</v>
      </c>
      <c r="O21" s="129"/>
      <c r="P21" s="129"/>
      <c r="Q21" s="129">
        <v>21</v>
      </c>
      <c r="R21" s="184">
        <v>19</v>
      </c>
      <c r="S21" s="184">
        <v>9</v>
      </c>
      <c r="T21" s="184">
        <f t="shared" si="2"/>
        <v>28</v>
      </c>
    </row>
    <row r="22" spans="1:20">
      <c r="F22" t="s">
        <v>83</v>
      </c>
      <c r="G22" s="111">
        <v>1419.4</v>
      </c>
      <c r="I22" t="s">
        <v>104</v>
      </c>
      <c r="K22" s="129" t="s">
        <v>76</v>
      </c>
      <c r="L22" s="215">
        <v>1418.5</v>
      </c>
      <c r="M22" s="129">
        <v>1418.5</v>
      </c>
      <c r="N22" s="129" t="s">
        <v>95</v>
      </c>
      <c r="O22" s="129"/>
      <c r="P22" s="129"/>
      <c r="Q22" s="129">
        <v>18</v>
      </c>
      <c r="R22" s="184">
        <v>20</v>
      </c>
      <c r="S22" s="184">
        <v>6</v>
      </c>
      <c r="T22" s="184">
        <f t="shared" si="2"/>
        <v>26</v>
      </c>
    </row>
    <row r="23" spans="1:20">
      <c r="F23" t="s">
        <v>69</v>
      </c>
      <c r="G23">
        <v>774.4</v>
      </c>
      <c r="I23" t="s">
        <v>105</v>
      </c>
      <c r="K23" s="129" t="s">
        <v>77</v>
      </c>
      <c r="L23" s="215">
        <v>1259.8</v>
      </c>
      <c r="M23" s="129">
        <v>1259.8</v>
      </c>
      <c r="N23" s="129" t="s">
        <v>96</v>
      </c>
      <c r="O23" s="129"/>
      <c r="P23" s="129"/>
      <c r="Q23" s="129">
        <v>21</v>
      </c>
      <c r="R23" s="184">
        <v>20</v>
      </c>
      <c r="S23" s="184">
        <v>8</v>
      </c>
      <c r="T23" s="184">
        <f t="shared" si="2"/>
        <v>28</v>
      </c>
    </row>
    <row r="24" spans="1:20">
      <c r="F24" t="s">
        <v>83</v>
      </c>
      <c r="G24" s="111">
        <v>1422.7</v>
      </c>
      <c r="I24" t="s">
        <v>106</v>
      </c>
      <c r="K24" s="129" t="s">
        <v>78</v>
      </c>
      <c r="L24" s="215">
        <v>1259.4000000000001</v>
      </c>
      <c r="M24" s="129">
        <v>1263.5</v>
      </c>
      <c r="N24" s="129" t="s">
        <v>97</v>
      </c>
      <c r="O24" s="129"/>
      <c r="P24" s="129"/>
      <c r="Q24" s="129">
        <v>20</v>
      </c>
      <c r="R24" s="184">
        <v>19</v>
      </c>
      <c r="S24" s="184">
        <v>8</v>
      </c>
      <c r="T24" s="184">
        <f t="shared" si="2"/>
        <v>27</v>
      </c>
    </row>
    <row r="25" spans="1:20">
      <c r="F25" t="s">
        <v>83</v>
      </c>
      <c r="G25" s="111">
        <v>1256.5999999999999</v>
      </c>
      <c r="I25" t="s">
        <v>107</v>
      </c>
      <c r="K25" s="129" t="s">
        <v>79</v>
      </c>
      <c r="L25" s="215">
        <v>1418.4</v>
      </c>
      <c r="M25" s="129">
        <v>1420.9</v>
      </c>
      <c r="N25" s="129" t="s">
        <v>98</v>
      </c>
      <c r="O25" s="129"/>
      <c r="P25" s="129"/>
      <c r="Q25" s="129">
        <v>18</v>
      </c>
      <c r="R25" s="184">
        <v>35</v>
      </c>
      <c r="S25" s="184">
        <v>2</v>
      </c>
      <c r="T25" s="184">
        <f t="shared" si="2"/>
        <v>37</v>
      </c>
    </row>
    <row r="26" spans="1:20">
      <c r="K26" s="129" t="s">
        <v>80</v>
      </c>
      <c r="L26" s="212">
        <v>1419.1</v>
      </c>
      <c r="M26" s="129">
        <v>1421.6</v>
      </c>
      <c r="N26" s="129" t="s">
        <v>99</v>
      </c>
      <c r="O26" s="129"/>
      <c r="P26" s="129"/>
      <c r="Q26" s="129">
        <v>17</v>
      </c>
      <c r="R26" s="184">
        <v>21</v>
      </c>
      <c r="S26" s="184">
        <v>2</v>
      </c>
      <c r="T26" s="184">
        <f t="shared" si="2"/>
        <v>23</v>
      </c>
    </row>
    <row r="27" spans="1:20">
      <c r="K27" s="129" t="s">
        <v>81</v>
      </c>
      <c r="L27" s="215">
        <v>1419.1</v>
      </c>
      <c r="M27" s="129">
        <v>1423</v>
      </c>
      <c r="N27" s="129" t="s">
        <v>101</v>
      </c>
      <c r="O27" s="129"/>
      <c r="P27" s="129"/>
      <c r="Q27" s="129">
        <v>18</v>
      </c>
      <c r="R27" s="184">
        <v>29</v>
      </c>
      <c r="S27" s="184">
        <v>1</v>
      </c>
      <c r="T27" s="184">
        <f t="shared" si="2"/>
        <v>30</v>
      </c>
    </row>
    <row r="28" spans="1:20">
      <c r="L28" s="181">
        <f>SUM(L17:L27)</f>
        <v>14968.9</v>
      </c>
      <c r="M28">
        <f>SUM(M17:M27)</f>
        <v>14990.3</v>
      </c>
      <c r="Q28" s="181">
        <f>SUM(Q17:Q27)</f>
        <v>205</v>
      </c>
    </row>
    <row r="29" spans="1:20">
      <c r="T29">
        <f>SUM(T2:T27)</f>
        <v>341</v>
      </c>
    </row>
  </sheetData>
  <mergeCells count="1">
    <mergeCell ref="N1:P1"/>
  </mergeCells>
  <phoneticPr fontId="2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38D9-6E28-474C-8E3A-448B18AE1DEA}">
  <sheetPr>
    <tabColor rgb="FFFFC000"/>
  </sheetPr>
  <dimension ref="A1:J64"/>
  <sheetViews>
    <sheetView topLeftCell="A37" workbookViewId="0">
      <selection activeCell="A63" sqref="A63:A64"/>
    </sheetView>
  </sheetViews>
  <sheetFormatPr defaultRowHeight="15"/>
  <cols>
    <col min="1" max="1" width="41" customWidth="1"/>
    <col min="2" max="2" width="18.140625" customWidth="1"/>
    <col min="3" max="3" width="17.140625" customWidth="1"/>
    <col min="4" max="4" width="13.140625" customWidth="1"/>
    <col min="5" max="5" width="13.85546875" customWidth="1"/>
    <col min="8" max="8" width="11.28515625" customWidth="1"/>
  </cols>
  <sheetData>
    <row r="1" spans="1:10" ht="60" customHeight="1">
      <c r="A1" s="188" t="s">
        <v>152</v>
      </c>
      <c r="B1" s="191" t="s">
        <v>153</v>
      </c>
      <c r="C1" s="182" t="s">
        <v>154</v>
      </c>
      <c r="D1" s="182" t="s">
        <v>155</v>
      </c>
      <c r="E1" s="182" t="s">
        <v>155</v>
      </c>
      <c r="F1" s="182" t="s">
        <v>156</v>
      </c>
      <c r="G1" s="182" t="s">
        <v>157</v>
      </c>
      <c r="H1" s="182" t="s">
        <v>158</v>
      </c>
      <c r="I1" s="180"/>
      <c r="J1" s="180"/>
    </row>
    <row r="2" spans="1:10">
      <c r="A2" s="182" t="s">
        <v>225</v>
      </c>
      <c r="B2" s="182"/>
      <c r="C2" s="182"/>
      <c r="D2" s="182"/>
      <c r="E2" s="182"/>
      <c r="F2" s="182"/>
      <c r="G2" s="182"/>
      <c r="H2" s="182"/>
      <c r="I2" s="180"/>
      <c r="J2" s="180"/>
    </row>
    <row r="3" spans="1:10" ht="15" customHeight="1">
      <c r="A3" s="182" t="s">
        <v>159</v>
      </c>
      <c r="B3" s="191" t="s">
        <v>160</v>
      </c>
      <c r="C3" s="182">
        <v>11</v>
      </c>
      <c r="D3" s="182">
        <v>13.2</v>
      </c>
      <c r="E3" s="182">
        <v>145.19999999999999</v>
      </c>
      <c r="F3" s="182"/>
      <c r="G3" s="182"/>
      <c r="H3" s="182">
        <v>145.19999999999999</v>
      </c>
      <c r="I3" s="180"/>
      <c r="J3" s="180"/>
    </row>
    <row r="4" spans="1:10" ht="15" customHeight="1">
      <c r="A4" s="182" t="s">
        <v>161</v>
      </c>
      <c r="B4" s="191" t="s">
        <v>162</v>
      </c>
      <c r="C4" s="182">
        <v>5</v>
      </c>
      <c r="D4" s="182">
        <v>13.2</v>
      </c>
      <c r="E4" s="182">
        <v>66</v>
      </c>
      <c r="F4" s="182"/>
      <c r="G4" s="182"/>
      <c r="H4" s="182">
        <v>66</v>
      </c>
      <c r="I4" s="180"/>
      <c r="J4" s="180"/>
    </row>
    <row r="5" spans="1:10" ht="15" customHeight="1">
      <c r="A5" s="182" t="s">
        <v>163</v>
      </c>
      <c r="B5" s="191" t="s">
        <v>164</v>
      </c>
      <c r="C5" s="182">
        <v>3</v>
      </c>
      <c r="D5" s="182">
        <v>150</v>
      </c>
      <c r="E5" s="182">
        <v>450</v>
      </c>
      <c r="F5" s="182"/>
      <c r="G5" s="182"/>
      <c r="H5" s="182">
        <v>450</v>
      </c>
      <c r="I5" s="180"/>
      <c r="J5" s="180"/>
    </row>
    <row r="6" spans="1:10" ht="15" customHeight="1">
      <c r="A6" s="182" t="s">
        <v>163</v>
      </c>
      <c r="B6" s="191" t="s">
        <v>165</v>
      </c>
      <c r="C6" s="182">
        <v>2</v>
      </c>
      <c r="D6" s="182">
        <v>150</v>
      </c>
      <c r="E6" s="182">
        <v>300</v>
      </c>
      <c r="F6" s="182"/>
      <c r="G6" s="182"/>
      <c r="H6" s="182">
        <v>300</v>
      </c>
      <c r="I6" s="180"/>
      <c r="J6" s="180"/>
    </row>
    <row r="7" spans="1:10" ht="15" customHeight="1">
      <c r="A7" s="182" t="s">
        <v>166</v>
      </c>
      <c r="B7" s="191" t="s">
        <v>226</v>
      </c>
      <c r="C7" s="182">
        <v>3</v>
      </c>
      <c r="D7" s="182">
        <v>150</v>
      </c>
      <c r="E7" s="182">
        <v>450</v>
      </c>
      <c r="F7" s="182"/>
      <c r="G7" s="182"/>
      <c r="H7" s="182">
        <v>450</v>
      </c>
      <c r="I7" s="180"/>
      <c r="J7" s="180"/>
    </row>
    <row r="8" spans="1:10" ht="15" customHeight="1">
      <c r="A8" s="182" t="s">
        <v>166</v>
      </c>
      <c r="B8" s="191" t="s">
        <v>227</v>
      </c>
      <c r="C8" s="182">
        <v>3</v>
      </c>
      <c r="D8" s="182">
        <v>150</v>
      </c>
      <c r="E8" s="182">
        <v>450</v>
      </c>
      <c r="F8" s="182"/>
      <c r="G8" s="182"/>
      <c r="H8" s="182">
        <v>450</v>
      </c>
      <c r="I8" s="180"/>
      <c r="J8" s="180"/>
    </row>
    <row r="9" spans="1:10" ht="15" customHeight="1">
      <c r="A9" s="182" t="s">
        <v>167</v>
      </c>
      <c r="B9" s="191" t="s">
        <v>168</v>
      </c>
      <c r="C9" s="182">
        <v>2</v>
      </c>
      <c r="D9" s="182">
        <v>20</v>
      </c>
      <c r="E9" s="182">
        <v>40</v>
      </c>
      <c r="F9" s="182"/>
      <c r="G9" s="182"/>
      <c r="H9" s="182">
        <v>40</v>
      </c>
      <c r="I9" s="180"/>
      <c r="J9" s="180"/>
    </row>
    <row r="10" spans="1:10" ht="15" customHeight="1">
      <c r="A10" s="182" t="s">
        <v>169</v>
      </c>
      <c r="B10" s="191" t="s">
        <v>170</v>
      </c>
      <c r="C10" s="182">
        <v>6</v>
      </c>
      <c r="D10" s="182">
        <v>7</v>
      </c>
      <c r="E10" s="182">
        <v>42</v>
      </c>
      <c r="F10" s="182"/>
      <c r="G10" s="182"/>
      <c r="H10" s="182">
        <v>42</v>
      </c>
      <c r="I10" s="180"/>
      <c r="J10" s="180"/>
    </row>
    <row r="11" spans="1:10" ht="15" customHeight="1">
      <c r="A11" s="182" t="s">
        <v>171</v>
      </c>
      <c r="B11" s="191" t="s">
        <v>172</v>
      </c>
      <c r="C11" s="182">
        <v>1</v>
      </c>
      <c r="D11" s="182">
        <v>38</v>
      </c>
      <c r="E11" s="182">
        <v>38</v>
      </c>
      <c r="F11" s="182"/>
      <c r="G11" s="182"/>
      <c r="H11" s="182">
        <v>38</v>
      </c>
      <c r="I11" s="180"/>
      <c r="J11" s="180"/>
    </row>
    <row r="12" spans="1:10" ht="15" customHeight="1">
      <c r="A12" s="182" t="s">
        <v>228</v>
      </c>
      <c r="B12" s="191" t="s">
        <v>229</v>
      </c>
      <c r="C12" s="182">
        <v>3</v>
      </c>
      <c r="D12" s="182">
        <v>15</v>
      </c>
      <c r="E12" s="182">
        <v>45</v>
      </c>
      <c r="F12" s="182"/>
      <c r="G12" s="182"/>
      <c r="H12" s="182">
        <v>45</v>
      </c>
      <c r="I12" s="180"/>
      <c r="J12" s="180"/>
    </row>
    <row r="13" spans="1:10" ht="15" customHeight="1">
      <c r="A13" s="182" t="s">
        <v>173</v>
      </c>
      <c r="B13" s="191" t="s">
        <v>174</v>
      </c>
      <c r="C13" s="182">
        <v>11</v>
      </c>
      <c r="D13" s="182">
        <v>10</v>
      </c>
      <c r="E13" s="182">
        <v>110</v>
      </c>
      <c r="F13" s="182"/>
      <c r="G13" s="182"/>
      <c r="H13" s="182">
        <v>110</v>
      </c>
      <c r="I13" s="180"/>
      <c r="J13" s="180"/>
    </row>
    <row r="14" spans="1:10" ht="15" customHeight="1">
      <c r="A14" s="182" t="s">
        <v>230</v>
      </c>
      <c r="B14" s="191" t="s">
        <v>231</v>
      </c>
      <c r="C14" s="182">
        <v>6</v>
      </c>
      <c r="D14" s="182">
        <v>78</v>
      </c>
      <c r="E14" s="182">
        <v>468</v>
      </c>
      <c r="F14" s="182"/>
      <c r="G14" s="182"/>
      <c r="H14" s="182">
        <v>468</v>
      </c>
      <c r="I14" s="180"/>
      <c r="J14" s="180"/>
    </row>
    <row r="15" spans="1:10" ht="15" customHeight="1">
      <c r="A15" s="182" t="s">
        <v>175</v>
      </c>
      <c r="B15" s="191" t="s">
        <v>176</v>
      </c>
      <c r="C15" s="182">
        <v>11</v>
      </c>
      <c r="D15" s="182">
        <v>2</v>
      </c>
      <c r="E15" s="182">
        <v>22</v>
      </c>
      <c r="F15" s="182"/>
      <c r="G15" s="182"/>
      <c r="H15" s="182">
        <v>22</v>
      </c>
      <c r="I15" s="180"/>
      <c r="J15" s="180"/>
    </row>
    <row r="16" spans="1:10" ht="15" customHeight="1">
      <c r="A16" s="182" t="s">
        <v>232</v>
      </c>
      <c r="B16" s="191" t="s">
        <v>233</v>
      </c>
      <c r="C16" s="182">
        <v>6</v>
      </c>
      <c r="D16" s="187">
        <v>13</v>
      </c>
      <c r="E16" s="182">
        <v>78</v>
      </c>
      <c r="F16" s="182"/>
      <c r="G16" s="182"/>
      <c r="H16" s="182">
        <v>78</v>
      </c>
      <c r="I16" s="180"/>
      <c r="J16" s="180"/>
    </row>
    <row r="17" spans="1:10" ht="15" customHeight="1">
      <c r="A17" s="182" t="s">
        <v>177</v>
      </c>
      <c r="B17" s="191" t="s">
        <v>178</v>
      </c>
      <c r="C17" s="182">
        <v>10</v>
      </c>
      <c r="D17" s="182">
        <v>2</v>
      </c>
      <c r="E17" s="182">
        <v>20</v>
      </c>
      <c r="F17" s="182"/>
      <c r="G17" s="182"/>
      <c r="H17" s="182">
        <v>20</v>
      </c>
      <c r="I17" s="181"/>
      <c r="J17" s="181"/>
    </row>
    <row r="18" spans="1:10" ht="15" customHeight="1">
      <c r="A18" s="182" t="s">
        <v>179</v>
      </c>
      <c r="B18" s="191" t="s">
        <v>180</v>
      </c>
      <c r="C18" s="182">
        <v>1</v>
      </c>
      <c r="D18" s="182">
        <v>8</v>
      </c>
      <c r="E18" s="182">
        <v>8</v>
      </c>
      <c r="F18" s="182"/>
      <c r="G18" s="182"/>
      <c r="H18" s="182">
        <v>8</v>
      </c>
      <c r="I18" s="181"/>
      <c r="J18" s="181"/>
    </row>
    <row r="19" spans="1:10" ht="15" customHeight="1">
      <c r="A19" s="182" t="s">
        <v>181</v>
      </c>
      <c r="B19" s="191" t="s">
        <v>182</v>
      </c>
      <c r="C19" s="182">
        <v>5</v>
      </c>
      <c r="D19" s="182">
        <v>3</v>
      </c>
      <c r="E19" s="182">
        <v>15</v>
      </c>
      <c r="F19" s="182"/>
      <c r="G19" s="182"/>
      <c r="H19" s="182">
        <v>15</v>
      </c>
      <c r="I19" s="181"/>
      <c r="J19" s="181"/>
    </row>
    <row r="20" spans="1:10" ht="15" customHeight="1">
      <c r="A20" s="182" t="s">
        <v>181</v>
      </c>
      <c r="B20" s="192" t="s">
        <v>183</v>
      </c>
      <c r="C20" s="182">
        <v>5</v>
      </c>
      <c r="D20" s="182">
        <v>5</v>
      </c>
      <c r="E20" s="182">
        <v>25</v>
      </c>
      <c r="F20" s="182"/>
      <c r="G20" s="182"/>
      <c r="H20" s="182">
        <v>25</v>
      </c>
      <c r="I20" s="181"/>
      <c r="J20" s="181"/>
    </row>
    <row r="21" spans="1:10" ht="15" customHeight="1">
      <c r="A21" s="182" t="s">
        <v>184</v>
      </c>
      <c r="B21" s="191" t="s">
        <v>185</v>
      </c>
      <c r="C21" s="182">
        <v>1</v>
      </c>
      <c r="D21" s="182">
        <v>30</v>
      </c>
      <c r="E21" s="182">
        <v>30</v>
      </c>
      <c r="F21" s="182"/>
      <c r="G21" s="182"/>
      <c r="H21" s="182">
        <v>30</v>
      </c>
      <c r="I21" s="181"/>
      <c r="J21" s="181"/>
    </row>
    <row r="22" spans="1:10" ht="15" customHeight="1">
      <c r="A22" s="182" t="s">
        <v>181</v>
      </c>
      <c r="B22" s="191" t="s">
        <v>186</v>
      </c>
      <c r="C22" s="182">
        <v>5</v>
      </c>
      <c r="D22" s="182">
        <v>3</v>
      </c>
      <c r="E22" s="182">
        <v>15</v>
      </c>
      <c r="F22" s="182"/>
      <c r="G22" s="182"/>
      <c r="H22" s="182">
        <v>15</v>
      </c>
      <c r="I22" s="181"/>
      <c r="J22" s="181"/>
    </row>
    <row r="23" spans="1:10" ht="15" customHeight="1">
      <c r="A23" s="182" t="s">
        <v>181</v>
      </c>
      <c r="B23" s="192" t="s">
        <v>187</v>
      </c>
      <c r="C23" s="182">
        <v>5</v>
      </c>
      <c r="D23" s="182">
        <v>4</v>
      </c>
      <c r="E23" s="182">
        <v>20</v>
      </c>
      <c r="F23" s="182"/>
      <c r="G23" s="182"/>
      <c r="H23" s="182">
        <v>20</v>
      </c>
      <c r="I23" s="181"/>
      <c r="J23" s="181"/>
    </row>
    <row r="24" spans="1:10" ht="15" customHeight="1">
      <c r="A24" s="182" t="s">
        <v>188</v>
      </c>
      <c r="B24" s="192" t="s">
        <v>189</v>
      </c>
      <c r="C24" s="182">
        <v>10</v>
      </c>
      <c r="D24" s="182">
        <v>140</v>
      </c>
      <c r="E24" s="182">
        <v>1400</v>
      </c>
      <c r="F24" s="182"/>
      <c r="G24" s="182"/>
      <c r="H24" s="182">
        <v>1400</v>
      </c>
      <c r="I24" s="181"/>
      <c r="J24" s="181"/>
    </row>
    <row r="25" spans="1:10" ht="15" customHeight="1">
      <c r="A25" s="197" t="s">
        <v>190</v>
      </c>
      <c r="B25" s="192" t="s">
        <v>191</v>
      </c>
      <c r="C25" s="182">
        <v>10</v>
      </c>
      <c r="D25" s="182">
        <v>13</v>
      </c>
      <c r="E25" s="182">
        <v>130</v>
      </c>
      <c r="F25" s="182"/>
      <c r="G25" s="182"/>
      <c r="H25" s="182">
        <v>130</v>
      </c>
      <c r="I25" s="181"/>
      <c r="J25" s="181"/>
    </row>
    <row r="26" spans="1:10" ht="15" customHeight="1">
      <c r="A26" s="190"/>
      <c r="B26" s="192" t="s">
        <v>192</v>
      </c>
      <c r="C26" s="182">
        <v>5</v>
      </c>
      <c r="D26" s="182">
        <v>13</v>
      </c>
      <c r="E26" s="182">
        <v>65</v>
      </c>
      <c r="F26" s="182"/>
      <c r="G26" s="182"/>
      <c r="H26" s="182">
        <v>65</v>
      </c>
      <c r="I26" s="181"/>
      <c r="J26" s="181"/>
    </row>
    <row r="27" spans="1:10" ht="15" customHeight="1">
      <c r="A27" s="189"/>
      <c r="B27" s="192" t="s">
        <v>193</v>
      </c>
      <c r="C27" s="182">
        <v>4</v>
      </c>
      <c r="D27" s="182">
        <v>5</v>
      </c>
      <c r="E27" s="182">
        <v>20</v>
      </c>
      <c r="F27" s="182"/>
      <c r="G27" s="182"/>
      <c r="H27" s="182">
        <v>20</v>
      </c>
      <c r="I27" s="181"/>
      <c r="J27" s="181"/>
    </row>
    <row r="28" spans="1:10" ht="15" customHeight="1">
      <c r="A28" s="189" t="s">
        <v>194</v>
      </c>
      <c r="B28" s="192" t="s">
        <v>195</v>
      </c>
      <c r="C28" s="182">
        <v>2</v>
      </c>
      <c r="D28" s="182">
        <v>30</v>
      </c>
      <c r="E28" s="182">
        <v>60</v>
      </c>
      <c r="F28" s="182"/>
      <c r="G28" s="182"/>
      <c r="H28" s="182">
        <v>60</v>
      </c>
      <c r="I28" s="181"/>
      <c r="J28" s="181"/>
    </row>
    <row r="29" spans="1:10" ht="15" customHeight="1">
      <c r="A29" s="182" t="s">
        <v>196</v>
      </c>
      <c r="B29" s="192" t="s">
        <v>197</v>
      </c>
      <c r="C29" s="182">
        <v>1</v>
      </c>
      <c r="D29" s="182">
        <v>20</v>
      </c>
      <c r="E29" s="182">
        <v>20</v>
      </c>
      <c r="F29" s="182"/>
      <c r="G29" s="182"/>
      <c r="H29" s="182">
        <v>20</v>
      </c>
      <c r="I29" s="181"/>
      <c r="J29" s="181"/>
    </row>
    <row r="30" spans="1:10" ht="15" customHeight="1" thickBot="1">
      <c r="A30" s="186"/>
      <c r="B30" s="193"/>
      <c r="C30" s="186"/>
      <c r="D30" s="186"/>
      <c r="E30" s="185">
        <v>4532.2</v>
      </c>
      <c r="F30" s="190">
        <v>0</v>
      </c>
      <c r="G30" s="185">
        <v>0</v>
      </c>
      <c r="H30" s="185">
        <f>SUM(H3:H29)</f>
        <v>4532.2</v>
      </c>
      <c r="I30" s="181"/>
      <c r="J30" s="181"/>
    </row>
    <row r="31" spans="1:10" ht="15" customHeight="1">
      <c r="A31" s="198" t="s">
        <v>234</v>
      </c>
      <c r="B31" s="199"/>
      <c r="C31" s="199"/>
      <c r="D31" s="199"/>
      <c r="E31" s="199"/>
      <c r="F31" s="199"/>
      <c r="G31" s="199"/>
      <c r="H31" s="200"/>
      <c r="I31" s="181" t="s">
        <v>198</v>
      </c>
      <c r="J31" s="181"/>
    </row>
    <row r="32" spans="1:10" ht="15" customHeight="1">
      <c r="A32" s="184"/>
      <c r="B32" s="194" t="s">
        <v>199</v>
      </c>
      <c r="C32" s="183">
        <v>1</v>
      </c>
      <c r="D32" s="182">
        <v>1500</v>
      </c>
      <c r="E32" s="182">
        <v>1500</v>
      </c>
      <c r="F32" s="182"/>
      <c r="G32" s="182"/>
      <c r="H32" s="182">
        <v>1500</v>
      </c>
      <c r="I32" s="181">
        <v>20</v>
      </c>
      <c r="J32" s="181">
        <v>300</v>
      </c>
    </row>
    <row r="33" spans="1:10" ht="15" customHeight="1">
      <c r="A33" s="184"/>
      <c r="B33" s="194" t="s">
        <v>200</v>
      </c>
      <c r="C33" s="183">
        <v>320</v>
      </c>
      <c r="D33" s="182">
        <v>2.5</v>
      </c>
      <c r="E33" s="182">
        <v>800</v>
      </c>
      <c r="F33" s="182"/>
      <c r="G33" s="182"/>
      <c r="H33" s="182">
        <v>800</v>
      </c>
      <c r="I33" s="181">
        <v>100</v>
      </c>
      <c r="J33" s="181">
        <v>800</v>
      </c>
    </row>
    <row r="34" spans="1:10" ht="15" customHeight="1">
      <c r="A34" s="184"/>
      <c r="B34" s="194" t="s">
        <v>201</v>
      </c>
      <c r="C34" s="183">
        <v>22</v>
      </c>
      <c r="D34" s="182">
        <v>500</v>
      </c>
      <c r="E34" s="182">
        <v>11000</v>
      </c>
      <c r="F34" s="182"/>
      <c r="G34" s="182"/>
      <c r="H34" s="182">
        <v>11000</v>
      </c>
      <c r="I34" s="181">
        <v>100</v>
      </c>
      <c r="J34" s="181">
        <v>11000</v>
      </c>
    </row>
    <row r="35" spans="1:10" ht="15" customHeight="1">
      <c r="A35" s="184"/>
      <c r="B35" s="194" t="s">
        <v>202</v>
      </c>
      <c r="C35" s="183"/>
      <c r="D35" s="182">
        <v>500</v>
      </c>
      <c r="E35" s="182">
        <v>0</v>
      </c>
      <c r="F35" s="182"/>
      <c r="G35" s="182"/>
      <c r="H35" s="182">
        <v>500</v>
      </c>
      <c r="I35" s="181">
        <v>100</v>
      </c>
      <c r="J35" s="181">
        <v>500</v>
      </c>
    </row>
    <row r="36" spans="1:10" ht="15" customHeight="1">
      <c r="A36" s="184"/>
      <c r="B36" s="194" t="s">
        <v>203</v>
      </c>
      <c r="C36" s="183">
        <v>11</v>
      </c>
      <c r="D36" s="182">
        <v>800</v>
      </c>
      <c r="E36" s="182">
        <v>8800</v>
      </c>
      <c r="F36" s="182"/>
      <c r="G36" s="182"/>
      <c r="H36" s="182">
        <v>8800</v>
      </c>
      <c r="I36" s="181">
        <v>100</v>
      </c>
      <c r="J36" s="181">
        <v>8800</v>
      </c>
    </row>
    <row r="37" spans="1:10" ht="15" customHeight="1">
      <c r="A37" s="184"/>
      <c r="B37" s="194" t="s">
        <v>204</v>
      </c>
      <c r="C37" s="183">
        <v>1</v>
      </c>
      <c r="D37" s="183">
        <v>2000</v>
      </c>
      <c r="E37" s="182">
        <v>2000</v>
      </c>
      <c r="F37" s="182"/>
      <c r="G37" s="182"/>
      <c r="H37" s="182">
        <v>2000</v>
      </c>
      <c r="I37" s="181">
        <v>10</v>
      </c>
      <c r="J37" s="181">
        <v>200</v>
      </c>
    </row>
    <row r="38" spans="1:10" ht="15" customHeight="1">
      <c r="A38" s="184"/>
      <c r="B38" s="194" t="s">
        <v>205</v>
      </c>
      <c r="C38" s="183">
        <v>1</v>
      </c>
      <c r="D38" s="183">
        <v>2000</v>
      </c>
      <c r="E38" s="182">
        <v>2000</v>
      </c>
      <c r="F38" s="182"/>
      <c r="G38" s="182"/>
      <c r="H38" s="182">
        <v>2000</v>
      </c>
      <c r="I38" s="181">
        <v>10</v>
      </c>
      <c r="J38" s="181">
        <v>200</v>
      </c>
    </row>
    <row r="39" spans="1:10" ht="15" customHeight="1">
      <c r="A39" s="184"/>
      <c r="B39" s="194" t="s">
        <v>206</v>
      </c>
      <c r="C39" s="183">
        <v>1</v>
      </c>
      <c r="D39" s="183">
        <v>200</v>
      </c>
      <c r="E39" s="182">
        <v>200</v>
      </c>
      <c r="F39" s="182"/>
      <c r="G39" s="182"/>
      <c r="H39" s="182">
        <v>200</v>
      </c>
      <c r="I39" s="181">
        <v>20</v>
      </c>
      <c r="J39" s="181">
        <v>40</v>
      </c>
    </row>
    <row r="40" spans="1:10" ht="15" customHeight="1">
      <c r="A40" s="184"/>
      <c r="B40" s="194" t="s">
        <v>207</v>
      </c>
      <c r="C40" s="183">
        <v>1</v>
      </c>
      <c r="D40" s="183">
        <v>100</v>
      </c>
      <c r="E40" s="182">
        <v>100</v>
      </c>
      <c r="F40" s="182"/>
      <c r="G40" s="182"/>
      <c r="H40" s="182">
        <v>100</v>
      </c>
      <c r="I40" s="181">
        <v>100</v>
      </c>
      <c r="J40" s="181">
        <v>100</v>
      </c>
    </row>
    <row r="41" spans="1:10" ht="15" customHeight="1">
      <c r="A41" s="184"/>
      <c r="B41" s="194" t="s">
        <v>208</v>
      </c>
      <c r="C41" s="183">
        <v>2</v>
      </c>
      <c r="D41" s="183">
        <v>120</v>
      </c>
      <c r="E41" s="182">
        <v>240</v>
      </c>
      <c r="F41" s="182"/>
      <c r="G41" s="182"/>
      <c r="H41" s="182">
        <v>240</v>
      </c>
      <c r="I41" s="181">
        <v>50</v>
      </c>
      <c r="J41" s="181">
        <v>120</v>
      </c>
    </row>
    <row r="42" spans="1:10" ht="15" customHeight="1">
      <c r="A42" s="184"/>
      <c r="B42" s="194" t="s">
        <v>209</v>
      </c>
      <c r="C42" s="183">
        <v>1</v>
      </c>
      <c r="D42" s="183">
        <v>250</v>
      </c>
      <c r="E42" s="182">
        <v>250</v>
      </c>
      <c r="F42" s="182"/>
      <c r="G42" s="182"/>
      <c r="H42" s="182">
        <v>250</v>
      </c>
      <c r="I42" s="181">
        <v>20</v>
      </c>
      <c r="J42" s="181">
        <v>50</v>
      </c>
    </row>
    <row r="43" spans="1:10" ht="15" customHeight="1">
      <c r="A43" s="184"/>
      <c r="B43" s="194" t="s">
        <v>210</v>
      </c>
      <c r="C43" s="183">
        <v>4</v>
      </c>
      <c r="D43" s="183">
        <v>80</v>
      </c>
      <c r="E43" s="182">
        <v>320</v>
      </c>
      <c r="F43" s="182"/>
      <c r="G43" s="182"/>
      <c r="H43" s="182">
        <v>320</v>
      </c>
      <c r="I43" s="181">
        <v>50</v>
      </c>
      <c r="J43" s="181">
        <v>160</v>
      </c>
    </row>
    <row r="44" spans="1:10" ht="15" customHeight="1">
      <c r="A44" s="184"/>
      <c r="B44" s="194" t="s">
        <v>211</v>
      </c>
      <c r="C44" s="183">
        <v>4</v>
      </c>
      <c r="D44" s="183">
        <v>55</v>
      </c>
      <c r="E44" s="182">
        <v>220</v>
      </c>
      <c r="F44" s="182"/>
      <c r="G44" s="182"/>
      <c r="H44" s="182">
        <v>220</v>
      </c>
      <c r="I44" s="181">
        <v>30</v>
      </c>
      <c r="J44" s="181">
        <v>66</v>
      </c>
    </row>
    <row r="45" spans="1:10" ht="15" customHeight="1">
      <c r="A45" s="184"/>
      <c r="B45" s="194" t="s">
        <v>212</v>
      </c>
      <c r="C45" s="183">
        <v>10</v>
      </c>
      <c r="D45" s="183">
        <v>20</v>
      </c>
      <c r="E45" s="182">
        <v>200</v>
      </c>
      <c r="F45" s="182"/>
      <c r="G45" s="182"/>
      <c r="H45" s="182">
        <v>200</v>
      </c>
      <c r="I45" s="181">
        <v>100</v>
      </c>
      <c r="J45" s="181">
        <v>200</v>
      </c>
    </row>
    <row r="46" spans="1:10" ht="15" customHeight="1">
      <c r="A46" s="184"/>
      <c r="B46" s="194" t="s">
        <v>213</v>
      </c>
      <c r="C46" s="183">
        <v>8</v>
      </c>
      <c r="D46" s="183">
        <v>120</v>
      </c>
      <c r="E46" s="182">
        <v>960</v>
      </c>
      <c r="F46" s="182"/>
      <c r="G46" s="182"/>
      <c r="H46" s="182">
        <v>960</v>
      </c>
      <c r="I46" s="181">
        <v>100</v>
      </c>
      <c r="J46" s="181">
        <v>960</v>
      </c>
    </row>
    <row r="47" spans="1:10" ht="15" customHeight="1">
      <c r="A47" s="184"/>
      <c r="B47" s="194" t="s">
        <v>215</v>
      </c>
      <c r="C47" s="183">
        <v>4</v>
      </c>
      <c r="D47" s="183">
        <v>30</v>
      </c>
      <c r="E47" s="182">
        <v>120</v>
      </c>
      <c r="F47" s="182"/>
      <c r="G47" s="182"/>
      <c r="H47" s="182">
        <v>120</v>
      </c>
      <c r="I47" s="181">
        <v>100</v>
      </c>
      <c r="J47" s="181">
        <v>120</v>
      </c>
    </row>
    <row r="48" spans="1:10" ht="15" customHeight="1">
      <c r="A48" s="184"/>
      <c r="B48" s="194" t="s">
        <v>216</v>
      </c>
      <c r="C48" s="183">
        <v>2</v>
      </c>
      <c r="D48" s="183">
        <v>80</v>
      </c>
      <c r="E48" s="182">
        <v>160</v>
      </c>
      <c r="F48" s="182"/>
      <c r="G48" s="182"/>
      <c r="H48" s="182">
        <v>160</v>
      </c>
      <c r="I48" s="181">
        <v>80</v>
      </c>
      <c r="J48" s="181">
        <v>128</v>
      </c>
    </row>
    <row r="49" spans="1:10" ht="15" customHeight="1">
      <c r="A49" s="184"/>
      <c r="B49" s="194" t="s">
        <v>217</v>
      </c>
      <c r="C49" s="183">
        <v>6</v>
      </c>
      <c r="D49" s="183">
        <v>12</v>
      </c>
      <c r="E49" s="182">
        <v>72</v>
      </c>
      <c r="F49" s="182"/>
      <c r="G49" s="182"/>
      <c r="H49" s="182">
        <v>72</v>
      </c>
      <c r="I49" s="181">
        <v>100</v>
      </c>
      <c r="J49" s="181">
        <v>72</v>
      </c>
    </row>
    <row r="50" spans="1:10" ht="15" customHeight="1">
      <c r="A50" s="184"/>
      <c r="B50" s="194" t="s">
        <v>214</v>
      </c>
      <c r="C50" s="183">
        <v>3</v>
      </c>
      <c r="D50" s="183">
        <v>78</v>
      </c>
      <c r="E50" s="182">
        <v>234</v>
      </c>
      <c r="F50" s="182"/>
      <c r="G50" s="182"/>
      <c r="H50" s="182">
        <v>234</v>
      </c>
      <c r="I50" s="181">
        <v>100</v>
      </c>
      <c r="J50" s="181">
        <v>234</v>
      </c>
    </row>
    <row r="51" spans="1:10" ht="15" customHeight="1">
      <c r="A51" s="184"/>
      <c r="B51" s="194" t="s">
        <v>218</v>
      </c>
      <c r="C51" s="183">
        <v>2</v>
      </c>
      <c r="D51" s="183">
        <v>40</v>
      </c>
      <c r="E51" s="182">
        <v>80</v>
      </c>
      <c r="F51" s="182"/>
      <c r="G51" s="182"/>
      <c r="H51" s="182">
        <v>80</v>
      </c>
      <c r="I51" s="181">
        <v>50</v>
      </c>
      <c r="J51" s="181">
        <v>40</v>
      </c>
    </row>
    <row r="52" spans="1:10" ht="15" customHeight="1">
      <c r="A52" s="184"/>
      <c r="B52" s="194" t="s">
        <v>219</v>
      </c>
      <c r="C52" s="183">
        <v>5</v>
      </c>
      <c r="D52" s="183">
        <v>70</v>
      </c>
      <c r="E52" s="182">
        <v>350</v>
      </c>
      <c r="F52" s="182"/>
      <c r="G52" s="182"/>
      <c r="H52" s="182">
        <v>350</v>
      </c>
      <c r="I52" s="181">
        <v>100</v>
      </c>
      <c r="J52" s="181">
        <v>350</v>
      </c>
    </row>
    <row r="53" spans="1:10" ht="15" customHeight="1">
      <c r="A53" s="184"/>
      <c r="B53" s="194" t="s">
        <v>220</v>
      </c>
      <c r="C53" s="183">
        <v>2</v>
      </c>
      <c r="D53" s="183">
        <v>40</v>
      </c>
      <c r="E53" s="182">
        <v>80</v>
      </c>
      <c r="F53" s="182"/>
      <c r="G53" s="182"/>
      <c r="H53" s="182">
        <v>80</v>
      </c>
      <c r="I53" s="181">
        <v>100</v>
      </c>
      <c r="J53" s="181">
        <v>80</v>
      </c>
    </row>
    <row r="54" spans="1:10" ht="15" customHeight="1">
      <c r="A54" s="184"/>
      <c r="B54" s="194" t="s">
        <v>221</v>
      </c>
      <c r="C54" s="183">
        <v>6</v>
      </c>
      <c r="D54" s="183">
        <v>17</v>
      </c>
      <c r="E54" s="182">
        <v>102</v>
      </c>
      <c r="F54" s="182"/>
      <c r="G54" s="182"/>
      <c r="H54" s="182">
        <v>102</v>
      </c>
      <c r="I54" s="181">
        <v>100</v>
      </c>
      <c r="J54" s="181">
        <v>102</v>
      </c>
    </row>
    <row r="55" spans="1:10" ht="15" customHeight="1">
      <c r="A55" s="184"/>
      <c r="B55" s="194" t="s">
        <v>222</v>
      </c>
      <c r="C55" s="183">
        <v>11</v>
      </c>
      <c r="D55" s="183">
        <v>16</v>
      </c>
      <c r="E55" s="182">
        <v>176</v>
      </c>
      <c r="F55" s="182"/>
      <c r="G55" s="182"/>
      <c r="H55" s="182">
        <v>176</v>
      </c>
      <c r="I55" s="181">
        <v>100</v>
      </c>
      <c r="J55" s="181">
        <v>176</v>
      </c>
    </row>
    <row r="56" spans="1:10" ht="15" customHeight="1">
      <c r="A56" s="184"/>
      <c r="B56" s="194" t="s">
        <v>223</v>
      </c>
      <c r="C56" s="183">
        <v>2</v>
      </c>
      <c r="D56" s="183">
        <v>120</v>
      </c>
      <c r="E56" s="182">
        <v>240</v>
      </c>
      <c r="F56" s="182"/>
      <c r="G56" s="182"/>
      <c r="H56" s="182">
        <v>240</v>
      </c>
      <c r="I56" s="181">
        <v>100</v>
      </c>
      <c r="J56" s="181">
        <v>240</v>
      </c>
    </row>
    <row r="57" spans="1:10" ht="15" customHeight="1" thickBot="1">
      <c r="A57" s="181"/>
      <c r="B57" s="195"/>
      <c r="C57" s="181"/>
      <c r="D57" s="181"/>
      <c r="E57" s="181"/>
      <c r="F57" s="181"/>
      <c r="G57" s="181"/>
      <c r="H57" s="181"/>
      <c r="I57" s="181"/>
      <c r="J57" s="181"/>
    </row>
    <row r="58" spans="1:10" ht="15" customHeight="1" thickBot="1">
      <c r="A58" s="181"/>
      <c r="B58" s="181"/>
      <c r="C58" s="181"/>
      <c r="D58" s="181"/>
      <c r="E58" s="181"/>
      <c r="F58" s="181"/>
      <c r="G58" s="181" t="s">
        <v>224</v>
      </c>
      <c r="H58" s="196">
        <v>30704</v>
      </c>
      <c r="I58" s="196"/>
      <c r="J58" s="196">
        <v>25038</v>
      </c>
    </row>
    <row r="59" spans="1:10" ht="15" customHeight="1"/>
    <row r="60" spans="1:10" ht="15" customHeight="1"/>
    <row r="61" spans="1:10">
      <c r="J61" s="181">
        <v>4532.2</v>
      </c>
    </row>
    <row r="63" spans="1:10">
      <c r="A63" s="344" t="s">
        <v>309</v>
      </c>
    </row>
    <row r="64" spans="1:10">
      <c r="A64" s="344" t="s">
        <v>310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7B4B-069D-459A-9B04-90B7F7AB745C}">
  <sheetPr>
    <tabColor rgb="FFFFC000"/>
    <pageSetUpPr fitToPage="1"/>
  </sheetPr>
  <dimension ref="A1:M88"/>
  <sheetViews>
    <sheetView showGridLines="0" view="pageBreakPreview" topLeftCell="A66" zoomScale="70" zoomScaleNormal="70" zoomScaleSheetLayoutView="70" workbookViewId="0">
      <selection activeCell="B28" sqref="B28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3" width="17" style="3" customWidth="1"/>
    <col min="4" max="4" width="42" style="2" customWidth="1"/>
    <col min="5" max="5" width="56.28515625" style="2" customWidth="1"/>
    <col min="6" max="6" width="43" style="2" customWidth="1"/>
    <col min="7" max="7" width="23.7109375" style="2" bestFit="1" customWidth="1"/>
    <col min="8" max="8" width="13.28515625" style="2" bestFit="1" customWidth="1"/>
    <col min="9" max="9" width="11.5703125" style="2" bestFit="1" customWidth="1"/>
    <col min="10" max="10" width="10.42578125" style="2" bestFit="1" customWidth="1"/>
    <col min="11" max="11" width="10.140625" style="2"/>
    <col min="12" max="12" width="19.140625" style="2" customWidth="1"/>
    <col min="13" max="16384" width="10.140625" style="2"/>
  </cols>
  <sheetData>
    <row r="1" spans="1:12">
      <c r="A1" s="354" t="s">
        <v>136</v>
      </c>
      <c r="B1" s="354"/>
      <c r="C1" s="354"/>
      <c r="D1" s="247">
        <f>SUM(E1:E3)</f>
        <v>18872.7</v>
      </c>
      <c r="E1" s="3">
        <f>SUM(Площадь!L13+Площадь!L14+Площадь!L15)</f>
        <v>2322.8000000000002</v>
      </c>
      <c r="F1" s="2" t="s">
        <v>248</v>
      </c>
      <c r="G1" s="4" t="s">
        <v>245</v>
      </c>
      <c r="L1" s="3">
        <f>SUM(Площадь!M13+Площадь!M14+Площадь!M15)</f>
        <v>2324.5</v>
      </c>
    </row>
    <row r="2" spans="1:12" ht="19.5" thickBot="1">
      <c r="A2" s="355"/>
      <c r="B2" s="355"/>
      <c r="C2" s="355"/>
      <c r="D2" s="278"/>
      <c r="E2" s="3">
        <f>SUM(Площадь!L11)</f>
        <v>1581.0000000000002</v>
      </c>
      <c r="F2" s="2" t="s">
        <v>249</v>
      </c>
      <c r="G2" s="4" t="s">
        <v>247</v>
      </c>
      <c r="L2" s="3">
        <f>SUM(Площадь!M11)</f>
        <v>1549</v>
      </c>
    </row>
    <row r="3" spans="1:12">
      <c r="A3" s="352" t="s">
        <v>0</v>
      </c>
      <c r="B3" s="365" t="s">
        <v>1</v>
      </c>
      <c r="C3" s="367" t="s">
        <v>305</v>
      </c>
      <c r="D3" s="239"/>
      <c r="E3" s="2">
        <f>SUM(Площадь!L28)</f>
        <v>14968.9</v>
      </c>
      <c r="F3" s="2" t="s">
        <v>250</v>
      </c>
      <c r="G3" s="4" t="s">
        <v>246</v>
      </c>
      <c r="L3" s="2">
        <f>SUM(Площадь!M28)</f>
        <v>14990.3</v>
      </c>
    </row>
    <row r="4" spans="1:12" ht="18.75" customHeight="1">
      <c r="A4" s="359"/>
      <c r="B4" s="366"/>
      <c r="C4" s="368"/>
      <c r="D4" s="240"/>
      <c r="E4" s="3">
        <f>SUM(Площадь!Q11+Площадь!Q13+Площадь!Q14+Площадь!Q15+Площадь!Q28)</f>
        <v>232</v>
      </c>
      <c r="F4" s="2" t="s">
        <v>241</v>
      </c>
    </row>
    <row r="5" spans="1:12" ht="18" customHeight="1">
      <c r="A5" s="359"/>
      <c r="B5" s="366"/>
      <c r="C5" s="368"/>
      <c r="D5" s="240"/>
      <c r="E5" s="3">
        <f>SUM(тх2!J5+тх4!J5+тх6!J5+КТ!J5+УВ1!J5+УВ3!J5+УВ5!J5+УВ7!J5+УВ9!J5+УВ11!J5+УВ13!J5+УВ15!J5+УВ17!J5+УВ19!J5+УВ21!J5)</f>
        <v>232</v>
      </c>
      <c r="F5" s="2" t="s">
        <v>292</v>
      </c>
    </row>
    <row r="6" spans="1:12" ht="19.5" thickBot="1">
      <c r="A6" s="136">
        <v>1</v>
      </c>
      <c r="B6" s="315">
        <v>2</v>
      </c>
      <c r="C6" s="328">
        <v>3</v>
      </c>
      <c r="D6" s="241"/>
    </row>
    <row r="7" spans="1:12" ht="19.5" thickBot="1">
      <c r="A7" s="348" t="s">
        <v>2</v>
      </c>
      <c r="B7" s="369"/>
      <c r="C7" s="329" t="s">
        <v>8</v>
      </c>
      <c r="D7" s="242"/>
    </row>
    <row r="8" spans="1:12" ht="26.1" customHeight="1">
      <c r="A8" s="275">
        <v>1</v>
      </c>
      <c r="B8" s="316" t="s">
        <v>15</v>
      </c>
      <c r="C8" s="330">
        <f>SUM(C9:C12)</f>
        <v>18330.951616049999</v>
      </c>
      <c r="D8" s="243"/>
      <c r="E8" s="2">
        <f>0.28*232*3</f>
        <v>194.88000000000002</v>
      </c>
    </row>
    <row r="9" spans="1:12" ht="20.100000000000001" customHeight="1">
      <c r="A9" s="276"/>
      <c r="B9" s="317" t="s">
        <v>3</v>
      </c>
      <c r="C9" s="331">
        <f>7252.13898+(7252.13898*15/100)</f>
        <v>8339.9598269999988</v>
      </c>
      <c r="D9" s="244"/>
    </row>
    <row r="10" spans="1:12" ht="20.100000000000001" customHeight="1">
      <c r="A10" s="276"/>
      <c r="B10" s="317" t="s">
        <v>10</v>
      </c>
      <c r="C10" s="331">
        <f>1962.42279+(1962.42279*15/100)</f>
        <v>2256.7862085000002</v>
      </c>
      <c r="D10" s="244"/>
      <c r="E10" s="3"/>
      <c r="F10" s="3"/>
      <c r="J10" s="3"/>
      <c r="K10" s="3"/>
    </row>
    <row r="11" spans="1:12" ht="20.100000000000001" customHeight="1">
      <c r="A11" s="152"/>
      <c r="B11" s="317" t="s">
        <v>11</v>
      </c>
      <c r="C11" s="331">
        <f>3096.316965+(3096.316965*15/100)</f>
        <v>3560.7645097499999</v>
      </c>
      <c r="D11" s="244"/>
      <c r="E11" s="3"/>
      <c r="F11" s="3"/>
      <c r="J11" s="3"/>
      <c r="K11" s="3"/>
    </row>
    <row r="12" spans="1:12" ht="20.100000000000001" customHeight="1" outlineLevel="1" thickBot="1">
      <c r="A12" s="153"/>
      <c r="B12" s="318" t="s">
        <v>12</v>
      </c>
      <c r="C12" s="331">
        <f>3629.079192+(3629.079192*15/100)</f>
        <v>4173.4410708000005</v>
      </c>
      <c r="D12" s="244"/>
      <c r="E12" s="3"/>
      <c r="F12" s="3"/>
      <c r="J12" s="3"/>
      <c r="K12" s="3"/>
    </row>
    <row r="13" spans="1:12" ht="20.100000000000001" customHeight="1" outlineLevel="1">
      <c r="A13" s="275">
        <v>2</v>
      </c>
      <c r="B13" s="319" t="s">
        <v>16</v>
      </c>
      <c r="C13" s="332">
        <f>SUM(C14:C16)</f>
        <v>5690.7573558686308</v>
      </c>
      <c r="D13" s="245"/>
      <c r="E13" s="3"/>
      <c r="F13" s="3"/>
      <c r="J13" s="3"/>
      <c r="K13" s="3"/>
    </row>
    <row r="14" spans="1:12" ht="20.100000000000001" customHeight="1">
      <c r="A14" s="159"/>
      <c r="B14" s="317" t="s">
        <v>20</v>
      </c>
      <c r="C14" s="333">
        <f>987.9474+(987.9474*15/100)</f>
        <v>1136.13951</v>
      </c>
      <c r="D14" s="262"/>
      <c r="E14" s="3"/>
      <c r="F14" s="3"/>
      <c r="J14" s="3"/>
      <c r="K14" s="3"/>
    </row>
    <row r="15" spans="1:12" ht="39" customHeight="1" outlineLevel="1">
      <c r="A15" s="160"/>
      <c r="B15" s="320" t="s">
        <v>14</v>
      </c>
      <c r="C15" s="333">
        <f>650.69235+(650.69235*15/100)</f>
        <v>748.29620250000005</v>
      </c>
      <c r="D15" s="262"/>
      <c r="E15" s="3"/>
      <c r="F15" s="3"/>
      <c r="J15" s="3"/>
      <c r="K15" s="3"/>
    </row>
    <row r="16" spans="1:12" ht="40.5" customHeight="1" outlineLevel="1" thickBot="1">
      <c r="A16" s="162"/>
      <c r="B16" s="318" t="s">
        <v>137</v>
      </c>
      <c r="C16" s="333">
        <f>3309.84490727707+(3309.84490727707*15/100)</f>
        <v>3806.3216433686302</v>
      </c>
      <c r="D16" s="262"/>
      <c r="E16" s="3"/>
      <c r="F16" s="3"/>
      <c r="J16" s="3"/>
      <c r="K16" s="3"/>
    </row>
    <row r="17" spans="1:13" ht="40.5" customHeight="1" outlineLevel="1">
      <c r="A17" s="275">
        <v>3</v>
      </c>
      <c r="B17" s="319" t="s">
        <v>17</v>
      </c>
      <c r="C17" s="334">
        <f>SUM(C18:C19)</f>
        <v>2178.48</v>
      </c>
      <c r="D17" s="243"/>
      <c r="E17" s="216"/>
      <c r="F17" s="216"/>
      <c r="G17" s="217"/>
      <c r="H17" s="217"/>
      <c r="I17" s="217"/>
      <c r="J17" s="216"/>
      <c r="K17" s="216"/>
      <c r="L17" s="217"/>
      <c r="M17" s="217"/>
    </row>
    <row r="18" spans="1:13" ht="20.100000000000001" customHeight="1" outlineLevel="1">
      <c r="A18" s="159"/>
      <c r="B18" s="317" t="s">
        <v>40</v>
      </c>
      <c r="C18" s="333">
        <v>786.48</v>
      </c>
      <c r="D18" s="244">
        <f>1.06+(1.06*7/100)</f>
        <v>1.1342000000000001</v>
      </c>
      <c r="E18" s="3"/>
      <c r="F18" s="3"/>
    </row>
    <row r="19" spans="1:13" ht="20.100000000000001" customHeight="1" outlineLevel="1" thickBot="1">
      <c r="A19" s="162"/>
      <c r="B19" s="318" t="s">
        <v>18</v>
      </c>
      <c r="C19" s="333">
        <v>1392</v>
      </c>
      <c r="D19" s="244"/>
      <c r="E19" s="3"/>
      <c r="F19" s="3"/>
    </row>
    <row r="20" spans="1:13" ht="20.100000000000001" customHeight="1" outlineLevel="1">
      <c r="A20" s="163" t="s">
        <v>9</v>
      </c>
      <c r="B20" s="319" t="s">
        <v>22</v>
      </c>
      <c r="C20" s="334">
        <f>SUM(C21:C22)</f>
        <v>47970.272999999986</v>
      </c>
      <c r="D20" s="243"/>
      <c r="E20" s="3"/>
      <c r="F20" s="3"/>
    </row>
    <row r="21" spans="1:13" ht="20.100000000000001" customHeight="1">
      <c r="A21" s="273"/>
      <c r="B21" s="321" t="s">
        <v>21</v>
      </c>
      <c r="C21" s="335">
        <v>31941.143999999993</v>
      </c>
      <c r="D21" s="244" t="s">
        <v>304</v>
      </c>
      <c r="E21" s="34">
        <f>((0.62*14968.9)+((2322.8+1581)*0.35))*3</f>
        <v>31941.143999999997</v>
      </c>
    </row>
    <row r="22" spans="1:13" ht="20.100000000000001" customHeight="1" outlineLevel="1" thickBot="1">
      <c r="A22" s="164"/>
      <c r="B22" s="318" t="s">
        <v>55</v>
      </c>
      <c r="C22" s="333">
        <v>16029.128999999997</v>
      </c>
      <c r="D22" s="244"/>
      <c r="E22" s="33"/>
      <c r="F22" s="33"/>
      <c r="G22" s="33"/>
    </row>
    <row r="23" spans="1:13" ht="20.100000000000001" customHeight="1" outlineLevel="1">
      <c r="A23" s="163" t="s">
        <v>7</v>
      </c>
      <c r="B23" s="319" t="s">
        <v>4</v>
      </c>
      <c r="C23" s="330">
        <f>SUM(C24:C31)</f>
        <v>4224.72</v>
      </c>
      <c r="D23" s="243"/>
      <c r="E23" s="33"/>
      <c r="F23" s="33"/>
      <c r="G23" s="33"/>
    </row>
    <row r="24" spans="1:13" ht="20.100000000000001" customHeight="1" outlineLevel="1">
      <c r="A24" s="273"/>
      <c r="B24" s="321" t="s">
        <v>5</v>
      </c>
      <c r="C24" s="335">
        <v>550</v>
      </c>
      <c r="D24" s="244"/>
    </row>
    <row r="25" spans="1:13" s="1" customFormat="1" ht="20.100000000000001" customHeight="1" outlineLevel="1">
      <c r="A25" s="273"/>
      <c r="B25" s="321" t="s">
        <v>19</v>
      </c>
      <c r="C25" s="335">
        <v>160</v>
      </c>
      <c r="D25" s="244"/>
      <c r="E25" s="178"/>
      <c r="F25" s="178"/>
      <c r="G25" s="178"/>
      <c r="H25" s="178"/>
      <c r="I25" s="178"/>
      <c r="J25" s="178"/>
      <c r="K25" s="178"/>
      <c r="L25" s="178"/>
      <c r="M25" s="178"/>
    </row>
    <row r="26" spans="1:13" s="1" customFormat="1" ht="20.100000000000001" customHeight="1" outlineLevel="1">
      <c r="A26" s="274"/>
      <c r="B26" s="322" t="s">
        <v>138</v>
      </c>
      <c r="C26" s="335">
        <v>272</v>
      </c>
      <c r="D26" s="244"/>
      <c r="E26" s="178"/>
      <c r="F26" s="178"/>
      <c r="G26" s="178"/>
      <c r="H26" s="178"/>
      <c r="I26" s="178"/>
      <c r="J26" s="178"/>
      <c r="K26" s="178"/>
      <c r="L26" s="178"/>
      <c r="M26" s="178"/>
    </row>
    <row r="27" spans="1:13" s="1" customFormat="1" ht="20.100000000000001" customHeight="1" outlineLevel="1">
      <c r="A27" s="274"/>
      <c r="B27" s="322" t="s">
        <v>254</v>
      </c>
      <c r="C27" s="335">
        <v>2400</v>
      </c>
      <c r="D27" s="244"/>
      <c r="E27" s="178"/>
      <c r="F27" s="178"/>
      <c r="G27" s="178"/>
      <c r="H27" s="178"/>
      <c r="I27" s="178"/>
      <c r="J27" s="178"/>
      <c r="K27" s="178"/>
      <c r="L27" s="178"/>
      <c r="M27" s="178"/>
    </row>
    <row r="28" spans="1:13" ht="26.1" customHeight="1">
      <c r="A28" s="165"/>
      <c r="B28" s="320" t="s">
        <v>139</v>
      </c>
      <c r="C28" s="331">
        <v>842.72</v>
      </c>
      <c r="D28" s="244"/>
    </row>
    <row r="29" spans="1:13" ht="20.100000000000001" customHeight="1">
      <c r="A29" s="165"/>
      <c r="B29" s="320" t="s">
        <v>134</v>
      </c>
      <c r="C29" s="331">
        <v>0</v>
      </c>
      <c r="D29" s="244"/>
    </row>
    <row r="30" spans="1:13" ht="20.100000000000001" customHeight="1">
      <c r="A30" s="165"/>
      <c r="B30" s="320" t="s">
        <v>140</v>
      </c>
      <c r="C30" s="331">
        <v>0</v>
      </c>
      <c r="D30" s="244"/>
    </row>
    <row r="31" spans="1:13" ht="30.75" customHeight="1" thickBot="1">
      <c r="A31" s="164"/>
      <c r="B31" s="320" t="s">
        <v>141</v>
      </c>
      <c r="C31" s="333">
        <v>0</v>
      </c>
      <c r="D31" s="244"/>
      <c r="E31" s="218"/>
      <c r="G31" s="279"/>
      <c r="H31" s="279"/>
      <c r="I31" s="279"/>
    </row>
    <row r="32" spans="1:13" ht="20.100000000000001" customHeight="1" thickBot="1">
      <c r="A32" s="350" t="s">
        <v>6</v>
      </c>
      <c r="B32" s="370"/>
      <c r="C32" s="336">
        <f>SUM(C8+C13+C17+C20+C23)</f>
        <v>78395.181971918617</v>
      </c>
      <c r="D32" s="246"/>
      <c r="E32" s="219"/>
      <c r="F32" s="217"/>
      <c r="G32" s="220"/>
      <c r="H32" s="221"/>
      <c r="I32" s="222"/>
      <c r="J32" s="217"/>
      <c r="K32" s="217"/>
      <c r="L32" s="217"/>
      <c r="M32" s="217"/>
    </row>
    <row r="33" spans="1:13" ht="20.100000000000001" customHeight="1" thickBot="1">
      <c r="A33" s="362" t="s">
        <v>34</v>
      </c>
      <c r="B33" s="371"/>
      <c r="C33" s="337" t="s">
        <v>8</v>
      </c>
      <c r="D33" s="245"/>
      <c r="G33" s="279"/>
      <c r="H33" s="279"/>
      <c r="I33" s="279"/>
    </row>
    <row r="34" spans="1:13" ht="39.950000000000003" customHeight="1">
      <c r="A34" s="275">
        <v>1</v>
      </c>
      <c r="B34" s="316" t="s">
        <v>15</v>
      </c>
      <c r="C34" s="334">
        <f>SUM(C35:C38)</f>
        <v>18652.096035499999</v>
      </c>
      <c r="D34" s="254"/>
      <c r="E34" s="255"/>
      <c r="J34" s="223"/>
    </row>
    <row r="35" spans="1:13" ht="39.950000000000003" customHeight="1">
      <c r="A35" s="35"/>
      <c r="B35" s="317" t="s">
        <v>3</v>
      </c>
      <c r="C35" s="333">
        <f t="shared" ref="C35:C36" si="0">SUM(C9)</f>
        <v>8339.9598269999988</v>
      </c>
      <c r="D35" s="262"/>
      <c r="E35" s="255"/>
      <c r="J35" s="218"/>
    </row>
    <row r="36" spans="1:13" ht="39.950000000000003" customHeight="1">
      <c r="A36" s="35"/>
      <c r="B36" s="317" t="s">
        <v>10</v>
      </c>
      <c r="C36" s="333">
        <f t="shared" si="0"/>
        <v>2256.7862085000002</v>
      </c>
      <c r="D36" s="262"/>
      <c r="E36" s="255"/>
      <c r="J36" s="218"/>
    </row>
    <row r="37" spans="1:13" ht="20.100000000000001" customHeight="1">
      <c r="A37" s="35"/>
      <c r="B37" s="317" t="s">
        <v>41</v>
      </c>
      <c r="C37" s="338">
        <v>4625</v>
      </c>
      <c r="D37" s="262"/>
      <c r="E37" s="257"/>
    </row>
    <row r="38" spans="1:13" ht="20.100000000000001" customHeight="1" thickBot="1">
      <c r="A38" s="173"/>
      <c r="B38" s="320" t="s">
        <v>12</v>
      </c>
      <c r="C38" s="331">
        <v>3430.35</v>
      </c>
      <c r="D38" s="262">
        <v>13721.4</v>
      </c>
      <c r="E38" s="258" t="s">
        <v>293</v>
      </c>
      <c r="F38" s="217"/>
      <c r="G38" s="217"/>
      <c r="H38" s="217"/>
      <c r="I38" s="217"/>
      <c r="J38" s="217"/>
      <c r="K38" s="217"/>
      <c r="L38" s="217"/>
      <c r="M38" s="217"/>
    </row>
    <row r="39" spans="1:13" s="4" customFormat="1" ht="20.100000000000001" customHeight="1">
      <c r="A39" s="275">
        <v>2</v>
      </c>
      <c r="B39" s="319" t="s">
        <v>16</v>
      </c>
      <c r="C39" s="334">
        <f>SUM(C40:C42)</f>
        <v>10466.597596303631</v>
      </c>
      <c r="D39" s="254"/>
      <c r="E39" s="257"/>
      <c r="F39" s="2"/>
      <c r="G39" s="2"/>
      <c r="H39" s="2"/>
      <c r="I39" s="2"/>
      <c r="J39" s="2"/>
      <c r="K39" s="2"/>
      <c r="L39" s="2"/>
      <c r="M39" s="2"/>
    </row>
    <row r="40" spans="1:13" ht="20.100000000000001" customHeight="1">
      <c r="A40" s="159"/>
      <c r="B40" s="317" t="s">
        <v>20</v>
      </c>
      <c r="C40" s="331">
        <f>5142.5443069+(5142.5443069*15/100)</f>
        <v>5913.9259529350002</v>
      </c>
      <c r="D40" s="262" t="s">
        <v>294</v>
      </c>
      <c r="E40" s="257"/>
    </row>
    <row r="41" spans="1:13" ht="20.100000000000001" customHeight="1">
      <c r="A41" s="159"/>
      <c r="B41" s="317" t="s">
        <v>14</v>
      </c>
      <c r="C41" s="331">
        <f>649+(649*15/100)</f>
        <v>746.35</v>
      </c>
      <c r="D41" s="262" t="s">
        <v>294</v>
      </c>
      <c r="E41" s="257"/>
    </row>
    <row r="42" spans="1:13" ht="20.100000000000001" customHeight="1" thickBot="1">
      <c r="A42" s="162"/>
      <c r="B42" s="318" t="s">
        <v>66</v>
      </c>
      <c r="C42" s="331">
        <f>SUM(C16)</f>
        <v>3806.3216433686302</v>
      </c>
      <c r="D42" s="256"/>
      <c r="E42" s="257"/>
    </row>
    <row r="43" spans="1:13" ht="20.100000000000001" customHeight="1">
      <c r="A43" s="302" t="s">
        <v>28</v>
      </c>
      <c r="B43" s="323" t="s">
        <v>17</v>
      </c>
      <c r="C43" s="330">
        <f>SUM(C44:C45)</f>
        <v>3780</v>
      </c>
      <c r="D43" s="254"/>
      <c r="E43" s="259"/>
      <c r="F43" s="224"/>
      <c r="G43" s="224"/>
      <c r="H43" s="224"/>
      <c r="I43" s="224"/>
      <c r="J43" s="224"/>
      <c r="K43" s="224"/>
      <c r="L43" s="224"/>
      <c r="M43" s="224"/>
    </row>
    <row r="44" spans="1:13" ht="20.100000000000001" customHeight="1">
      <c r="A44" s="305"/>
      <c r="B44" s="285" t="s">
        <v>40</v>
      </c>
      <c r="C44" s="331">
        <v>0</v>
      </c>
      <c r="D44" s="256"/>
      <c r="E44" s="259"/>
      <c r="F44" s="224"/>
      <c r="G44" s="224"/>
      <c r="H44" s="224"/>
      <c r="I44" s="224"/>
      <c r="J44" s="224"/>
      <c r="K44" s="224"/>
      <c r="L44" s="224"/>
      <c r="M44" s="224"/>
    </row>
    <row r="45" spans="1:13" ht="20.100000000000001" customHeight="1" thickBot="1">
      <c r="A45" s="307"/>
      <c r="B45" s="324" t="s">
        <v>142</v>
      </c>
      <c r="C45" s="331">
        <v>3780</v>
      </c>
      <c r="D45" s="256" t="s">
        <v>295</v>
      </c>
      <c r="E45" s="260"/>
      <c r="G45" s="218"/>
    </row>
    <row r="46" spans="1:13" ht="20.100000000000001" customHeight="1">
      <c r="A46" s="305">
        <v>4</v>
      </c>
      <c r="B46" s="309" t="s">
        <v>33</v>
      </c>
      <c r="C46" s="330">
        <f>SUM(C47:C65)</f>
        <v>53622.780589274429</v>
      </c>
      <c r="D46" s="254"/>
      <c r="E46" s="260"/>
    </row>
    <row r="47" spans="1:13" ht="20.100000000000001" customHeight="1">
      <c r="A47" s="266"/>
      <c r="B47" s="285" t="s">
        <v>38</v>
      </c>
      <c r="C47" s="342">
        <f>SUM(тх2!C43+тх4!C43+тх6!C43+КТ!C43+УВ1!C43+УВ3!C43+УВ5!C43+УВ7!C43+УВ9!C43+УВ11!C43+УВ13!C43+УВ15!C43+УВ17!C43+УВ19!C43+УВ21!C43)</f>
        <v>31949.132999999998</v>
      </c>
      <c r="D47" s="256"/>
      <c r="E47" s="261">
        <f>((0.62*14990.3)+((2324.5+1549)*0.35))*3</f>
        <v>31949.132999999998</v>
      </c>
      <c r="H47" s="33"/>
      <c r="I47" s="33"/>
    </row>
    <row r="48" spans="1:13" ht="39" customHeight="1">
      <c r="A48" s="310"/>
      <c r="B48" s="285" t="s">
        <v>45</v>
      </c>
      <c r="C48" s="342">
        <f>7392.55+1710.01</f>
        <v>9102.56</v>
      </c>
      <c r="D48" s="256" t="s">
        <v>302</v>
      </c>
      <c r="E48" s="257"/>
      <c r="F48" s="4"/>
      <c r="G48" s="4"/>
      <c r="H48" s="4"/>
      <c r="I48" s="4"/>
      <c r="J48" s="4"/>
      <c r="K48" s="4"/>
    </row>
    <row r="49" spans="1:9" ht="37.5" customHeight="1">
      <c r="A49" s="310"/>
      <c r="B49" s="285" t="s">
        <v>48</v>
      </c>
      <c r="C49" s="342">
        <v>2000</v>
      </c>
      <c r="D49" s="244" t="s">
        <v>307</v>
      </c>
    </row>
    <row r="50" spans="1:9" ht="37.5" customHeight="1">
      <c r="A50" s="399"/>
      <c r="B50" s="285" t="s">
        <v>315</v>
      </c>
      <c r="C50" s="403">
        <v>2500</v>
      </c>
      <c r="D50" s="244"/>
    </row>
    <row r="51" spans="1:9" ht="40.5" customHeight="1">
      <c r="A51" s="310"/>
      <c r="B51" s="285" t="s">
        <v>143</v>
      </c>
      <c r="C51" s="342">
        <v>2672.58</v>
      </c>
      <c r="D51" s="244" t="s">
        <v>303</v>
      </c>
    </row>
    <row r="52" spans="1:9" s="1" customFormat="1" ht="42.75" customHeight="1">
      <c r="A52" s="266"/>
      <c r="B52" s="285" t="s">
        <v>144</v>
      </c>
      <c r="C52" s="342">
        <f>SUM(C88)</f>
        <v>1004.7875892744329</v>
      </c>
      <c r="D52" s="268"/>
      <c r="E52" s="269"/>
    </row>
    <row r="53" spans="1:9" ht="41.25" customHeight="1">
      <c r="A53" s="281"/>
      <c r="B53" s="285" t="s">
        <v>24</v>
      </c>
      <c r="C53" s="342">
        <v>80</v>
      </c>
      <c r="D53" s="244"/>
      <c r="E53" s="218"/>
    </row>
    <row r="54" spans="1:9" ht="39" customHeight="1">
      <c r="A54" s="281"/>
      <c r="B54" s="285" t="s">
        <v>145</v>
      </c>
      <c r="C54" s="402">
        <v>2267.4299999999998</v>
      </c>
      <c r="D54" s="244"/>
    </row>
    <row r="55" spans="1:9" ht="60" customHeight="1">
      <c r="A55" s="281"/>
      <c r="B55" s="285" t="s">
        <v>146</v>
      </c>
      <c r="C55" s="402">
        <v>263.02</v>
      </c>
      <c r="D55" s="244"/>
    </row>
    <row r="56" spans="1:9" ht="20.100000000000001" customHeight="1">
      <c r="A56" s="281"/>
      <c r="B56" s="325" t="s">
        <v>29</v>
      </c>
      <c r="C56" s="342">
        <v>67.5</v>
      </c>
      <c r="D56" s="268"/>
    </row>
    <row r="57" spans="1:9" ht="20.100000000000001" customHeight="1" outlineLevel="1">
      <c r="A57" s="281"/>
      <c r="B57" s="285" t="s">
        <v>147</v>
      </c>
      <c r="C57" s="403">
        <v>300</v>
      </c>
      <c r="D57" s="268"/>
    </row>
    <row r="58" spans="1:9" ht="26.1" customHeight="1" outlineLevel="1">
      <c r="A58" s="283"/>
      <c r="B58" s="325" t="s">
        <v>65</v>
      </c>
      <c r="C58" s="342">
        <v>95</v>
      </c>
      <c r="D58" s="268"/>
    </row>
    <row r="59" spans="1:9" ht="26.1" customHeight="1" outlineLevel="1">
      <c r="A59" s="283"/>
      <c r="B59" s="285" t="s">
        <v>82</v>
      </c>
      <c r="C59" s="342">
        <v>0</v>
      </c>
      <c r="D59" s="268"/>
    </row>
    <row r="60" spans="1:9">
      <c r="A60" s="281"/>
      <c r="B60" s="285" t="s">
        <v>135</v>
      </c>
      <c r="C60" s="342">
        <f>27+567</f>
        <v>594</v>
      </c>
      <c r="D60" s="268"/>
    </row>
    <row r="61" spans="1:9">
      <c r="A61" s="284"/>
      <c r="B61" s="285" t="s">
        <v>275</v>
      </c>
      <c r="C61" s="342">
        <v>394.38</v>
      </c>
      <c r="D61" s="268" t="s">
        <v>301</v>
      </c>
    </row>
    <row r="62" spans="1:9" ht="39.75" customHeight="1">
      <c r="A62" s="286"/>
      <c r="B62" s="325" t="s">
        <v>26</v>
      </c>
      <c r="C62" s="342">
        <f>76.5+14.79</f>
        <v>91.289999999999992</v>
      </c>
      <c r="D62" s="268"/>
    </row>
    <row r="63" spans="1:9">
      <c r="A63" s="287"/>
      <c r="B63" s="288" t="s">
        <v>133</v>
      </c>
      <c r="C63" s="342">
        <v>80</v>
      </c>
      <c r="D63" s="268"/>
      <c r="E63" s="347"/>
      <c r="F63" s="347"/>
      <c r="G63" s="347"/>
      <c r="H63" s="347"/>
      <c r="I63" s="347"/>
    </row>
    <row r="64" spans="1:9" ht="19.5" thickBot="1">
      <c r="A64" s="289"/>
      <c r="B64" s="290" t="s">
        <v>27</v>
      </c>
      <c r="C64" s="404">
        <f>SUM((C24+C26+C27+C30+C31))*5/100</f>
        <v>161.1</v>
      </c>
      <c r="D64" s="268"/>
      <c r="E64" s="277"/>
      <c r="F64" s="277"/>
      <c r="G64" s="277"/>
      <c r="H64" s="277"/>
      <c r="I64" s="277"/>
    </row>
    <row r="65" spans="1:9" ht="21" thickBot="1">
      <c r="A65" s="292">
        <v>5</v>
      </c>
      <c r="B65" s="326" t="s">
        <v>148</v>
      </c>
      <c r="C65" s="339"/>
      <c r="D65" s="298"/>
      <c r="E65" s="277"/>
      <c r="F65" s="277"/>
      <c r="G65" s="277"/>
      <c r="H65" s="277"/>
      <c r="I65" s="277"/>
    </row>
    <row r="66" spans="1:9" ht="21" thickBot="1">
      <c r="A66" s="357" t="s">
        <v>37</v>
      </c>
      <c r="B66" s="364"/>
      <c r="C66" s="340">
        <f>SUM(C34+C39+C43+C46+C65)</f>
        <v>86521.474221078068</v>
      </c>
      <c r="D66" s="298"/>
      <c r="E66" s="277"/>
      <c r="F66" s="277"/>
      <c r="G66" s="277"/>
      <c r="H66" s="277"/>
      <c r="I66" s="277"/>
    </row>
    <row r="67" spans="1:9" ht="21" thickBot="1">
      <c r="A67" s="28"/>
      <c r="B67" s="327" t="s">
        <v>149</v>
      </c>
      <c r="C67" s="341">
        <f>C32-C66</f>
        <v>-8126.2922491594509</v>
      </c>
      <c r="D67" s="246"/>
      <c r="E67" s="277"/>
      <c r="F67" s="277"/>
      <c r="G67" s="277"/>
      <c r="H67" s="277"/>
      <c r="I67" s="277"/>
    </row>
    <row r="68" spans="1:9">
      <c r="B68" s="178"/>
      <c r="C68" s="179"/>
      <c r="D68" s="179"/>
      <c r="E68" s="277"/>
      <c r="F68" s="277"/>
      <c r="G68" s="277"/>
      <c r="H68" s="277"/>
      <c r="I68" s="277"/>
    </row>
    <row r="69" spans="1:9">
      <c r="A69" s="58"/>
      <c r="B69" s="77">
        <v>2022</v>
      </c>
      <c r="C69" s="77" t="s">
        <v>150</v>
      </c>
      <c r="D69" s="280" t="s">
        <v>151</v>
      </c>
      <c r="E69" s="277"/>
      <c r="F69" s="277"/>
      <c r="G69" s="277"/>
      <c r="H69" s="277"/>
      <c r="I69" s="277"/>
    </row>
    <row r="70" spans="1:9" ht="19.5" customHeight="1">
      <c r="A70" s="58"/>
      <c r="B70" s="75" t="s">
        <v>50</v>
      </c>
      <c r="C70" s="76">
        <v>0.93</v>
      </c>
      <c r="D70" s="76">
        <v>0.53</v>
      </c>
      <c r="E70" s="277"/>
      <c r="F70" s="277"/>
      <c r="G70" s="277"/>
      <c r="H70" s="277"/>
      <c r="I70" s="277"/>
    </row>
    <row r="71" spans="1:9" ht="19.5" customHeight="1">
      <c r="A71" s="58"/>
      <c r="B71" s="7" t="s">
        <v>21</v>
      </c>
      <c r="C71" s="106">
        <v>0.62</v>
      </c>
      <c r="D71" s="106">
        <v>0.35</v>
      </c>
      <c r="E71" s="277"/>
      <c r="F71" s="277"/>
      <c r="G71" s="277"/>
      <c r="H71" s="277"/>
      <c r="I71" s="277"/>
    </row>
    <row r="72" spans="1:9" ht="19.5" customHeight="1" thickBot="1">
      <c r="A72" s="58"/>
      <c r="B72" s="17" t="s">
        <v>55</v>
      </c>
      <c r="C72" s="106">
        <f>SUM(C70-C71)</f>
        <v>0.31000000000000005</v>
      </c>
      <c r="D72" s="106">
        <f>SUM(D70-D71)</f>
        <v>0.18000000000000005</v>
      </c>
      <c r="E72" s="277"/>
      <c r="F72" s="277"/>
      <c r="G72" s="277"/>
      <c r="H72" s="277"/>
      <c r="I72" s="277"/>
    </row>
    <row r="73" spans="1:9" ht="19.5" customHeight="1">
      <c r="A73" s="58"/>
      <c r="B73" s="79"/>
      <c r="C73" s="280"/>
      <c r="E73" s="277"/>
      <c r="F73" s="277"/>
      <c r="G73" s="277"/>
      <c r="H73" s="277"/>
      <c r="I73" s="277"/>
    </row>
    <row r="74" spans="1:9" ht="19.5" customHeight="1">
      <c r="A74" s="58"/>
      <c r="B74" s="356" t="s">
        <v>56</v>
      </c>
      <c r="C74" s="356"/>
      <c r="E74" s="277"/>
      <c r="F74" s="277"/>
      <c r="G74" s="277"/>
      <c r="H74" s="277"/>
      <c r="I74" s="277"/>
    </row>
    <row r="75" spans="1:9" ht="39.75" customHeight="1">
      <c r="A75" s="58"/>
      <c r="B75" s="71"/>
      <c r="C75" s="280"/>
      <c r="E75" s="277"/>
      <c r="F75" s="277"/>
      <c r="G75" s="277"/>
      <c r="H75" s="277"/>
      <c r="I75" s="277"/>
    </row>
    <row r="76" spans="1:9">
      <c r="A76" s="58"/>
      <c r="C76" s="56"/>
      <c r="E76" s="277"/>
      <c r="F76" s="277"/>
      <c r="G76" s="277"/>
      <c r="H76" s="277"/>
      <c r="I76" s="277"/>
    </row>
    <row r="77" spans="1:9">
      <c r="A77" s="59"/>
      <c r="C77" s="56"/>
      <c r="E77" s="277"/>
      <c r="F77" s="277"/>
      <c r="G77" s="277"/>
      <c r="H77" s="277"/>
      <c r="I77" s="277"/>
    </row>
    <row r="78" spans="1:9">
      <c r="E78" s="277"/>
      <c r="F78" s="277"/>
      <c r="G78" s="277"/>
      <c r="H78" s="277"/>
      <c r="I78" s="277"/>
    </row>
    <row r="83" spans="3:3">
      <c r="C83" s="56">
        <f>(C14+C15)*1.2/100</f>
        <v>22.613228549999999</v>
      </c>
    </row>
    <row r="84" spans="3:3">
      <c r="C84" s="56">
        <f>(C14+C15-C85)*0.5/100</f>
        <v>8.3223214655370015</v>
      </c>
    </row>
    <row r="85" spans="3:3">
      <c r="C85" s="3">
        <f>C8*1.2/100</f>
        <v>219.97141939259996</v>
      </c>
    </row>
    <row r="86" spans="3:3">
      <c r="C86" s="3">
        <f>(C8-C85)*4/100</f>
        <v>724.43920786629587</v>
      </c>
    </row>
    <row r="87" spans="3:3">
      <c r="C87" s="3">
        <f>(D1*0.13)*1.2/100</f>
        <v>29.441412</v>
      </c>
    </row>
    <row r="88" spans="3:3">
      <c r="C88" s="3">
        <f>SUM(C83:C87)</f>
        <v>1004.7875892744329</v>
      </c>
    </row>
  </sheetData>
  <dataConsolidate/>
  <mergeCells count="10">
    <mergeCell ref="E63:I63"/>
    <mergeCell ref="A66:B66"/>
    <mergeCell ref="B74:C74"/>
    <mergeCell ref="A1:C2"/>
    <mergeCell ref="A3:A5"/>
    <mergeCell ref="B3:B5"/>
    <mergeCell ref="C3:C5"/>
    <mergeCell ref="A7:B7"/>
    <mergeCell ref="A32:B32"/>
    <mergeCell ref="A33:B33"/>
  </mergeCells>
  <pageMargins left="0.70866141732283472" right="0.70866141732283472" top="0.74803149606299213" bottom="0.74803149606299213" header="0.31496062992125984" footer="0.31496062992125984"/>
  <pageSetup paperSize="9" scale="38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3566-EEE6-473F-A2C2-6DBC27BA827C}">
  <sheetPr>
    <tabColor rgb="FFFFC000"/>
  </sheetPr>
  <dimension ref="A1:N45"/>
  <sheetViews>
    <sheetView workbookViewId="0">
      <selection activeCell="A18" sqref="A1:N18"/>
    </sheetView>
  </sheetViews>
  <sheetFormatPr defaultRowHeight="15"/>
  <cols>
    <col min="1" max="1" width="30.140625" style="181" customWidth="1"/>
    <col min="2" max="2" width="6.5703125" style="181" customWidth="1"/>
    <col min="3" max="3" width="12.42578125" style="181" customWidth="1"/>
    <col min="4" max="4" width="15.42578125" style="181" customWidth="1"/>
    <col min="5" max="5" width="14.85546875" style="181" customWidth="1"/>
    <col min="6" max="6" width="16.85546875" style="181" customWidth="1"/>
    <col min="7" max="7" width="11.28515625" style="181" customWidth="1"/>
    <col min="8" max="9" width="9.140625" style="181"/>
    <col min="10" max="10" width="6.7109375" style="181" customWidth="1"/>
    <col min="11" max="16384" width="9.140625" style="181"/>
  </cols>
  <sheetData>
    <row r="1" spans="1:14">
      <c r="A1" s="238"/>
      <c r="B1" s="238"/>
      <c r="C1" s="237">
        <v>1</v>
      </c>
      <c r="D1" s="237">
        <v>2</v>
      </c>
      <c r="E1" s="237">
        <v>3</v>
      </c>
      <c r="F1" s="237">
        <v>4</v>
      </c>
      <c r="G1" s="237">
        <v>5</v>
      </c>
      <c r="H1" s="237">
        <v>6</v>
      </c>
      <c r="I1" s="237">
        <v>7</v>
      </c>
      <c r="J1" s="237">
        <v>8</v>
      </c>
      <c r="K1" s="237">
        <v>9</v>
      </c>
      <c r="L1" s="237">
        <v>10</v>
      </c>
      <c r="M1" s="237">
        <v>11</v>
      </c>
      <c r="N1" s="237">
        <v>12</v>
      </c>
    </row>
    <row r="2" spans="1:14">
      <c r="A2" s="238" t="s">
        <v>290</v>
      </c>
      <c r="B2" s="238"/>
      <c r="C2" s="237">
        <v>8407</v>
      </c>
      <c r="D2" s="237">
        <v>7634</v>
      </c>
      <c r="E2" s="237">
        <v>6963</v>
      </c>
      <c r="F2" s="237">
        <v>3778</v>
      </c>
      <c r="G2" s="237">
        <v>2533</v>
      </c>
      <c r="H2" s="237">
        <v>2277</v>
      </c>
      <c r="I2" s="237">
        <v>2449</v>
      </c>
      <c r="J2" s="237">
        <v>3180</v>
      </c>
      <c r="K2" s="237">
        <v>2791</v>
      </c>
      <c r="L2" s="237">
        <v>3309</v>
      </c>
      <c r="M2" s="237">
        <v>4055</v>
      </c>
      <c r="N2" s="237">
        <v>1641</v>
      </c>
    </row>
    <row r="3" spans="1:14">
      <c r="A3" s="238"/>
      <c r="B3" s="238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ht="30">
      <c r="A4" s="238" t="s">
        <v>261</v>
      </c>
      <c r="B4" s="238"/>
      <c r="C4" s="237">
        <v>0.40550418438743302</v>
      </c>
      <c r="D4" s="237">
        <v>0.40550418438743302</v>
      </c>
      <c r="E4" s="237">
        <v>0.40550418438743302</v>
      </c>
      <c r="F4" s="237">
        <v>0.40550418438743302</v>
      </c>
      <c r="G4" s="237">
        <v>0.40550418438743302</v>
      </c>
      <c r="H4" s="237">
        <v>0.40550418438743302</v>
      </c>
      <c r="I4" s="237">
        <v>0.40550418438743302</v>
      </c>
      <c r="J4" s="237">
        <v>0.40550418438743302</v>
      </c>
      <c r="K4" s="237">
        <v>0.40550418438743302</v>
      </c>
      <c r="L4" s="237">
        <v>0.40550418438743302</v>
      </c>
      <c r="M4" s="237">
        <v>0.40550418438743302</v>
      </c>
      <c r="N4" s="237">
        <v>0.40550418438743302</v>
      </c>
    </row>
    <row r="5" spans="1:14">
      <c r="A5" s="238"/>
      <c r="B5" s="238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</row>
    <row r="6" spans="1:14">
      <c r="A6" s="238"/>
      <c r="B6" s="238"/>
      <c r="C6" s="237">
        <f>SUM(C2*C4)</f>
        <v>3409.0736781451492</v>
      </c>
      <c r="D6" s="237">
        <f t="shared" ref="D6:N6" si="0">SUM(D2*D4)</f>
        <v>3095.6189436136638</v>
      </c>
      <c r="E6" s="237">
        <f t="shared" si="0"/>
        <v>2823.5256358896963</v>
      </c>
      <c r="F6" s="237">
        <f t="shared" si="0"/>
        <v>1531.9948086157219</v>
      </c>
      <c r="G6" s="237">
        <f t="shared" si="0"/>
        <v>1027.1420990533679</v>
      </c>
      <c r="H6" s="237">
        <f t="shared" si="0"/>
        <v>923.33302785018498</v>
      </c>
      <c r="I6" s="237">
        <f t="shared" si="0"/>
        <v>993.07974756482349</v>
      </c>
      <c r="J6" s="237">
        <f t="shared" si="0"/>
        <v>1289.503306352037</v>
      </c>
      <c r="K6" s="237">
        <f t="shared" si="0"/>
        <v>1131.7621786253255</v>
      </c>
      <c r="L6" s="237">
        <f t="shared" si="0"/>
        <v>1341.813346138016</v>
      </c>
      <c r="M6" s="237">
        <f t="shared" si="0"/>
        <v>1644.3194676910409</v>
      </c>
      <c r="N6" s="237">
        <f t="shared" si="0"/>
        <v>665.43236657977764</v>
      </c>
    </row>
    <row r="7" spans="1:14">
      <c r="A7" s="238"/>
      <c r="B7" s="238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</row>
    <row r="8" spans="1:14">
      <c r="A8" s="238"/>
      <c r="B8" s="238"/>
      <c r="C8" s="237">
        <f>SUM(C6+D6+E6)</f>
        <v>9328.2182576485102</v>
      </c>
      <c r="D8" s="237"/>
      <c r="E8" s="237"/>
      <c r="F8" s="237">
        <f>SUM(F6+G6+H6)</f>
        <v>3482.4699355192747</v>
      </c>
      <c r="G8" s="237"/>
      <c r="H8" s="237"/>
      <c r="I8" s="237">
        <f>SUM(I6+J6+K6)</f>
        <v>3414.3452325421858</v>
      </c>
      <c r="J8" s="237"/>
      <c r="K8" s="237"/>
      <c r="L8" s="237">
        <f>SUM(L6+M6+N6)</f>
        <v>3651.5651804088347</v>
      </c>
      <c r="M8" s="237"/>
      <c r="N8" s="237"/>
    </row>
    <row r="9" spans="1:14">
      <c r="A9" s="238" t="s">
        <v>262</v>
      </c>
      <c r="B9" s="238"/>
      <c r="C9" s="237"/>
      <c r="D9" s="237">
        <v>53189.399999999994</v>
      </c>
      <c r="E9" s="237"/>
      <c r="F9" s="237"/>
      <c r="G9" s="237"/>
      <c r="H9" s="237"/>
      <c r="I9" s="237"/>
      <c r="J9" s="237"/>
      <c r="K9" s="237"/>
      <c r="L9" s="237"/>
      <c r="M9" s="237"/>
      <c r="N9" s="237"/>
    </row>
    <row r="10" spans="1:14">
      <c r="A10" s="238"/>
      <c r="B10" s="238"/>
      <c r="C10" s="237" t="s">
        <v>255</v>
      </c>
      <c r="D10" s="237">
        <v>18872.7</v>
      </c>
      <c r="E10" s="237"/>
      <c r="F10" s="237"/>
      <c r="G10" s="237"/>
      <c r="H10" s="237"/>
      <c r="I10" s="237"/>
      <c r="J10" s="237"/>
      <c r="K10" s="237"/>
      <c r="L10" s="237"/>
      <c r="M10" s="237"/>
      <c r="N10" s="237"/>
    </row>
    <row r="11" spans="1:14">
      <c r="A11" s="238"/>
      <c r="B11" s="238"/>
      <c r="C11" s="237" t="s">
        <v>256</v>
      </c>
      <c r="D11" s="237">
        <v>34316.699999999997</v>
      </c>
      <c r="E11" s="237"/>
      <c r="F11" s="237"/>
      <c r="G11" s="237"/>
      <c r="H11" s="237"/>
      <c r="I11" s="237"/>
      <c r="J11" s="237"/>
      <c r="K11" s="237"/>
      <c r="L11" s="237"/>
      <c r="M11" s="237"/>
      <c r="N11" s="237"/>
    </row>
    <row r="12" spans="1:14">
      <c r="A12" s="238"/>
      <c r="B12" s="238"/>
      <c r="C12" s="237" t="s">
        <v>257</v>
      </c>
      <c r="D12" s="237" t="s">
        <v>258</v>
      </c>
      <c r="E12" s="237" t="s">
        <v>259</v>
      </c>
      <c r="F12" s="237" t="s">
        <v>260</v>
      </c>
      <c r="G12" s="237"/>
      <c r="H12" s="237"/>
      <c r="I12" s="237"/>
      <c r="J12" s="237"/>
      <c r="K12" s="237"/>
      <c r="L12" s="237"/>
      <c r="M12" s="237"/>
      <c r="N12" s="237"/>
    </row>
    <row r="13" spans="1:14">
      <c r="A13" s="238" t="s">
        <v>255</v>
      </c>
      <c r="B13" s="238"/>
      <c r="C13" s="237">
        <f>SUM(C8/D9*D10)</f>
        <v>3309.8449072770713</v>
      </c>
      <c r="D13" s="237">
        <f>SUM(F8/D9*D10)</f>
        <v>1235.652411045709</v>
      </c>
      <c r="E13" s="237">
        <f>SUM(I8/D9*D10)</f>
        <v>1211.4803564281401</v>
      </c>
      <c r="F13" s="237">
        <f>SUM(L8/D9*D10)</f>
        <v>1295.6509037571739</v>
      </c>
      <c r="G13" s="237"/>
      <c r="H13" s="237"/>
      <c r="I13" s="237"/>
      <c r="J13" s="237"/>
      <c r="K13" s="237"/>
      <c r="L13" s="237"/>
      <c r="M13" s="237"/>
      <c r="N13" s="237"/>
    </row>
    <row r="14" spans="1:14">
      <c r="A14" s="237" t="s">
        <v>256</v>
      </c>
      <c r="B14" s="237"/>
      <c r="C14" s="237">
        <f>SUM(C8/D9*D11)</f>
        <v>6018.3733503714393</v>
      </c>
      <c r="D14" s="237">
        <f>SUM(F8/D9*D11)</f>
        <v>2246.8175244735662</v>
      </c>
      <c r="E14" s="237">
        <f>SUM(I8/D9*D11)</f>
        <v>2202.8648761140457</v>
      </c>
      <c r="F14" s="237">
        <f>SUM(L8/D9*D11)</f>
        <v>2355.9142766516611</v>
      </c>
      <c r="G14" s="237"/>
      <c r="H14" s="237"/>
      <c r="I14" s="237"/>
      <c r="J14" s="237"/>
      <c r="K14" s="237"/>
      <c r="L14" s="237"/>
      <c r="M14" s="237"/>
      <c r="N14" s="237"/>
    </row>
    <row r="17" spans="1:14">
      <c r="A17" s="238" t="s">
        <v>255</v>
      </c>
      <c r="B17" s="248"/>
      <c r="C17" s="181">
        <v>3309.8449072770713</v>
      </c>
      <c r="D17" s="181">
        <v>1235.652411045709</v>
      </c>
      <c r="E17" s="181">
        <v>1211.4803564281401</v>
      </c>
      <c r="F17" s="181">
        <v>1295.6509037571739</v>
      </c>
    </row>
    <row r="18" spans="1:14">
      <c r="A18" s="237" t="s">
        <v>256</v>
      </c>
      <c r="B18" s="119"/>
      <c r="C18" s="181">
        <v>6018.3733503714393</v>
      </c>
      <c r="D18" s="181">
        <v>2246.8175244735662</v>
      </c>
      <c r="E18" s="181">
        <v>2202.8648761140457</v>
      </c>
      <c r="F18" s="181">
        <v>2355.9142766516611</v>
      </c>
    </row>
    <row r="20" spans="1:14"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</row>
    <row r="34" spans="3:14"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</row>
    <row r="35" spans="3:14">
      <c r="G35" s="249"/>
      <c r="H35" s="249"/>
    </row>
    <row r="36" spans="3:14">
      <c r="G36" s="249"/>
      <c r="H36" s="249"/>
    </row>
    <row r="37" spans="3:14">
      <c r="G37" s="249"/>
      <c r="H37" s="249"/>
    </row>
    <row r="38" spans="3:14">
      <c r="G38" s="249"/>
      <c r="H38" s="249"/>
    </row>
    <row r="39" spans="3:14">
      <c r="G39" s="249"/>
      <c r="H39" s="249"/>
    </row>
    <row r="40" spans="3:14">
      <c r="G40" s="249"/>
      <c r="H40" s="249"/>
    </row>
    <row r="41" spans="3:14">
      <c r="G41" s="249"/>
      <c r="H41" s="249"/>
    </row>
    <row r="42" spans="3:14">
      <c r="G42" s="249"/>
      <c r="H42" s="249"/>
    </row>
    <row r="43" spans="3:14">
      <c r="G43" s="249"/>
      <c r="H43" s="249"/>
    </row>
    <row r="44" spans="3:14">
      <c r="G44" s="249"/>
      <c r="H44" s="249"/>
    </row>
    <row r="45" spans="3:14">
      <c r="G45" s="249"/>
      <c r="H45" s="249"/>
    </row>
  </sheetData>
  <mergeCells count="8">
    <mergeCell ref="C20:E20"/>
    <mergeCell ref="F20:H20"/>
    <mergeCell ref="I20:K20"/>
    <mergeCell ref="L20:N20"/>
    <mergeCell ref="C34:E34"/>
    <mergeCell ref="F34:H34"/>
    <mergeCell ref="I34:K34"/>
    <mergeCell ref="L34:N3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F8CC-E2B6-43D1-A80B-ED85583602D8}">
  <sheetPr>
    <tabColor rgb="FFFFC000"/>
  </sheetPr>
  <dimension ref="A1:N47"/>
  <sheetViews>
    <sheetView topLeftCell="A25" workbookViewId="0">
      <selection activeCell="E33" sqref="E33"/>
    </sheetView>
  </sheetViews>
  <sheetFormatPr defaultRowHeight="15"/>
  <cols>
    <col min="1" max="1" width="30.140625" customWidth="1"/>
    <col min="2" max="2" width="6.5703125" style="181" customWidth="1"/>
    <col min="3" max="3" width="5.42578125" customWidth="1"/>
    <col min="4" max="4" width="8" customWidth="1"/>
    <col min="5" max="5" width="9.85546875" customWidth="1"/>
    <col min="7" max="7" width="4.85546875" customWidth="1"/>
    <col min="10" max="10" width="6.7109375" customWidth="1"/>
  </cols>
  <sheetData>
    <row r="1" spans="1:14">
      <c r="A1" s="238"/>
      <c r="B1" s="238"/>
      <c r="C1" s="237">
        <v>1</v>
      </c>
      <c r="D1" s="237">
        <v>2</v>
      </c>
      <c r="E1" s="237">
        <v>3</v>
      </c>
      <c r="F1" s="237">
        <v>4</v>
      </c>
      <c r="G1" s="237">
        <v>5</v>
      </c>
      <c r="H1" s="237">
        <v>6</v>
      </c>
      <c r="I1" s="237">
        <v>7</v>
      </c>
      <c r="J1" s="237">
        <v>8</v>
      </c>
      <c r="K1" s="237">
        <v>9</v>
      </c>
      <c r="L1" s="237">
        <v>10</v>
      </c>
      <c r="M1" s="237">
        <v>11</v>
      </c>
      <c r="N1" s="237">
        <v>12</v>
      </c>
    </row>
    <row r="2" spans="1:14">
      <c r="A2" s="238" t="s">
        <v>290</v>
      </c>
      <c r="B2" s="238"/>
      <c r="C2" s="237">
        <v>8407</v>
      </c>
      <c r="D2" s="237">
        <v>7634</v>
      </c>
      <c r="E2" s="237">
        <v>6963</v>
      </c>
      <c r="F2" s="237">
        <v>3778</v>
      </c>
      <c r="G2" s="237">
        <v>2533</v>
      </c>
      <c r="H2" s="237">
        <v>2277</v>
      </c>
      <c r="I2" s="237">
        <v>2449</v>
      </c>
      <c r="J2" s="237">
        <v>3180</v>
      </c>
      <c r="K2" s="237">
        <v>2791</v>
      </c>
      <c r="L2" s="237">
        <v>3309</v>
      </c>
      <c r="M2" s="237">
        <v>4055</v>
      </c>
      <c r="N2" s="237">
        <v>1641</v>
      </c>
    </row>
    <row r="3" spans="1:14">
      <c r="A3" s="238"/>
      <c r="B3" s="238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 ht="30">
      <c r="A4" s="238" t="s">
        <v>261</v>
      </c>
      <c r="B4" s="238"/>
      <c r="C4" s="237">
        <v>0.21</v>
      </c>
      <c r="D4" s="237">
        <v>0.21</v>
      </c>
      <c r="E4" s="237">
        <v>0.21</v>
      </c>
      <c r="F4" s="237">
        <v>0.21</v>
      </c>
      <c r="G4" s="237">
        <v>0.21</v>
      </c>
      <c r="H4" s="237">
        <v>0.21</v>
      </c>
      <c r="I4" s="237">
        <v>0.21</v>
      </c>
      <c r="J4" s="237">
        <v>0.21</v>
      </c>
      <c r="K4" s="237">
        <v>0.21</v>
      </c>
      <c r="L4" s="237">
        <v>0.21</v>
      </c>
      <c r="M4" s="237">
        <v>0.21</v>
      </c>
      <c r="N4" s="237">
        <v>0.21</v>
      </c>
    </row>
    <row r="5" spans="1:14">
      <c r="A5" s="238"/>
      <c r="B5" s="238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</row>
    <row r="6" spans="1:14">
      <c r="A6" s="238"/>
      <c r="B6" s="238"/>
      <c r="C6" s="237">
        <v>1765.47</v>
      </c>
      <c r="D6" s="237">
        <v>1603.1399999999999</v>
      </c>
      <c r="E6" s="237">
        <v>1462.23</v>
      </c>
      <c r="F6" s="237">
        <v>793.38</v>
      </c>
      <c r="G6" s="237">
        <v>531.92999999999995</v>
      </c>
      <c r="H6" s="237">
        <v>478.16999999999996</v>
      </c>
      <c r="I6" s="237">
        <v>514.29</v>
      </c>
      <c r="J6" s="237">
        <v>667.8</v>
      </c>
      <c r="K6" s="237">
        <v>586.11</v>
      </c>
      <c r="L6" s="237">
        <v>694.89</v>
      </c>
      <c r="M6" s="237">
        <v>851.55</v>
      </c>
      <c r="N6" s="237">
        <v>344.61</v>
      </c>
    </row>
    <row r="7" spans="1:14">
      <c r="A7" s="238"/>
      <c r="B7" s="238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</row>
    <row r="8" spans="1:14">
      <c r="A8" s="238"/>
      <c r="B8" s="238"/>
      <c r="C8" s="237">
        <v>4830.84</v>
      </c>
      <c r="D8" s="237"/>
      <c r="E8" s="237"/>
      <c r="F8" s="237">
        <v>1803.48</v>
      </c>
      <c r="G8" s="237"/>
      <c r="H8" s="237"/>
      <c r="I8" s="237">
        <v>1768.1999999999998</v>
      </c>
      <c r="J8" s="237"/>
      <c r="K8" s="237"/>
      <c r="L8" s="237">
        <v>1891.0500000000002</v>
      </c>
      <c r="M8" s="237"/>
      <c r="N8" s="237"/>
    </row>
    <row r="9" spans="1:14">
      <c r="A9" s="238" t="s">
        <v>262</v>
      </c>
      <c r="B9" s="238"/>
      <c r="C9" s="237"/>
      <c r="D9" s="237">
        <v>53189.399999999994</v>
      </c>
      <c r="E9" s="237"/>
      <c r="F9" s="237"/>
      <c r="G9" s="237"/>
      <c r="H9" s="237"/>
      <c r="I9" s="237"/>
      <c r="J9" s="237"/>
      <c r="K9" s="237"/>
      <c r="L9" s="237"/>
      <c r="M9" s="237"/>
      <c r="N9" s="237"/>
    </row>
    <row r="10" spans="1:14">
      <c r="A10" s="238"/>
      <c r="B10" s="238"/>
      <c r="C10" s="237" t="s">
        <v>255</v>
      </c>
      <c r="D10" s="237">
        <v>18872.7</v>
      </c>
      <c r="E10" s="237"/>
      <c r="F10" s="237"/>
      <c r="G10" s="237"/>
      <c r="H10" s="237"/>
      <c r="I10" s="237"/>
      <c r="J10" s="237"/>
      <c r="K10" s="237"/>
      <c r="L10" s="237"/>
      <c r="M10" s="237"/>
      <c r="N10" s="237"/>
    </row>
    <row r="11" spans="1:14">
      <c r="A11" s="238"/>
      <c r="B11" s="238"/>
      <c r="C11" s="237" t="s">
        <v>256</v>
      </c>
      <c r="D11" s="237">
        <v>34316.699999999997</v>
      </c>
      <c r="E11" s="237"/>
      <c r="F11" s="237"/>
      <c r="G11" s="237"/>
      <c r="H11" s="237"/>
      <c r="I11" s="237"/>
      <c r="J11" s="237"/>
      <c r="K11" s="237"/>
      <c r="L11" s="237"/>
      <c r="M11" s="237"/>
      <c r="N11" s="237"/>
    </row>
    <row r="12" spans="1:14">
      <c r="A12" s="238"/>
      <c r="B12" s="238"/>
      <c r="C12" s="237" t="s">
        <v>257</v>
      </c>
      <c r="D12" s="237" t="s">
        <v>258</v>
      </c>
      <c r="E12" s="237" t="s">
        <v>259</v>
      </c>
      <c r="F12" s="237" t="s">
        <v>260</v>
      </c>
      <c r="G12" s="237"/>
      <c r="H12" s="237"/>
      <c r="I12" s="237"/>
      <c r="J12" s="237"/>
      <c r="K12" s="237"/>
      <c r="L12" s="237"/>
      <c r="M12" s="237"/>
      <c r="N12" s="237"/>
    </row>
    <row r="13" spans="1:14">
      <c r="A13" s="238" t="s">
        <v>255</v>
      </c>
      <c r="B13" s="238"/>
      <c r="C13" s="237">
        <v>1714.0820176200523</v>
      </c>
      <c r="D13" s="237">
        <v>639.91203126938831</v>
      </c>
      <c r="E13" s="237">
        <v>627.39395706663367</v>
      </c>
      <c r="F13" s="237">
        <v>670.98367973694019</v>
      </c>
      <c r="G13" s="237"/>
      <c r="H13" s="237"/>
      <c r="I13" s="237"/>
      <c r="J13" s="237"/>
      <c r="K13" s="237"/>
      <c r="L13" s="237"/>
      <c r="M13" s="237"/>
      <c r="N13" s="237"/>
    </row>
    <row r="14" spans="1:14">
      <c r="A14" s="237" t="s">
        <v>256</v>
      </c>
      <c r="B14" s="237"/>
      <c r="C14" s="237">
        <v>3116.7579823799479</v>
      </c>
      <c r="D14" s="237">
        <v>1163.5679687306117</v>
      </c>
      <c r="E14" s="237">
        <v>1140.8060429333664</v>
      </c>
      <c r="F14" s="237">
        <v>1220.0663202630601</v>
      </c>
      <c r="G14" s="237"/>
      <c r="H14" s="237"/>
      <c r="I14" s="237"/>
      <c r="J14" s="237"/>
      <c r="K14" s="237"/>
      <c r="L14" s="237"/>
      <c r="M14" s="237"/>
      <c r="N14" s="237"/>
    </row>
    <row r="17" spans="1:14">
      <c r="A17" s="238" t="s">
        <v>255</v>
      </c>
      <c r="B17" s="248"/>
      <c r="C17">
        <v>1714.0820176200523</v>
      </c>
      <c r="D17">
        <v>639.91203126938831</v>
      </c>
      <c r="E17">
        <v>627.39395706663367</v>
      </c>
      <c r="F17">
        <v>670.98367973694019</v>
      </c>
    </row>
    <row r="18" spans="1:14">
      <c r="A18" s="237" t="s">
        <v>256</v>
      </c>
      <c r="B18" s="119"/>
      <c r="C18">
        <v>3116.7579823799479</v>
      </c>
      <c r="D18">
        <v>1163.5679687306117</v>
      </c>
      <c r="E18">
        <v>1140.8060429333664</v>
      </c>
      <c r="F18">
        <v>1220.0663202630601</v>
      </c>
    </row>
    <row r="20" spans="1:14">
      <c r="A20" t="s">
        <v>291</v>
      </c>
      <c r="C20" s="393" t="s">
        <v>271</v>
      </c>
      <c r="D20" s="393"/>
      <c r="E20" s="393"/>
      <c r="F20" s="393" t="s">
        <v>272</v>
      </c>
      <c r="G20" s="393"/>
      <c r="H20" s="393"/>
      <c r="I20" s="393" t="s">
        <v>273</v>
      </c>
      <c r="J20" s="393"/>
      <c r="K20" s="393"/>
      <c r="L20" s="393" t="s">
        <v>274</v>
      </c>
      <c r="M20" s="393"/>
      <c r="N20" s="393"/>
    </row>
    <row r="21" spans="1:14">
      <c r="A21" t="s">
        <v>263</v>
      </c>
    </row>
    <row r="22" spans="1:14">
      <c r="A22" t="s">
        <v>110</v>
      </c>
      <c r="B22" s="181">
        <v>0.2321</v>
      </c>
      <c r="C22">
        <v>83</v>
      </c>
      <c r="D22">
        <f>SUM(C22*3*1.05)</f>
        <v>261.45</v>
      </c>
      <c r="E22">
        <f>SUM(B22*D22)</f>
        <v>60.682544999999998</v>
      </c>
      <c r="F22" s="181">
        <v>83</v>
      </c>
      <c r="G22">
        <f>SUM(F22*3)</f>
        <v>249</v>
      </c>
      <c r="H22" s="181">
        <f>SUM(G22*B22)</f>
        <v>57.792900000000003</v>
      </c>
      <c r="I22" s="181">
        <v>83</v>
      </c>
      <c r="J22" s="181">
        <f>SUM(I22*3*1.1)</f>
        <v>273.90000000000003</v>
      </c>
      <c r="K22" s="181">
        <f>SUM(J22*B22)</f>
        <v>63.572190000000006</v>
      </c>
      <c r="L22" s="181">
        <v>83</v>
      </c>
      <c r="M22" s="181">
        <f>SUM(L22*3*1.3)</f>
        <v>323.7</v>
      </c>
      <c r="N22" s="181">
        <f>SUM(M22*B22)</f>
        <v>75.130769999999998</v>
      </c>
    </row>
    <row r="23" spans="1:14">
      <c r="A23" t="s">
        <v>108</v>
      </c>
      <c r="B23" s="181">
        <v>0.2321</v>
      </c>
      <c r="C23">
        <v>80</v>
      </c>
      <c r="D23" s="181">
        <f t="shared" ref="D23:D32" si="0">SUM(C23*3*1.05)</f>
        <v>252</v>
      </c>
      <c r="E23" s="181">
        <f t="shared" ref="E23:E45" si="1">SUM(B23*D23)</f>
        <v>58.489199999999997</v>
      </c>
      <c r="F23" s="181">
        <v>80</v>
      </c>
      <c r="G23" s="181">
        <f t="shared" ref="G23:G32" si="2">SUM(F23*3)</f>
        <v>240</v>
      </c>
      <c r="H23" s="181">
        <f t="shared" ref="H23:H32" si="3">SUM(G23*B23)</f>
        <v>55.704000000000001</v>
      </c>
      <c r="I23" s="181">
        <v>80</v>
      </c>
      <c r="J23" s="181">
        <f t="shared" ref="J23:J32" si="4">SUM(I23*3*1.1)</f>
        <v>264</v>
      </c>
      <c r="K23" s="181">
        <f t="shared" ref="K23:K32" si="5">SUM(J23*B23)</f>
        <v>61.2744</v>
      </c>
      <c r="L23" s="181">
        <v>80</v>
      </c>
      <c r="M23" s="181">
        <f t="shared" ref="M23:M32" si="6">SUM(L23*3*1.3)</f>
        <v>312</v>
      </c>
      <c r="N23" s="181">
        <f t="shared" ref="N23:N32" si="7">SUM(M23*B23)</f>
        <v>72.415199999999999</v>
      </c>
    </row>
    <row r="24" spans="1:14">
      <c r="A24" t="s">
        <v>109</v>
      </c>
      <c r="B24" s="181">
        <v>0.2321</v>
      </c>
      <c r="C24">
        <v>73</v>
      </c>
      <c r="D24" s="181">
        <f t="shared" si="0"/>
        <v>229.95000000000002</v>
      </c>
      <c r="E24" s="181">
        <f t="shared" si="1"/>
        <v>53.371395000000007</v>
      </c>
      <c r="F24" s="181">
        <v>73</v>
      </c>
      <c r="G24" s="181">
        <f t="shared" si="2"/>
        <v>219</v>
      </c>
      <c r="H24" s="181">
        <f t="shared" si="3"/>
        <v>50.829900000000002</v>
      </c>
      <c r="I24" s="181">
        <v>73</v>
      </c>
      <c r="J24" s="181">
        <f t="shared" si="4"/>
        <v>240.9</v>
      </c>
      <c r="K24" s="181">
        <f t="shared" si="5"/>
        <v>55.912890000000004</v>
      </c>
      <c r="L24" s="181">
        <v>73</v>
      </c>
      <c r="M24" s="181">
        <f t="shared" si="6"/>
        <v>284.7</v>
      </c>
      <c r="N24" s="181">
        <f t="shared" si="7"/>
        <v>66.078869999999995</v>
      </c>
    </row>
    <row r="25" spans="1:14">
      <c r="A25" t="s">
        <v>111</v>
      </c>
      <c r="B25" s="181">
        <v>0.2321</v>
      </c>
      <c r="C25">
        <v>71</v>
      </c>
      <c r="D25" s="181">
        <f t="shared" si="0"/>
        <v>223.65</v>
      </c>
      <c r="E25" s="181">
        <f t="shared" si="1"/>
        <v>51.909165000000002</v>
      </c>
      <c r="F25" s="181">
        <v>71</v>
      </c>
      <c r="G25" s="181">
        <f t="shared" si="2"/>
        <v>213</v>
      </c>
      <c r="H25" s="181">
        <f t="shared" si="3"/>
        <v>49.4373</v>
      </c>
      <c r="I25" s="181">
        <v>71</v>
      </c>
      <c r="J25" s="181">
        <f t="shared" si="4"/>
        <v>234.3</v>
      </c>
      <c r="K25" s="181">
        <f t="shared" si="5"/>
        <v>54.381030000000003</v>
      </c>
      <c r="L25" s="181">
        <v>71</v>
      </c>
      <c r="M25" s="181">
        <f t="shared" si="6"/>
        <v>276.90000000000003</v>
      </c>
      <c r="N25" s="181">
        <f t="shared" si="7"/>
        <v>64.268490000000014</v>
      </c>
    </row>
    <row r="26" spans="1:14">
      <c r="A26" t="s">
        <v>112</v>
      </c>
      <c r="B26" s="181">
        <v>0.2321</v>
      </c>
      <c r="C26">
        <v>80</v>
      </c>
      <c r="D26" s="181">
        <f t="shared" si="0"/>
        <v>252</v>
      </c>
      <c r="E26" s="181">
        <f t="shared" si="1"/>
        <v>58.489199999999997</v>
      </c>
      <c r="F26" s="181">
        <v>80</v>
      </c>
      <c r="G26" s="181">
        <f t="shared" si="2"/>
        <v>240</v>
      </c>
      <c r="H26" s="181">
        <f t="shared" si="3"/>
        <v>55.704000000000001</v>
      </c>
      <c r="I26" s="181">
        <v>80</v>
      </c>
      <c r="J26" s="181">
        <f t="shared" si="4"/>
        <v>264</v>
      </c>
      <c r="K26" s="181">
        <f t="shared" si="5"/>
        <v>61.2744</v>
      </c>
      <c r="L26" s="181">
        <v>80</v>
      </c>
      <c r="M26" s="181">
        <f t="shared" si="6"/>
        <v>312</v>
      </c>
      <c r="N26" s="181">
        <f t="shared" si="7"/>
        <v>72.415199999999999</v>
      </c>
    </row>
    <row r="27" spans="1:14">
      <c r="A27" t="s">
        <v>265</v>
      </c>
      <c r="B27" s="181">
        <v>0.2321</v>
      </c>
      <c r="C27">
        <v>89</v>
      </c>
      <c r="D27" s="181">
        <f t="shared" si="0"/>
        <v>280.35000000000002</v>
      </c>
      <c r="E27" s="181">
        <f t="shared" si="1"/>
        <v>65.069235000000006</v>
      </c>
      <c r="F27" s="181">
        <v>89</v>
      </c>
      <c r="G27" s="181">
        <f t="shared" si="2"/>
        <v>267</v>
      </c>
      <c r="H27" s="181">
        <f t="shared" si="3"/>
        <v>61.970700000000001</v>
      </c>
      <c r="I27" s="181">
        <v>89</v>
      </c>
      <c r="J27" s="181">
        <f t="shared" si="4"/>
        <v>293.70000000000005</v>
      </c>
      <c r="K27" s="181">
        <f t="shared" si="5"/>
        <v>68.167770000000004</v>
      </c>
      <c r="L27" s="181">
        <v>89</v>
      </c>
      <c r="M27" s="181">
        <f t="shared" si="6"/>
        <v>347.1</v>
      </c>
      <c r="N27" s="181">
        <f t="shared" si="7"/>
        <v>80.561910000000012</v>
      </c>
    </row>
    <row r="28" spans="1:14">
      <c r="A28" t="s">
        <v>266</v>
      </c>
      <c r="B28" s="181">
        <v>0.2321</v>
      </c>
      <c r="C28">
        <v>78</v>
      </c>
      <c r="D28" s="181">
        <f t="shared" si="0"/>
        <v>245.70000000000002</v>
      </c>
      <c r="E28" s="181">
        <f t="shared" si="1"/>
        <v>57.026970000000006</v>
      </c>
      <c r="F28" s="181">
        <v>78</v>
      </c>
      <c r="G28" s="181">
        <f t="shared" si="2"/>
        <v>234</v>
      </c>
      <c r="H28" s="181">
        <f t="shared" si="3"/>
        <v>54.311399999999999</v>
      </c>
      <c r="I28" s="181">
        <v>78</v>
      </c>
      <c r="J28" s="181">
        <f t="shared" si="4"/>
        <v>257.40000000000003</v>
      </c>
      <c r="K28" s="181">
        <f t="shared" si="5"/>
        <v>59.742540000000005</v>
      </c>
      <c r="L28" s="181">
        <v>78</v>
      </c>
      <c r="M28" s="181">
        <f t="shared" si="6"/>
        <v>304.2</v>
      </c>
      <c r="N28" s="181">
        <f t="shared" si="7"/>
        <v>70.604820000000004</v>
      </c>
    </row>
    <row r="29" spans="1:14">
      <c r="A29" t="s">
        <v>267</v>
      </c>
      <c r="B29" s="181">
        <v>0.2321</v>
      </c>
      <c r="C29">
        <v>74</v>
      </c>
      <c r="D29" s="181">
        <f t="shared" si="0"/>
        <v>233.10000000000002</v>
      </c>
      <c r="E29" s="181">
        <f t="shared" si="1"/>
        <v>54.102510000000002</v>
      </c>
      <c r="F29" s="181">
        <v>74</v>
      </c>
      <c r="G29" s="181">
        <f t="shared" si="2"/>
        <v>222</v>
      </c>
      <c r="H29" s="181">
        <f t="shared" si="3"/>
        <v>51.526200000000003</v>
      </c>
      <c r="I29" s="181">
        <v>74</v>
      </c>
      <c r="J29" s="181">
        <f t="shared" si="4"/>
        <v>244.20000000000002</v>
      </c>
      <c r="K29" s="181">
        <f t="shared" si="5"/>
        <v>56.678820000000002</v>
      </c>
      <c r="L29" s="181">
        <v>74</v>
      </c>
      <c r="M29" s="181">
        <f t="shared" si="6"/>
        <v>288.60000000000002</v>
      </c>
      <c r="N29" s="181">
        <f t="shared" si="7"/>
        <v>66.984059999999999</v>
      </c>
    </row>
    <row r="30" spans="1:14">
      <c r="A30" t="s">
        <v>268</v>
      </c>
      <c r="B30" s="181">
        <v>0.2321</v>
      </c>
      <c r="C30">
        <v>83</v>
      </c>
      <c r="D30" s="181">
        <f t="shared" si="0"/>
        <v>261.45</v>
      </c>
      <c r="E30" s="181">
        <f t="shared" si="1"/>
        <v>60.682544999999998</v>
      </c>
      <c r="F30" s="181">
        <v>83</v>
      </c>
      <c r="G30" s="181">
        <f t="shared" si="2"/>
        <v>249</v>
      </c>
      <c r="H30" s="181">
        <f t="shared" si="3"/>
        <v>57.792900000000003</v>
      </c>
      <c r="I30" s="181">
        <v>83</v>
      </c>
      <c r="J30" s="181">
        <f t="shared" si="4"/>
        <v>273.90000000000003</v>
      </c>
      <c r="K30" s="181">
        <f t="shared" si="5"/>
        <v>63.572190000000006</v>
      </c>
      <c r="L30" s="181">
        <v>83</v>
      </c>
      <c r="M30" s="181">
        <f t="shared" si="6"/>
        <v>323.7</v>
      </c>
      <c r="N30" s="181">
        <f t="shared" si="7"/>
        <v>75.130769999999998</v>
      </c>
    </row>
    <row r="31" spans="1:14">
      <c r="A31" t="s">
        <v>269</v>
      </c>
      <c r="B31" s="181">
        <v>0.2321</v>
      </c>
      <c r="C31">
        <v>83</v>
      </c>
      <c r="D31" s="181">
        <f t="shared" si="0"/>
        <v>261.45</v>
      </c>
      <c r="E31" s="181">
        <f t="shared" si="1"/>
        <v>60.682544999999998</v>
      </c>
      <c r="F31" s="181">
        <v>83</v>
      </c>
      <c r="G31" s="181">
        <f t="shared" si="2"/>
        <v>249</v>
      </c>
      <c r="H31" s="181">
        <f t="shared" si="3"/>
        <v>57.792900000000003</v>
      </c>
      <c r="I31" s="181">
        <v>83</v>
      </c>
      <c r="J31" s="181">
        <f t="shared" si="4"/>
        <v>273.90000000000003</v>
      </c>
      <c r="K31" s="181">
        <f t="shared" si="5"/>
        <v>63.572190000000006</v>
      </c>
      <c r="L31" s="181">
        <v>83</v>
      </c>
      <c r="M31" s="181">
        <f t="shared" si="6"/>
        <v>323.7</v>
      </c>
      <c r="N31" s="181">
        <f t="shared" si="7"/>
        <v>75.130769999999998</v>
      </c>
    </row>
    <row r="32" spans="1:14">
      <c r="A32" t="s">
        <v>270</v>
      </c>
      <c r="B32" s="181">
        <v>0.2321</v>
      </c>
      <c r="C32">
        <v>96</v>
      </c>
      <c r="D32" s="181">
        <f t="shared" si="0"/>
        <v>302.40000000000003</v>
      </c>
      <c r="E32" s="181">
        <f t="shared" si="1"/>
        <v>70.18704000000001</v>
      </c>
      <c r="F32" s="181">
        <v>96</v>
      </c>
      <c r="G32" s="181">
        <f t="shared" si="2"/>
        <v>288</v>
      </c>
      <c r="H32" s="181">
        <f t="shared" si="3"/>
        <v>66.844800000000006</v>
      </c>
      <c r="I32" s="181">
        <v>96</v>
      </c>
      <c r="J32" s="181">
        <f t="shared" si="4"/>
        <v>316.8</v>
      </c>
      <c r="K32" s="181">
        <f t="shared" si="5"/>
        <v>73.52928</v>
      </c>
      <c r="L32" s="181">
        <v>96</v>
      </c>
      <c r="M32" s="181">
        <f t="shared" si="6"/>
        <v>374.40000000000003</v>
      </c>
      <c r="N32" s="181">
        <f t="shared" si="7"/>
        <v>86.898240000000001</v>
      </c>
    </row>
    <row r="33" spans="1:14" s="181" customFormat="1">
      <c r="E33" s="181">
        <f>SUM(E22:E32)</f>
        <v>650.69235000000003</v>
      </c>
      <c r="H33" s="181">
        <f>SUM(H22:H32)</f>
        <v>619.70699999999999</v>
      </c>
      <c r="K33" s="181">
        <f>SUM(K22:K32)</f>
        <v>681.67769999999996</v>
      </c>
      <c r="N33" s="181">
        <f>SUM(N22:N32)</f>
        <v>805.6191</v>
      </c>
    </row>
    <row r="34" spans="1:14">
      <c r="A34" s="181" t="s">
        <v>264</v>
      </c>
      <c r="C34" s="393" t="s">
        <v>271</v>
      </c>
      <c r="D34" s="393"/>
      <c r="E34" s="393"/>
      <c r="F34" s="393" t="s">
        <v>272</v>
      </c>
      <c r="G34" s="393"/>
      <c r="H34" s="393"/>
      <c r="I34" s="393" t="s">
        <v>273</v>
      </c>
      <c r="J34" s="393"/>
      <c r="K34" s="393"/>
      <c r="L34" s="393" t="s">
        <v>274</v>
      </c>
      <c r="M34" s="393"/>
      <c r="N34" s="393"/>
    </row>
    <row r="35" spans="1:14">
      <c r="A35" s="181" t="s">
        <v>110</v>
      </c>
      <c r="B35" s="181">
        <v>0.2321</v>
      </c>
      <c r="C35">
        <v>935</v>
      </c>
      <c r="D35" s="181">
        <f t="shared" ref="D35:D45" si="8">SUM(C35*3*1.1)</f>
        <v>3085.5000000000005</v>
      </c>
      <c r="E35" s="181">
        <f t="shared" si="1"/>
        <v>716.14455000000009</v>
      </c>
      <c r="F35" s="181">
        <v>935</v>
      </c>
      <c r="G35" s="249">
        <f>SUM(F35*3)</f>
        <v>2805</v>
      </c>
      <c r="H35" s="249">
        <f>SUM(G35*B35)</f>
        <v>651.04049999999995</v>
      </c>
      <c r="I35" s="181">
        <v>935</v>
      </c>
      <c r="J35">
        <f>SUM(I35*3*1.1)</f>
        <v>3085.5000000000005</v>
      </c>
      <c r="K35">
        <f>SUM(J35*B35)</f>
        <v>716.14455000000009</v>
      </c>
      <c r="L35" s="181">
        <v>935</v>
      </c>
      <c r="M35">
        <f>SUM(L35*3*1.2)</f>
        <v>3366</v>
      </c>
      <c r="N35">
        <f>SUM(M35*B35)</f>
        <v>781.24860000000001</v>
      </c>
    </row>
    <row r="36" spans="1:14">
      <c r="A36" s="181" t="s">
        <v>108</v>
      </c>
      <c r="B36" s="181">
        <v>0.2321</v>
      </c>
      <c r="C36">
        <v>462</v>
      </c>
      <c r="D36" s="181">
        <f t="shared" si="8"/>
        <v>1524.6000000000001</v>
      </c>
      <c r="E36" s="181">
        <f t="shared" si="1"/>
        <v>353.85966000000002</v>
      </c>
      <c r="F36" s="181">
        <v>462</v>
      </c>
      <c r="G36" s="249">
        <f t="shared" ref="G36:G45" si="9">SUM(F36*3)</f>
        <v>1386</v>
      </c>
      <c r="H36" s="249">
        <f t="shared" ref="H36:H45" si="10">SUM(G36*B36)</f>
        <v>321.69060000000002</v>
      </c>
      <c r="I36" s="181">
        <v>462</v>
      </c>
      <c r="J36" s="181">
        <f t="shared" ref="J36:J45" si="11">SUM(I36*3*1.1)</f>
        <v>1524.6000000000001</v>
      </c>
      <c r="K36" s="181">
        <f t="shared" ref="K36:K45" si="12">SUM(J36*B36)</f>
        <v>353.85966000000002</v>
      </c>
      <c r="L36" s="181">
        <v>462</v>
      </c>
      <c r="M36" s="181">
        <f t="shared" ref="M36:M45" si="13">SUM(L36*3*1.2)</f>
        <v>1663.2</v>
      </c>
      <c r="N36" s="181">
        <f t="shared" ref="N36:N45" si="14">SUM(M36*B36)</f>
        <v>386.02872000000002</v>
      </c>
    </row>
    <row r="37" spans="1:14">
      <c r="A37" s="181" t="s">
        <v>109</v>
      </c>
      <c r="B37" s="181">
        <v>0.2321</v>
      </c>
      <c r="C37">
        <v>496</v>
      </c>
      <c r="D37" s="181">
        <f t="shared" si="8"/>
        <v>1636.8000000000002</v>
      </c>
      <c r="E37" s="181">
        <f t="shared" si="1"/>
        <v>379.90128000000004</v>
      </c>
      <c r="F37" s="181">
        <v>496</v>
      </c>
      <c r="G37" s="249">
        <f t="shared" si="9"/>
        <v>1488</v>
      </c>
      <c r="H37" s="249">
        <f t="shared" si="10"/>
        <v>345.3648</v>
      </c>
      <c r="I37" s="181">
        <v>496</v>
      </c>
      <c r="J37" s="181">
        <f t="shared" si="11"/>
        <v>1636.8000000000002</v>
      </c>
      <c r="K37" s="181">
        <f t="shared" si="12"/>
        <v>379.90128000000004</v>
      </c>
      <c r="L37" s="181">
        <v>496</v>
      </c>
      <c r="M37" s="181">
        <f t="shared" si="13"/>
        <v>1785.6</v>
      </c>
      <c r="N37" s="181">
        <f t="shared" si="14"/>
        <v>414.43775999999997</v>
      </c>
    </row>
    <row r="38" spans="1:14">
      <c r="A38" s="181" t="s">
        <v>111</v>
      </c>
      <c r="B38" s="181">
        <v>0.2321</v>
      </c>
      <c r="C38">
        <v>443</v>
      </c>
      <c r="D38" s="181">
        <f t="shared" si="8"/>
        <v>1461.9</v>
      </c>
      <c r="E38" s="181">
        <f t="shared" si="1"/>
        <v>339.30699000000004</v>
      </c>
      <c r="F38" s="181">
        <v>443</v>
      </c>
      <c r="G38" s="249">
        <f t="shared" si="9"/>
        <v>1329</v>
      </c>
      <c r="H38" s="249">
        <f t="shared" si="10"/>
        <v>308.46089999999998</v>
      </c>
      <c r="I38" s="181">
        <v>443</v>
      </c>
      <c r="J38" s="181">
        <f t="shared" si="11"/>
        <v>1461.9</v>
      </c>
      <c r="K38" s="181">
        <f t="shared" si="12"/>
        <v>339.30699000000004</v>
      </c>
      <c r="L38" s="181">
        <v>443</v>
      </c>
      <c r="M38" s="181">
        <f t="shared" si="13"/>
        <v>1594.8</v>
      </c>
      <c r="N38" s="181">
        <f t="shared" si="14"/>
        <v>370.15307999999999</v>
      </c>
    </row>
    <row r="39" spans="1:14">
      <c r="A39" s="181" t="s">
        <v>112</v>
      </c>
      <c r="B39" s="181">
        <v>0.2321</v>
      </c>
      <c r="C39">
        <v>405</v>
      </c>
      <c r="D39" s="181">
        <f t="shared" si="8"/>
        <v>1336.5</v>
      </c>
      <c r="E39" s="181">
        <f t="shared" si="1"/>
        <v>310.20165000000003</v>
      </c>
      <c r="F39" s="181">
        <v>405</v>
      </c>
      <c r="G39" s="249">
        <f t="shared" si="9"/>
        <v>1215</v>
      </c>
      <c r="H39" s="249">
        <f t="shared" si="10"/>
        <v>282.00150000000002</v>
      </c>
      <c r="I39" s="181">
        <v>405</v>
      </c>
      <c r="J39" s="181">
        <f t="shared" si="11"/>
        <v>1336.5</v>
      </c>
      <c r="K39" s="181">
        <f t="shared" si="12"/>
        <v>310.20165000000003</v>
      </c>
      <c r="L39" s="181">
        <v>405</v>
      </c>
      <c r="M39" s="181">
        <f t="shared" si="13"/>
        <v>1458</v>
      </c>
      <c r="N39" s="181">
        <f t="shared" si="14"/>
        <v>338.40179999999998</v>
      </c>
    </row>
    <row r="40" spans="1:14">
      <c r="A40" s="181" t="s">
        <v>265</v>
      </c>
      <c r="B40" s="181">
        <v>0.2321</v>
      </c>
      <c r="C40">
        <v>426</v>
      </c>
      <c r="D40" s="181">
        <f t="shared" si="8"/>
        <v>1405.8000000000002</v>
      </c>
      <c r="E40" s="181">
        <f t="shared" si="1"/>
        <v>326.28618000000006</v>
      </c>
      <c r="F40" s="181">
        <v>426</v>
      </c>
      <c r="G40" s="249">
        <f t="shared" si="9"/>
        <v>1278</v>
      </c>
      <c r="H40" s="249">
        <f t="shared" si="10"/>
        <v>296.62380000000002</v>
      </c>
      <c r="I40" s="181">
        <v>426</v>
      </c>
      <c r="J40" s="181">
        <f t="shared" si="11"/>
        <v>1405.8000000000002</v>
      </c>
      <c r="K40" s="181">
        <f t="shared" si="12"/>
        <v>326.28618000000006</v>
      </c>
      <c r="L40" s="181">
        <v>426</v>
      </c>
      <c r="M40" s="181">
        <f t="shared" si="13"/>
        <v>1533.6</v>
      </c>
      <c r="N40" s="181">
        <f t="shared" si="14"/>
        <v>355.94855999999999</v>
      </c>
    </row>
    <row r="41" spans="1:14">
      <c r="A41" s="181" t="s">
        <v>266</v>
      </c>
      <c r="B41" s="181">
        <v>0.2321</v>
      </c>
      <c r="C41">
        <v>427</v>
      </c>
      <c r="D41" s="181">
        <f t="shared" si="8"/>
        <v>1409.1000000000001</v>
      </c>
      <c r="E41" s="181">
        <f t="shared" si="1"/>
        <v>327.05211000000003</v>
      </c>
      <c r="F41" s="181">
        <v>427</v>
      </c>
      <c r="G41" s="249">
        <f t="shared" si="9"/>
        <v>1281</v>
      </c>
      <c r="H41" s="249">
        <f t="shared" si="10"/>
        <v>297.32010000000002</v>
      </c>
      <c r="I41" s="181">
        <v>427</v>
      </c>
      <c r="J41" s="181">
        <f t="shared" si="11"/>
        <v>1409.1000000000001</v>
      </c>
      <c r="K41" s="181">
        <f t="shared" si="12"/>
        <v>327.05211000000003</v>
      </c>
      <c r="L41" s="181">
        <v>427</v>
      </c>
      <c r="M41" s="181">
        <f t="shared" si="13"/>
        <v>1537.2</v>
      </c>
      <c r="N41" s="181">
        <f t="shared" si="14"/>
        <v>356.78412000000003</v>
      </c>
    </row>
    <row r="42" spans="1:14">
      <c r="A42" s="181" t="s">
        <v>267</v>
      </c>
      <c r="B42" s="181">
        <v>0.2321</v>
      </c>
      <c r="C42">
        <v>411</v>
      </c>
      <c r="D42" s="181">
        <f t="shared" si="8"/>
        <v>1356.3000000000002</v>
      </c>
      <c r="E42" s="181">
        <f t="shared" si="1"/>
        <v>314.79723000000007</v>
      </c>
      <c r="F42" s="181">
        <v>411</v>
      </c>
      <c r="G42" s="249">
        <f t="shared" si="9"/>
        <v>1233</v>
      </c>
      <c r="H42" s="249">
        <f t="shared" si="10"/>
        <v>286.17930000000001</v>
      </c>
      <c r="I42" s="181">
        <v>411</v>
      </c>
      <c r="J42" s="181">
        <f t="shared" si="11"/>
        <v>1356.3000000000002</v>
      </c>
      <c r="K42" s="181">
        <f t="shared" si="12"/>
        <v>314.79723000000007</v>
      </c>
      <c r="L42" s="181">
        <v>411</v>
      </c>
      <c r="M42" s="181">
        <f t="shared" si="13"/>
        <v>1479.6</v>
      </c>
      <c r="N42" s="181">
        <f t="shared" si="14"/>
        <v>343.41515999999996</v>
      </c>
    </row>
    <row r="43" spans="1:14">
      <c r="A43" s="181" t="s">
        <v>268</v>
      </c>
      <c r="B43" s="181">
        <v>0.2321</v>
      </c>
      <c r="C43">
        <v>554</v>
      </c>
      <c r="D43" s="181">
        <f t="shared" si="8"/>
        <v>1828.2</v>
      </c>
      <c r="E43" s="181">
        <f t="shared" si="1"/>
        <v>424.32522</v>
      </c>
      <c r="F43" s="181">
        <v>554</v>
      </c>
      <c r="G43" s="249">
        <f t="shared" si="9"/>
        <v>1662</v>
      </c>
      <c r="H43" s="249">
        <f t="shared" si="10"/>
        <v>385.75020000000001</v>
      </c>
      <c r="I43" s="181">
        <v>554</v>
      </c>
      <c r="J43" s="181">
        <f t="shared" si="11"/>
        <v>1828.2</v>
      </c>
      <c r="K43" s="181">
        <f t="shared" si="12"/>
        <v>424.32522</v>
      </c>
      <c r="L43" s="181">
        <v>554</v>
      </c>
      <c r="M43" s="181">
        <f t="shared" si="13"/>
        <v>1994.3999999999999</v>
      </c>
      <c r="N43" s="181">
        <f t="shared" si="14"/>
        <v>462.90024</v>
      </c>
    </row>
    <row r="44" spans="1:14">
      <c r="A44" s="181" t="s">
        <v>269</v>
      </c>
      <c r="B44" s="181">
        <v>0.2321</v>
      </c>
      <c r="C44">
        <v>442</v>
      </c>
      <c r="D44" s="181">
        <f t="shared" si="8"/>
        <v>1458.6000000000001</v>
      </c>
      <c r="E44" s="181">
        <f t="shared" si="1"/>
        <v>338.54106000000002</v>
      </c>
      <c r="F44" s="181">
        <v>442</v>
      </c>
      <c r="G44" s="249">
        <f t="shared" si="9"/>
        <v>1326</v>
      </c>
      <c r="H44" s="249">
        <f t="shared" si="10"/>
        <v>307.76459999999997</v>
      </c>
      <c r="I44" s="181">
        <v>442</v>
      </c>
      <c r="J44" s="181">
        <f t="shared" si="11"/>
        <v>1458.6000000000001</v>
      </c>
      <c r="K44" s="181">
        <f t="shared" si="12"/>
        <v>338.54106000000002</v>
      </c>
      <c r="L44" s="181">
        <v>442</v>
      </c>
      <c r="M44" s="181">
        <f t="shared" si="13"/>
        <v>1591.2</v>
      </c>
      <c r="N44" s="181">
        <f t="shared" si="14"/>
        <v>369.31752</v>
      </c>
    </row>
    <row r="45" spans="1:14">
      <c r="A45" s="181" t="s">
        <v>270</v>
      </c>
      <c r="B45" s="181">
        <v>0.2321</v>
      </c>
      <c r="C45">
        <v>512</v>
      </c>
      <c r="D45" s="181">
        <f t="shared" si="8"/>
        <v>1689.6000000000001</v>
      </c>
      <c r="E45" s="181">
        <f t="shared" si="1"/>
        <v>392.15616000000006</v>
      </c>
      <c r="F45" s="181">
        <v>512</v>
      </c>
      <c r="G45" s="249">
        <f t="shared" si="9"/>
        <v>1536</v>
      </c>
      <c r="H45" s="249">
        <f t="shared" si="10"/>
        <v>356.50560000000002</v>
      </c>
      <c r="I45" s="181">
        <v>512</v>
      </c>
      <c r="J45" s="181">
        <f t="shared" si="11"/>
        <v>1689.6000000000001</v>
      </c>
      <c r="K45" s="181">
        <f t="shared" si="12"/>
        <v>392.15616000000006</v>
      </c>
      <c r="L45" s="181">
        <v>512</v>
      </c>
      <c r="M45" s="181">
        <f t="shared" si="13"/>
        <v>1843.1999999999998</v>
      </c>
      <c r="N45" s="181">
        <f t="shared" si="14"/>
        <v>427.80671999999998</v>
      </c>
    </row>
    <row r="46" spans="1:14">
      <c r="E46">
        <f>SUM(E35:E45)</f>
        <v>4222.5720900000006</v>
      </c>
      <c r="H46" s="181">
        <f>SUM(H35:H45)</f>
        <v>3838.7018999999996</v>
      </c>
      <c r="K46" s="181">
        <f>SUM(K35:K45)</f>
        <v>4222.5720900000006</v>
      </c>
      <c r="N46" s="181">
        <f>SUM(N35:N45)</f>
        <v>4606.4422799999993</v>
      </c>
    </row>
    <row r="47" spans="1:14">
      <c r="A47">
        <v>0.2321</v>
      </c>
    </row>
  </sheetData>
  <mergeCells count="8">
    <mergeCell ref="C20:E20"/>
    <mergeCell ref="F20:H20"/>
    <mergeCell ref="I20:K20"/>
    <mergeCell ref="L20:N20"/>
    <mergeCell ref="C34:E34"/>
    <mergeCell ref="F34:H34"/>
    <mergeCell ref="I34:K34"/>
    <mergeCell ref="L34:N3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0029-1EBC-4904-A35F-CE7D93BF4A94}">
  <dimension ref="A1:N76"/>
  <sheetViews>
    <sheetView topLeftCell="A58" workbookViewId="0">
      <selection activeCell="K65" sqref="K65:M65"/>
    </sheetView>
  </sheetViews>
  <sheetFormatPr defaultRowHeight="15"/>
  <sheetData>
    <row r="1" spans="1:14">
      <c r="A1" s="181" t="s">
        <v>110</v>
      </c>
      <c r="B1" s="237" t="s">
        <v>276</v>
      </c>
      <c r="C1" s="237" t="s">
        <v>277</v>
      </c>
      <c r="D1" s="237" t="s">
        <v>278</v>
      </c>
      <c r="E1" s="237" t="s">
        <v>279</v>
      </c>
      <c r="F1" s="250" t="s">
        <v>280</v>
      </c>
      <c r="G1" s="250" t="s">
        <v>281</v>
      </c>
      <c r="H1" s="250" t="s">
        <v>282</v>
      </c>
      <c r="I1" s="250" t="s">
        <v>283</v>
      </c>
      <c r="J1" s="250" t="s">
        <v>284</v>
      </c>
      <c r="K1" s="250" t="s">
        <v>285</v>
      </c>
      <c r="L1" s="250" t="s">
        <v>286</v>
      </c>
      <c r="M1" s="250" t="s">
        <v>287</v>
      </c>
      <c r="N1" s="181"/>
    </row>
    <row r="2" spans="1:14">
      <c r="A2" s="181" t="s">
        <v>288</v>
      </c>
      <c r="B2" s="394">
        <f>SUM('[1]январь 21'!J52:J53)</f>
        <v>1116</v>
      </c>
      <c r="C2" s="394">
        <f>SUM('[1]февраль 21'!J52:J53)</f>
        <v>1101.5780000000013</v>
      </c>
      <c r="D2" s="394">
        <f>SUM('[1]март 21'!J52:J53)</f>
        <v>1059.4219999999987</v>
      </c>
      <c r="E2" s="394">
        <f>SUM('[1]апрель 21,'!J52:J53)</f>
        <v>1018</v>
      </c>
      <c r="F2" s="394">
        <f>SUM('[1]МАЙ 21'!J13:J14)</f>
        <v>924</v>
      </c>
      <c r="G2" s="394">
        <f>SUM('[1]ИЮНЬ 21'!J13:J14)</f>
        <v>900</v>
      </c>
      <c r="H2" s="394">
        <f>SUM('[1]ИЮЛЬ 21'!J13:J14)</f>
        <v>859</v>
      </c>
      <c r="I2" s="394">
        <f>SUM('[1]АВГУСТ 21'!J13:J14)</f>
        <v>1334</v>
      </c>
      <c r="J2" s="394">
        <f>SUM('[1]СЕНТЯБРЬ 21'!J13:J14)</f>
        <v>526</v>
      </c>
      <c r="K2" s="394">
        <f>SUM('[1]ОКТЯБРЬ 21'!J13:J14)</f>
        <v>859</v>
      </c>
      <c r="L2" s="394">
        <f>SUM('[1]НОЯБРЬ 21'!J13:J14)</f>
        <v>929</v>
      </c>
      <c r="M2" s="394">
        <f>SUM('[1]ДЕКАБРЬ 21'!J13:J14)</f>
        <v>1001</v>
      </c>
      <c r="N2" s="251">
        <f>SUM(B2:M3)</f>
        <v>11627</v>
      </c>
    </row>
    <row r="3" spans="1:14">
      <c r="A3" s="181"/>
      <c r="B3" s="394"/>
      <c r="C3" s="394"/>
      <c r="D3" s="394"/>
      <c r="E3" s="394"/>
      <c r="F3" s="394"/>
      <c r="G3" s="395"/>
      <c r="H3" s="395"/>
      <c r="I3" s="395"/>
      <c r="J3" s="395"/>
      <c r="K3" s="395"/>
      <c r="L3" s="395"/>
      <c r="M3" s="395"/>
      <c r="N3" s="181"/>
    </row>
    <row r="4" spans="1:14">
      <c r="A4" s="181" t="s">
        <v>289</v>
      </c>
      <c r="B4" s="394">
        <f>SUM('[1]январь 21'!I54)</f>
        <v>78</v>
      </c>
      <c r="C4" s="394">
        <f>SUM('[1]февраль 21'!I54)</f>
        <v>78.809999999999945</v>
      </c>
      <c r="D4" s="394">
        <f>SUM('[1]март 21'!I54)</f>
        <v>87.190000000000055</v>
      </c>
      <c r="E4" s="394">
        <f>SUM('[1]апрель 21,'!I54)</f>
        <v>92</v>
      </c>
      <c r="F4" s="394">
        <f>SUM('[1]МАЙ 21'!I15)</f>
        <v>89</v>
      </c>
      <c r="G4" s="394">
        <f>SUM('[1]ИЮНЬ 21'!I15)</f>
        <v>93</v>
      </c>
      <c r="H4" s="394">
        <f>SUM('[1]ИЮЛЬ 21'!I15)</f>
        <v>98</v>
      </c>
      <c r="I4" s="394">
        <f>SUM('[1]АВГУСТ 21'!I15)</f>
        <v>102</v>
      </c>
      <c r="J4" s="394">
        <f>SUM('[1]СЕНТЯБРЬ 21'!I15)</f>
        <v>100</v>
      </c>
      <c r="K4" s="394">
        <f>SUM('[1]ОКТЯБРЬ 21'!I15)</f>
        <v>89</v>
      </c>
      <c r="L4" s="394">
        <f>SUM('[1]НОЯБРЬ 21'!I15)</f>
        <v>87</v>
      </c>
      <c r="M4" s="394">
        <f>SUM('[1]ДЕКАБРЬ 21'!I15)</f>
        <v>90</v>
      </c>
      <c r="N4" s="251">
        <f>SUM(B4:M5)</f>
        <v>1084</v>
      </c>
    </row>
    <row r="5" spans="1:14">
      <c r="A5" s="181"/>
      <c r="B5" s="394"/>
      <c r="C5" s="394"/>
      <c r="D5" s="394"/>
      <c r="E5" s="394"/>
      <c r="F5" s="394"/>
      <c r="G5" s="395"/>
      <c r="H5" s="395"/>
      <c r="I5" s="395"/>
      <c r="J5" s="395"/>
      <c r="K5" s="395"/>
      <c r="L5" s="395"/>
      <c r="M5" s="395"/>
      <c r="N5" s="181"/>
    </row>
    <row r="6" spans="1:14">
      <c r="A6" s="181" t="s">
        <v>108</v>
      </c>
      <c r="B6" s="237" t="s">
        <v>276</v>
      </c>
      <c r="C6" s="237" t="s">
        <v>277</v>
      </c>
      <c r="D6" s="237" t="s">
        <v>278</v>
      </c>
      <c r="E6" s="237" t="s">
        <v>279</v>
      </c>
      <c r="F6" s="250" t="s">
        <v>280</v>
      </c>
      <c r="G6" s="250" t="s">
        <v>281</v>
      </c>
      <c r="H6" s="250" t="s">
        <v>282</v>
      </c>
      <c r="I6" s="250" t="s">
        <v>283</v>
      </c>
      <c r="J6" s="250" t="s">
        <v>284</v>
      </c>
      <c r="K6" s="250" t="s">
        <v>285</v>
      </c>
      <c r="L6" s="250" t="s">
        <v>286</v>
      </c>
      <c r="M6" s="250" t="s">
        <v>287</v>
      </c>
      <c r="N6" s="181"/>
    </row>
    <row r="7" spans="1:14">
      <c r="A7" s="181" t="s">
        <v>288</v>
      </c>
      <c r="B7" s="394">
        <f>SUM('[1]январь 21'!J78:J79)</f>
        <v>611</v>
      </c>
      <c r="C7" s="394">
        <f>SUM('[1]февраль 21'!J78:J79)</f>
        <v>572.84300000000076</v>
      </c>
      <c r="D7" s="394">
        <f>SUM('[1]март 21'!J78:J79)</f>
        <v>591.15699999999924</v>
      </c>
      <c r="E7" s="394">
        <f>SUM('[1]апрель 21,'!J78:J79)</f>
        <v>550</v>
      </c>
      <c r="F7" s="394">
        <f>SUM('[1]МАЙ 21'!J21:J22)</f>
        <v>413</v>
      </c>
      <c r="G7" s="394">
        <f>SUM('[1]ИЮНЬ 21'!J21:J22)</f>
        <v>394</v>
      </c>
      <c r="H7" s="394">
        <f>SUM('[1]ИЮЛЬ 21'!J21:J22)</f>
        <v>368</v>
      </c>
      <c r="I7" s="394">
        <f>SUM('[1]АВГУСТ 21'!J21:J22)</f>
        <v>394</v>
      </c>
      <c r="J7" s="394">
        <f>SUM('[1]СЕНТЯБРЬ 21'!J21:J22)</f>
        <v>419</v>
      </c>
      <c r="K7" s="394">
        <f>SUM('[1]ОКТЯБРЬ 21'!J21:J22)</f>
        <v>423</v>
      </c>
      <c r="L7" s="394">
        <f>SUM('[1]НОЯБРЬ 21'!J21:J22)</f>
        <v>464</v>
      </c>
      <c r="M7" s="394">
        <f>SUM('[1]ДЕКАБРЬ 21'!J21:J22)</f>
        <v>493</v>
      </c>
      <c r="N7" s="251">
        <f>SUM(B7:M8)</f>
        <v>5693</v>
      </c>
    </row>
    <row r="8" spans="1:14">
      <c r="A8" s="181"/>
      <c r="B8" s="394"/>
      <c r="C8" s="394"/>
      <c r="D8" s="394"/>
      <c r="E8" s="394"/>
      <c r="F8" s="394"/>
      <c r="G8" s="395"/>
      <c r="H8" s="395"/>
      <c r="I8" s="395"/>
      <c r="J8" s="395"/>
      <c r="K8" s="395"/>
      <c r="L8" s="395"/>
      <c r="M8" s="395"/>
      <c r="N8" s="181"/>
    </row>
    <row r="9" spans="1:14">
      <c r="A9" s="181" t="s">
        <v>289</v>
      </c>
      <c r="B9" s="394">
        <f>SUM('[1]январь 21'!I80)</f>
        <v>83</v>
      </c>
      <c r="C9" s="394">
        <f>SUM('[1]февраль 21'!I80)</f>
        <v>80.713000000000193</v>
      </c>
      <c r="D9" s="394">
        <f>SUM('[1]март 21'!I80)</f>
        <v>89.286999999999807</v>
      </c>
      <c r="E9" s="394">
        <f>SUM('[1]апрель 21,'!I80)</f>
        <v>93</v>
      </c>
      <c r="F9" s="394">
        <f>SUM('[1]МАЙ 21'!I23)</f>
        <v>85</v>
      </c>
      <c r="G9" s="394">
        <f>SUM('[1]ИЮНЬ 21'!I23)</f>
        <v>85</v>
      </c>
      <c r="H9" s="394">
        <f>SUM('[1]ИЮЛЬ 21'!I23)</f>
        <v>101</v>
      </c>
      <c r="I9" s="394">
        <f>SUM('[1]АВГУСТ 21'!I23)</f>
        <v>107</v>
      </c>
      <c r="J9" s="394">
        <f>SUM('[1]СЕНТЯБРЬ 21'!I23)</f>
        <v>94</v>
      </c>
      <c r="K9" s="394">
        <f>SUM('[1]ОКТЯБРЬ 21'!I23)</f>
        <v>86</v>
      </c>
      <c r="L9" s="394">
        <f>SUM('[1]НОЯБРЬ 21'!I23)</f>
        <v>86</v>
      </c>
      <c r="M9" s="394">
        <f>SUM('[1]ДЕКАБРЬ 21'!I23)</f>
        <v>96</v>
      </c>
      <c r="N9" s="251">
        <f>SUM(B9:M10)</f>
        <v>1086</v>
      </c>
    </row>
    <row r="10" spans="1:14">
      <c r="A10" s="181"/>
      <c r="B10" s="394"/>
      <c r="C10" s="394"/>
      <c r="D10" s="394"/>
      <c r="E10" s="394"/>
      <c r="F10" s="394"/>
      <c r="G10" s="395"/>
      <c r="H10" s="395"/>
      <c r="I10" s="395"/>
      <c r="J10" s="395"/>
      <c r="K10" s="395"/>
      <c r="L10" s="395"/>
      <c r="M10" s="395"/>
      <c r="N10" s="181"/>
    </row>
    <row r="11" spans="1:14">
      <c r="A11" s="181" t="s">
        <v>109</v>
      </c>
      <c r="B11" s="237" t="s">
        <v>276</v>
      </c>
      <c r="C11" s="237" t="s">
        <v>277</v>
      </c>
      <c r="D11" s="237" t="s">
        <v>278</v>
      </c>
      <c r="E11" s="237" t="s">
        <v>279</v>
      </c>
      <c r="F11" s="250" t="s">
        <v>280</v>
      </c>
      <c r="G11" s="250" t="s">
        <v>281</v>
      </c>
      <c r="H11" s="250" t="s">
        <v>282</v>
      </c>
      <c r="I11" s="250" t="s">
        <v>283</v>
      </c>
      <c r="J11" s="250" t="s">
        <v>284</v>
      </c>
      <c r="K11" s="250" t="s">
        <v>285</v>
      </c>
      <c r="L11" s="250" t="s">
        <v>286</v>
      </c>
      <c r="M11" s="250" t="s">
        <v>287</v>
      </c>
      <c r="N11" s="181"/>
    </row>
    <row r="12" spans="1:14">
      <c r="A12" s="181" t="s">
        <v>288</v>
      </c>
      <c r="B12" s="394">
        <f>SUM('[1]январь 21'!J23:J24)</f>
        <v>672</v>
      </c>
      <c r="C12" s="394">
        <f>SUM('[1]февраль 21'!J23:J24)</f>
        <v>644.33699999999953</v>
      </c>
      <c r="D12" s="394">
        <f>SUM('[1]март 21'!J23:J24)</f>
        <v>696.66300000000047</v>
      </c>
      <c r="E12" s="394">
        <f>SUM('[1]апрель 21,'!J23:J24)</f>
        <v>594</v>
      </c>
      <c r="F12" s="394">
        <f>SUM('[1]МАЙ 21'!J5:J6)</f>
        <v>389</v>
      </c>
      <c r="G12" s="394">
        <f>SUM('[1]ИЮНЬ 21'!J5:J6)</f>
        <v>345</v>
      </c>
      <c r="H12" s="394">
        <f>SUM('[1]ИЮЛЬ 21'!J5:J6)</f>
        <v>364</v>
      </c>
      <c r="I12" s="394">
        <f>SUM('[1]АВГУСТ 21'!J5:J6)</f>
        <v>398</v>
      </c>
      <c r="J12" s="394">
        <f>SUM('[1]СЕНТЯБРЬ 21'!J5:J6)</f>
        <v>439</v>
      </c>
      <c r="K12" s="394">
        <f>SUM('[1]ОКТЯБРЬ 21'!J5:J6)</f>
        <v>486</v>
      </c>
      <c r="L12" s="394">
        <f>SUM('[1]НОЯБРЬ 21'!J5:J6)</f>
        <v>505</v>
      </c>
      <c r="M12" s="394">
        <f>SUM('[1]ДЕКАБРЬ 21'!J5:J6)</f>
        <v>542</v>
      </c>
      <c r="N12" s="251">
        <f>SUM(B12:M13)</f>
        <v>6075</v>
      </c>
    </row>
    <row r="13" spans="1:14">
      <c r="A13" s="181"/>
      <c r="B13" s="394"/>
      <c r="C13" s="394"/>
      <c r="D13" s="394"/>
      <c r="E13" s="394"/>
      <c r="F13" s="394"/>
      <c r="G13" s="395"/>
      <c r="H13" s="395"/>
      <c r="I13" s="395"/>
      <c r="J13" s="395"/>
      <c r="K13" s="395"/>
      <c r="L13" s="395"/>
      <c r="M13" s="395"/>
      <c r="N13" s="181"/>
    </row>
    <row r="14" spans="1:14">
      <c r="A14" s="181" t="s">
        <v>289</v>
      </c>
      <c r="B14" s="394">
        <f>SUM('[1]январь 21'!I25)</f>
        <v>76</v>
      </c>
      <c r="C14" s="394">
        <f>SUM('[1]февраль 21'!I25)</f>
        <v>83.865999999999985</v>
      </c>
      <c r="D14" s="394">
        <f>SUM('[1]март 21'!I25)</f>
        <v>94.134000000000015</v>
      </c>
      <c r="E14" s="394">
        <f>SUM('[1]апрель 21,'!I25)</f>
        <v>97</v>
      </c>
      <c r="F14" s="394">
        <f>SUM('[1]МАЙ 21'!I7)</f>
        <v>84</v>
      </c>
      <c r="G14" s="394">
        <f>SUM('[1]ИЮНЬ 21'!I7)</f>
        <v>83</v>
      </c>
      <c r="H14" s="394">
        <f>SUM('[1]ИЮЛЬ 21'!I7)</f>
        <v>80</v>
      </c>
      <c r="I14" s="394">
        <f>SUM('[1]АВГУСТ 21'!I7)</f>
        <v>85</v>
      </c>
      <c r="J14" s="394">
        <f>SUM('[1]СЕНТЯБРЬ 21'!I7)</f>
        <v>96</v>
      </c>
      <c r="K14" s="394">
        <f>SUM('[1]ОКТЯБРЬ 21'!I7)</f>
        <v>83</v>
      </c>
      <c r="L14" s="394">
        <f>SUM('[1]НОЯБРЬ 21'!I7)</f>
        <v>81</v>
      </c>
      <c r="M14" s="394">
        <f>SUM('[1]ДЕКАБРЬ 21'!I7)</f>
        <v>91</v>
      </c>
      <c r="N14" s="251">
        <f>SUM(B14:M15)</f>
        <v>1034</v>
      </c>
    </row>
    <row r="15" spans="1:14">
      <c r="A15" s="181"/>
      <c r="B15" s="394"/>
      <c r="C15" s="394"/>
      <c r="D15" s="394"/>
      <c r="E15" s="394"/>
      <c r="F15" s="394"/>
      <c r="G15" s="395"/>
      <c r="H15" s="395"/>
      <c r="I15" s="395"/>
      <c r="J15" s="395"/>
      <c r="K15" s="395"/>
      <c r="L15" s="395"/>
      <c r="M15" s="395"/>
      <c r="N15" s="181"/>
    </row>
    <row r="16" spans="1:14">
      <c r="A16" s="181" t="s">
        <v>111</v>
      </c>
      <c r="B16" s="237" t="s">
        <v>276</v>
      </c>
      <c r="C16" s="237" t="s">
        <v>277</v>
      </c>
      <c r="D16" s="237" t="s">
        <v>278</v>
      </c>
      <c r="E16" s="237" t="s">
        <v>279</v>
      </c>
      <c r="F16" s="250" t="s">
        <v>280</v>
      </c>
      <c r="G16" s="250" t="s">
        <v>281</v>
      </c>
      <c r="H16" s="250" t="s">
        <v>282</v>
      </c>
      <c r="I16" s="250" t="s">
        <v>283</v>
      </c>
      <c r="J16" s="250" t="s">
        <v>284</v>
      </c>
      <c r="K16" s="250" t="s">
        <v>285</v>
      </c>
      <c r="L16" s="250" t="s">
        <v>286</v>
      </c>
      <c r="M16" s="250" t="s">
        <v>287</v>
      </c>
      <c r="N16" s="181"/>
    </row>
    <row r="17" spans="1:14">
      <c r="A17" s="181" t="s">
        <v>288</v>
      </c>
      <c r="B17" s="394">
        <f>SUM('[1]январь 21'!J133:J134)</f>
        <v>640.00300000000016</v>
      </c>
      <c r="C17" s="394">
        <f>SUM('[1]февраль 21'!J133:J134)</f>
        <v>686.26899999999978</v>
      </c>
      <c r="D17" s="394">
        <f>SUM('[1]март 21'!J133:J134)</f>
        <v>755.86799999999948</v>
      </c>
      <c r="E17" s="394">
        <f>SUM('[1]апрель 21,'!J133:J134)</f>
        <v>515.88600000000042</v>
      </c>
      <c r="F17" s="394">
        <f>SUM('[1]МАЙ 21'!J37:J38)</f>
        <v>317</v>
      </c>
      <c r="G17" s="394">
        <f>SUM('[1]ИЮНЬ 21'!J37:J38)</f>
        <v>357</v>
      </c>
      <c r="H17" s="394">
        <f>SUM('[1]ИЮЛЬ 21'!J37:J38)</f>
        <v>664</v>
      </c>
      <c r="I17" s="394">
        <f>SUM('[1]АВГУСТ 21'!J37:J38)</f>
        <v>335</v>
      </c>
      <c r="J17" s="394">
        <f>SUM('[1]СЕНТЯБРЬ 21'!J37:J38)</f>
        <v>382</v>
      </c>
      <c r="K17" s="394">
        <f>SUM('[1]ОКТЯБРЬ 21'!J37:J38)</f>
        <v>425</v>
      </c>
      <c r="L17" s="394">
        <f>SUM('[1]НОЯБРЬ 21'!J37:J38)</f>
        <v>455</v>
      </c>
      <c r="M17" s="394">
        <f>SUM('[1]ДЕКАБРЬ 21'!J37:J38)</f>
        <v>482</v>
      </c>
      <c r="N17" s="251">
        <f>SUM(B17:M18)</f>
        <v>6015.0259999999998</v>
      </c>
    </row>
    <row r="18" spans="1:14">
      <c r="A18" s="181"/>
      <c r="B18" s="394"/>
      <c r="C18" s="394"/>
      <c r="D18" s="394"/>
      <c r="E18" s="394"/>
      <c r="F18" s="394"/>
      <c r="G18" s="395"/>
      <c r="H18" s="395"/>
      <c r="I18" s="395"/>
      <c r="J18" s="395"/>
      <c r="K18" s="395"/>
      <c r="L18" s="395"/>
      <c r="M18" s="395"/>
      <c r="N18" s="181"/>
    </row>
    <row r="19" spans="1:14">
      <c r="A19" s="181" t="s">
        <v>289</v>
      </c>
      <c r="B19" s="394">
        <f>SUM('[1]январь 21'!I135)</f>
        <v>87.503000000000156</v>
      </c>
      <c r="C19" s="394">
        <f>SUM('[1]февраль 21'!I135)</f>
        <v>79.978999999999814</v>
      </c>
      <c r="D19" s="394">
        <f>SUM('[1]март 21'!I135)</f>
        <v>91.368000000000166</v>
      </c>
      <c r="E19" s="394">
        <f>SUM('[1]апрель 21,'!I135)</f>
        <v>91.166999999999916</v>
      </c>
      <c r="F19" s="394">
        <f>SUM('[1]МАЙ 21'!I39)</f>
        <v>77</v>
      </c>
      <c r="G19" s="394">
        <f>SUM('[1]ИЮНЬ 21'!I39)</f>
        <v>78</v>
      </c>
      <c r="H19" s="394">
        <f>SUM('[1]ИЮЛЬ 21'!I39)</f>
        <v>82</v>
      </c>
      <c r="I19" s="394">
        <f>SUM('[1]АВГУСТ 21'!I39)</f>
        <v>85</v>
      </c>
      <c r="J19" s="394">
        <f>SUM('[1]СЕНТЯБРЬ 21'!I39)</f>
        <v>87</v>
      </c>
      <c r="K19" s="394">
        <f>SUM('[1]ОКТЯБРЬ 21'!I39)</f>
        <v>76</v>
      </c>
      <c r="L19" s="394">
        <f>SUM('[1]НОЯБРЬ 21'!I39)</f>
        <v>75</v>
      </c>
      <c r="M19" s="394">
        <f>SUM('[1]ДЕКАБРЬ 21'!I39)</f>
        <v>82</v>
      </c>
      <c r="N19" s="251">
        <f>SUM(B19:M20)</f>
        <v>992.01700000000005</v>
      </c>
    </row>
    <row r="20" spans="1:14">
      <c r="A20" s="181"/>
      <c r="B20" s="394"/>
      <c r="C20" s="394"/>
      <c r="D20" s="394"/>
      <c r="E20" s="394"/>
      <c r="F20" s="394"/>
      <c r="G20" s="395"/>
      <c r="H20" s="395"/>
      <c r="I20" s="395"/>
      <c r="J20" s="395"/>
      <c r="K20" s="395"/>
      <c r="L20" s="395"/>
      <c r="M20" s="395"/>
      <c r="N20" s="181"/>
    </row>
    <row r="21" spans="1:14">
      <c r="A21" s="181" t="s">
        <v>112</v>
      </c>
      <c r="B21" s="237" t="s">
        <v>276</v>
      </c>
      <c r="C21" s="237" t="s">
        <v>277</v>
      </c>
      <c r="D21" s="237" t="s">
        <v>278</v>
      </c>
      <c r="E21" s="237" t="s">
        <v>279</v>
      </c>
      <c r="F21" s="250" t="s">
        <v>280</v>
      </c>
      <c r="G21" s="250" t="s">
        <v>281</v>
      </c>
      <c r="H21" s="250" t="s">
        <v>282</v>
      </c>
      <c r="I21" s="250" t="s">
        <v>283</v>
      </c>
      <c r="J21" s="250" t="s">
        <v>284</v>
      </c>
      <c r="K21" s="250" t="s">
        <v>285</v>
      </c>
      <c r="L21" s="250" t="s">
        <v>286</v>
      </c>
      <c r="M21" s="250" t="s">
        <v>287</v>
      </c>
      <c r="N21" s="181"/>
    </row>
    <row r="22" spans="1:14">
      <c r="A22" s="181" t="s">
        <v>288</v>
      </c>
      <c r="B22" s="394">
        <f>SUM('[1]январь 21'!J107:J108)</f>
        <v>592.29700000000003</v>
      </c>
      <c r="C22" s="394">
        <f>SUM('[1]февраль 21'!J107:J108)</f>
        <v>504.60200000000032</v>
      </c>
      <c r="D22" s="394">
        <f>SUM('[1]март 21'!J107:J108)</f>
        <v>548.42799999999988</v>
      </c>
      <c r="E22" s="394">
        <f>SUM('[1]апрель 21,'!J107:J108)</f>
        <v>502.82500000000027</v>
      </c>
      <c r="F22" s="394">
        <f>SUM('[1]МАЙ 21'!J29:J30)</f>
        <v>396</v>
      </c>
      <c r="G22" s="394">
        <f>SUM('[1]ИЮНЬ 21'!J29:J30)</f>
        <v>366</v>
      </c>
      <c r="H22" s="394">
        <f>SUM('[1]ИЮЛЬ 21'!J29:J30)</f>
        <v>414</v>
      </c>
      <c r="I22" s="394">
        <f>SUM('[1]АВГУСТ 21'!J29:J30)</f>
        <v>539</v>
      </c>
      <c r="J22" s="394">
        <f>SUM('[1]СЕНТЯБРЬ 21'!J29:J30)</f>
        <v>520</v>
      </c>
      <c r="K22" s="394">
        <f>SUM('[1]ОКТЯБРЬ 21'!J29:J30)</f>
        <v>419</v>
      </c>
      <c r="L22" s="394">
        <f>SUM('[1]НОЯБРЬ 21'!J29:J30)</f>
        <v>443</v>
      </c>
      <c r="M22" s="394">
        <f>SUM('[1]ДЕКАБРЬ 21'!J29:J30)</f>
        <v>468</v>
      </c>
      <c r="N22" s="251">
        <f>SUM(B22:M23)</f>
        <v>5713.152</v>
      </c>
    </row>
    <row r="23" spans="1:14">
      <c r="A23" s="181"/>
      <c r="B23" s="394"/>
      <c r="C23" s="394"/>
      <c r="D23" s="394"/>
      <c r="E23" s="394"/>
      <c r="F23" s="394"/>
      <c r="G23" s="395"/>
      <c r="H23" s="395"/>
      <c r="I23" s="395"/>
      <c r="J23" s="395"/>
      <c r="K23" s="395"/>
      <c r="L23" s="395"/>
      <c r="M23" s="395"/>
      <c r="N23" s="181"/>
    </row>
    <row r="24" spans="1:14">
      <c r="A24" s="181" t="s">
        <v>289</v>
      </c>
      <c r="B24" s="394">
        <f>SUM('[1]январь 21'!I109)</f>
        <v>83.636999999999944</v>
      </c>
      <c r="C24" s="394">
        <f>SUM('[1]февраль 21'!I109)</f>
        <v>76.548000000000229</v>
      </c>
      <c r="D24" s="394">
        <f>SUM('[1]март 21'!I109)</f>
        <v>92.634999999999764</v>
      </c>
      <c r="E24" s="394">
        <f>SUM('[1]апрель 21,'!I109)</f>
        <v>90.909000000000106</v>
      </c>
      <c r="F24" s="394">
        <f>SUM('[1]МАЙ 21'!I31)</f>
        <v>90</v>
      </c>
      <c r="G24" s="394">
        <f>SUM('[1]ИЮНЬ 21'!I31)</f>
        <v>97</v>
      </c>
      <c r="H24" s="394">
        <f>SUM('[1]ИЮЛЬ 21'!I31)</f>
        <v>98</v>
      </c>
      <c r="I24" s="394">
        <f>SUM('[1]АВГУСТ 21'!I31)</f>
        <v>102</v>
      </c>
      <c r="J24" s="394">
        <f>SUM('[1]СЕНТЯБРЬ 21'!I31)</f>
        <v>92</v>
      </c>
      <c r="K24" s="394">
        <f>SUM('[1]ОКТЯБРЬ 21'!I31)</f>
        <v>90</v>
      </c>
      <c r="L24" s="394">
        <f>SUM('[1]НОЯБРЬ 21'!I31)</f>
        <v>89</v>
      </c>
      <c r="M24" s="394">
        <f>SUM('[1]ДЕКАБРЬ 21'!I31)</f>
        <v>88</v>
      </c>
      <c r="N24" s="251">
        <f>SUM(B24:M25)</f>
        <v>1089.729</v>
      </c>
    </row>
    <row r="25" spans="1:14">
      <c r="A25" s="181"/>
      <c r="B25" s="394"/>
      <c r="C25" s="394"/>
      <c r="D25" s="394"/>
      <c r="E25" s="394"/>
      <c r="F25" s="394"/>
      <c r="G25" s="395"/>
      <c r="H25" s="395"/>
      <c r="I25" s="395"/>
      <c r="J25" s="395"/>
      <c r="K25" s="395"/>
      <c r="L25" s="395"/>
      <c r="M25" s="395"/>
      <c r="N25" s="181"/>
    </row>
    <row r="26" spans="1:14">
      <c r="A26" s="181" t="s">
        <v>265</v>
      </c>
      <c r="B26" s="237" t="s">
        <v>276</v>
      </c>
      <c r="C26" s="237" t="s">
        <v>277</v>
      </c>
      <c r="D26" s="237" t="s">
        <v>278</v>
      </c>
      <c r="E26" s="237" t="s">
        <v>279</v>
      </c>
      <c r="F26" s="250" t="s">
        <v>280</v>
      </c>
      <c r="G26" s="250" t="s">
        <v>281</v>
      </c>
      <c r="H26" s="250" t="s">
        <v>282</v>
      </c>
      <c r="I26" s="250" t="s">
        <v>283</v>
      </c>
      <c r="J26" s="250" t="s">
        <v>284</v>
      </c>
      <c r="K26" s="250" t="s">
        <v>285</v>
      </c>
      <c r="L26" s="250" t="s">
        <v>286</v>
      </c>
      <c r="M26" s="250" t="s">
        <v>287</v>
      </c>
      <c r="N26" s="181"/>
    </row>
    <row r="27" spans="1:14">
      <c r="A27" s="181" t="s">
        <v>288</v>
      </c>
      <c r="B27" s="394">
        <f>SUM('[1]январь 21'!J189:J190)</f>
        <v>649.14699999999993</v>
      </c>
      <c r="C27" s="394">
        <f>SUM('[1]февраль 21'!J189:J190)</f>
        <v>527.15799999999945</v>
      </c>
      <c r="D27" s="394">
        <f>SUM('[1]март 21'!J189:J190)</f>
        <v>560.65500000000065</v>
      </c>
      <c r="E27" s="394">
        <f>SUM('[1]апрель 21,'!J189:J190)</f>
        <v>503.66199999999935</v>
      </c>
      <c r="F27" s="394">
        <f>SUM('[1]МАЙ 21'!J53:J54)</f>
        <v>399</v>
      </c>
      <c r="G27" s="394">
        <f>SUM('[1]ИЮНЬ 21'!J53:J54)</f>
        <v>421</v>
      </c>
      <c r="H27" s="394">
        <f>SUM('[1]ИЮЛЬ 21'!J53:J54)</f>
        <v>461</v>
      </c>
      <c r="I27" s="394">
        <f>SUM('[1]АВГУСТ 21'!J53:J54)</f>
        <v>381</v>
      </c>
      <c r="J27" s="394">
        <f>SUM('[1]СЕНТЯБРЬ 21'!J53:J54)</f>
        <v>394</v>
      </c>
      <c r="K27" s="394">
        <f>SUM('[1]ОКТЯБРЬ 21'!J53:J54)</f>
        <v>394</v>
      </c>
      <c r="L27" s="394">
        <f>SUM('[1]НОЯБРЬ 21'!J53:J54)</f>
        <v>423</v>
      </c>
      <c r="M27" s="394">
        <f>SUM('[1]ДЕКАБРЬ 21'!J53:J54)</f>
        <v>458</v>
      </c>
      <c r="N27" s="251">
        <f>SUM(B27:M28)</f>
        <v>5571.6219999999994</v>
      </c>
    </row>
    <row r="28" spans="1:14">
      <c r="A28" s="181"/>
      <c r="B28" s="394"/>
      <c r="C28" s="394"/>
      <c r="D28" s="394"/>
      <c r="E28" s="394"/>
      <c r="F28" s="394"/>
      <c r="G28" s="395"/>
      <c r="H28" s="395"/>
      <c r="I28" s="395"/>
      <c r="J28" s="395"/>
      <c r="K28" s="395"/>
      <c r="L28" s="395"/>
      <c r="M28" s="395"/>
      <c r="N28" s="181"/>
    </row>
    <row r="29" spans="1:14">
      <c r="A29" s="181" t="s">
        <v>289</v>
      </c>
      <c r="B29" s="394">
        <f>SUM('[1]январь 21'!I191)</f>
        <v>86.043999999999869</v>
      </c>
      <c r="C29" s="394">
        <f>SUM('[1]февраль 21'!I191)</f>
        <v>76.419000000000324</v>
      </c>
      <c r="D29" s="394">
        <f>SUM('[1]март 21'!I191)</f>
        <v>87.17699999999968</v>
      </c>
      <c r="E29" s="394">
        <f>SUM('[1]апрель 21,'!I191)</f>
        <v>90.559000000000196</v>
      </c>
      <c r="F29" s="394">
        <f>SUM('[1]МАЙ 21'!I55)</f>
        <v>81</v>
      </c>
      <c r="G29" s="394">
        <f>SUM('[1]ИЮНЬ 21'!I55)</f>
        <v>98</v>
      </c>
      <c r="H29" s="394">
        <f>SUM('[1]ИЮЛЬ 21'!I55)</f>
        <v>98</v>
      </c>
      <c r="I29" s="394">
        <f>SUM('[1]АВГУСТ 21'!I55)</f>
        <v>107</v>
      </c>
      <c r="J29" s="394">
        <f>SUM('[1]СЕНТЯБРЬ 21'!I55)</f>
        <v>107</v>
      </c>
      <c r="K29" s="394">
        <f>SUM('[1]ОКТЯБРЬ 21'!I55)</f>
        <v>93</v>
      </c>
      <c r="L29" s="394">
        <f>SUM('[1]НОЯБРЬ 21'!I55)</f>
        <v>90</v>
      </c>
      <c r="M29" s="394">
        <f>SUM('[1]ДЕКАБРЬ 21'!I55)</f>
        <v>92</v>
      </c>
      <c r="N29" s="251">
        <f>SUM(B29:M30)</f>
        <v>1106.1990000000001</v>
      </c>
    </row>
    <row r="30" spans="1:14">
      <c r="A30" s="181"/>
      <c r="B30" s="394"/>
      <c r="C30" s="394"/>
      <c r="D30" s="394"/>
      <c r="E30" s="394"/>
      <c r="F30" s="394"/>
      <c r="G30" s="395"/>
      <c r="H30" s="395"/>
      <c r="I30" s="395"/>
      <c r="J30" s="395"/>
      <c r="K30" s="395"/>
      <c r="L30" s="395"/>
      <c r="M30" s="395"/>
      <c r="N30" s="181"/>
    </row>
    <row r="31" spans="1:14">
      <c r="A31" s="181" t="s">
        <v>266</v>
      </c>
      <c r="B31" s="237" t="s">
        <v>276</v>
      </c>
      <c r="C31" s="237" t="s">
        <v>277</v>
      </c>
      <c r="D31" s="237" t="s">
        <v>278</v>
      </c>
      <c r="E31" s="237" t="s">
        <v>279</v>
      </c>
      <c r="F31" s="250" t="s">
        <v>280</v>
      </c>
      <c r="G31" s="250" t="s">
        <v>281</v>
      </c>
      <c r="H31" s="250" t="s">
        <v>282</v>
      </c>
      <c r="I31" s="250" t="s">
        <v>283</v>
      </c>
      <c r="J31" s="250" t="s">
        <v>284</v>
      </c>
      <c r="K31" s="250" t="s">
        <v>285</v>
      </c>
      <c r="L31" s="250" t="s">
        <v>286</v>
      </c>
      <c r="M31" s="250" t="s">
        <v>287</v>
      </c>
      <c r="N31" s="181"/>
    </row>
    <row r="32" spans="1:14">
      <c r="A32" s="181" t="s">
        <v>288</v>
      </c>
      <c r="B32" s="394">
        <f>SUM('[1]январь 21'!J162:J163)</f>
        <v>776.875</v>
      </c>
      <c r="C32" s="394">
        <f>SUM('[1]февраль 21'!J162:J163)</f>
        <v>797.40700000000106</v>
      </c>
      <c r="D32" s="394">
        <f>SUM('[1]март 21'!J162:J163)</f>
        <v>682.38599999999951</v>
      </c>
      <c r="E32" s="394">
        <f>SUM('[1]апрель 21,'!J162:J163)</f>
        <v>586.74600000000009</v>
      </c>
      <c r="F32" s="394">
        <f>SUM('[1]МАЙ 21'!J45:J46)</f>
        <v>491</v>
      </c>
      <c r="G32" s="394">
        <f>SUM('[1]ИЮНЬ 21'!J45:J46)</f>
        <v>592</v>
      </c>
      <c r="H32" s="394">
        <f>SUM('[1]ИЮЛЬ 21'!J45:J46)</f>
        <v>626</v>
      </c>
      <c r="I32" s="394">
        <f>SUM('[1]АВГУСТ 21'!J45:J46)</f>
        <v>503</v>
      </c>
      <c r="J32" s="394">
        <f>SUM('[1]СЕНТЯБРЬ 21'!J45:J46)</f>
        <v>599</v>
      </c>
      <c r="K32" s="394">
        <f>SUM('[1]ОКТЯБРЬ 21'!J45:J46)</f>
        <v>552</v>
      </c>
      <c r="L32" s="394">
        <f>SUM('[1]НОЯБРЬ 21'!J45:J46)</f>
        <v>484</v>
      </c>
      <c r="M32" s="394">
        <f>SUM('[1]ДЕКАБРЬ 21'!J45:J46)</f>
        <v>473</v>
      </c>
      <c r="N32" s="251">
        <f>SUM(B32:M33)</f>
        <v>7163.4140000000007</v>
      </c>
    </row>
    <row r="33" spans="1:14">
      <c r="A33" s="181"/>
      <c r="B33" s="394"/>
      <c r="C33" s="394"/>
      <c r="D33" s="394"/>
      <c r="E33" s="394"/>
      <c r="F33" s="394"/>
      <c r="G33" s="395"/>
      <c r="H33" s="395"/>
      <c r="I33" s="395"/>
      <c r="J33" s="395"/>
      <c r="K33" s="395"/>
      <c r="L33" s="395"/>
      <c r="M33" s="395"/>
      <c r="N33" s="181"/>
    </row>
    <row r="34" spans="1:14">
      <c r="A34" s="181" t="s">
        <v>289</v>
      </c>
      <c r="B34" s="394">
        <f>SUM('[1]январь 21'!I164)</f>
        <v>86.634000000000015</v>
      </c>
      <c r="C34" s="394">
        <f>SUM('[1]февраль 21'!I164)</f>
        <v>76.692999999999984</v>
      </c>
      <c r="D34" s="394">
        <f>SUM('[1]март 21'!I164)</f>
        <v>95.465999999999894</v>
      </c>
      <c r="E34" s="394">
        <f>SUM('[1]апрель 21,'!I164)</f>
        <v>93.893000000000029</v>
      </c>
      <c r="F34" s="394">
        <f>SUM('[1]МАЙ 21'!I47)</f>
        <v>84</v>
      </c>
      <c r="G34" s="394">
        <f>SUM('[1]ИЮНЬ 21'!I47)</f>
        <v>91</v>
      </c>
      <c r="H34" s="394">
        <f>SUM('[1]ИЮЛЬ 21'!I47)</f>
        <v>88</v>
      </c>
      <c r="I34" s="394">
        <f>SUM('[1]АВГУСТ 21'!I47)</f>
        <v>90</v>
      </c>
      <c r="J34" s="394">
        <f>SUM('[1]СЕНТЯБРЬ 21'!I47)</f>
        <v>85</v>
      </c>
      <c r="K34" s="394">
        <f>SUM('[1]ОКТЯБРЬ 21'!I47)</f>
        <v>82</v>
      </c>
      <c r="L34" s="394">
        <f>SUM('[1]НОЯБРЬ 21'!I47)</f>
        <v>84</v>
      </c>
      <c r="M34" s="394">
        <f>SUM('[1]ДЕКАБРЬ 21'!I47)</f>
        <v>85</v>
      </c>
      <c r="N34" s="251">
        <f>SUM(B34:M35)</f>
        <v>1041.6859999999999</v>
      </c>
    </row>
    <row r="35" spans="1:14">
      <c r="A35" s="181"/>
      <c r="B35" s="394"/>
      <c r="C35" s="394"/>
      <c r="D35" s="394"/>
      <c r="E35" s="394"/>
      <c r="F35" s="394"/>
      <c r="G35" s="395"/>
      <c r="H35" s="395"/>
      <c r="I35" s="395"/>
      <c r="J35" s="395"/>
      <c r="K35" s="395"/>
      <c r="L35" s="395"/>
      <c r="M35" s="395"/>
      <c r="N35" s="181"/>
    </row>
    <row r="36" spans="1:14">
      <c r="A36" s="181" t="s">
        <v>267</v>
      </c>
      <c r="B36" s="237" t="s">
        <v>276</v>
      </c>
      <c r="C36" s="237" t="s">
        <v>277</v>
      </c>
      <c r="D36" s="237" t="s">
        <v>278</v>
      </c>
      <c r="E36" s="237" t="s">
        <v>279</v>
      </c>
      <c r="F36" s="250" t="s">
        <v>280</v>
      </c>
      <c r="G36" s="250" t="s">
        <v>281</v>
      </c>
      <c r="H36" s="250" t="s">
        <v>282</v>
      </c>
      <c r="I36" s="250" t="s">
        <v>283</v>
      </c>
      <c r="J36" s="250" t="s">
        <v>284</v>
      </c>
      <c r="K36" s="250" t="s">
        <v>285</v>
      </c>
      <c r="L36" s="250" t="s">
        <v>286</v>
      </c>
      <c r="M36" s="250" t="s">
        <v>287</v>
      </c>
      <c r="N36" s="181"/>
    </row>
    <row r="37" spans="1:14">
      <c r="A37" s="181" t="s">
        <v>288</v>
      </c>
      <c r="B37" s="394">
        <f>SUM('[1]январь 21'!J217:J218)</f>
        <v>619</v>
      </c>
      <c r="C37" s="394">
        <f>SUM('[1]февраль 21'!J217:J218)</f>
        <v>540</v>
      </c>
      <c r="D37" s="394">
        <f>SUM('[1]март 21'!J217:J218)</f>
        <v>593</v>
      </c>
      <c r="E37" s="394">
        <f>SUM('[1]апрель 21,'!J217:J218)</f>
        <v>479</v>
      </c>
      <c r="F37" s="394">
        <f>SUM('[1]МАЙ 21'!J61:J62)</f>
        <v>433</v>
      </c>
      <c r="G37" s="394">
        <f>SUM('[1]ИЮНЬ 21'!J61:J62)</f>
        <v>401</v>
      </c>
      <c r="H37" s="394">
        <f>SUM('[1]ИЮЛЬ 21'!J61:J62)</f>
        <v>407</v>
      </c>
      <c r="I37" s="394">
        <f>SUM('[1]АВГУСТ 21'!J61:J62)</f>
        <v>359</v>
      </c>
      <c r="J37" s="394">
        <f>SUM('[1]СЕНТЯБРЬ 21'!J61:J62)</f>
        <v>395</v>
      </c>
      <c r="K37" s="394">
        <f>SUM('[1]ОКТЯБРЬ 21'!J61:J62)</f>
        <v>426</v>
      </c>
      <c r="L37" s="394">
        <f>SUM('[1]НОЯБРЬ 21'!J61:J62)</f>
        <v>436</v>
      </c>
      <c r="M37" s="394">
        <f>SUM('[1]ДЕКАБРЬ 21'!J61:J62)</f>
        <v>455</v>
      </c>
      <c r="N37" s="251">
        <f>SUM(B37:M38)</f>
        <v>5543</v>
      </c>
    </row>
    <row r="38" spans="1:14">
      <c r="A38" s="181"/>
      <c r="B38" s="394"/>
      <c r="C38" s="394"/>
      <c r="D38" s="394"/>
      <c r="E38" s="394"/>
      <c r="F38" s="394"/>
      <c r="G38" s="395"/>
      <c r="H38" s="395"/>
      <c r="I38" s="395"/>
      <c r="J38" s="395"/>
      <c r="K38" s="395"/>
      <c r="L38" s="395"/>
      <c r="M38" s="395"/>
      <c r="N38" s="181"/>
    </row>
    <row r="39" spans="1:14">
      <c r="A39" s="181" t="s">
        <v>289</v>
      </c>
      <c r="B39" s="394">
        <f>SUM('[1]январь 21'!I219)</f>
        <v>78</v>
      </c>
      <c r="C39" s="394">
        <f>SUM('[1]февраль 21'!I219)</f>
        <v>74</v>
      </c>
      <c r="D39" s="394">
        <f>SUM('[1]март 21'!I219)</f>
        <v>86</v>
      </c>
      <c r="E39" s="394">
        <f>SUM('[1]апрель 21,'!I219)</f>
        <v>73</v>
      </c>
      <c r="F39" s="394">
        <f>SUM('[1]МАЙ 21'!I63)</f>
        <v>81</v>
      </c>
      <c r="G39" s="394">
        <f>SUM('[1]ИЮНЬ 21'!I63)</f>
        <v>84</v>
      </c>
      <c r="H39" s="394">
        <f>SUM('[1]ИЮЛЬ 21'!I63)</f>
        <v>86</v>
      </c>
      <c r="I39" s="394">
        <f>SUM('[1]АВГУСТ 21'!I63)</f>
        <v>93</v>
      </c>
      <c r="J39" s="394">
        <f>SUM('[1]СЕНТЯБРЬ 21'!I63)</f>
        <v>80</v>
      </c>
      <c r="K39" s="394">
        <f>SUM('[1]ОКТЯБРЬ 21'!I63)</f>
        <v>77</v>
      </c>
      <c r="L39" s="394">
        <f>SUM('[1]НОЯБРЬ 21'!I63)</f>
        <v>81</v>
      </c>
      <c r="M39" s="394">
        <f>SUM('[1]ДЕКАБРЬ 21'!I63)</f>
        <v>81</v>
      </c>
      <c r="N39" s="251">
        <f>SUM(B39:M40)</f>
        <v>974</v>
      </c>
    </row>
    <row r="40" spans="1:14">
      <c r="A40" s="181"/>
      <c r="B40" s="394"/>
      <c r="C40" s="394"/>
      <c r="D40" s="394"/>
      <c r="E40" s="394"/>
      <c r="F40" s="394"/>
      <c r="G40" s="395"/>
      <c r="H40" s="395"/>
      <c r="I40" s="395"/>
      <c r="J40" s="395"/>
      <c r="K40" s="395"/>
      <c r="L40" s="395"/>
      <c r="M40" s="395"/>
      <c r="N40" s="181"/>
    </row>
    <row r="41" spans="1:14">
      <c r="A41" s="181" t="s">
        <v>268</v>
      </c>
      <c r="B41" s="237" t="s">
        <v>276</v>
      </c>
      <c r="C41" s="237" t="s">
        <v>277</v>
      </c>
      <c r="D41" s="237" t="s">
        <v>278</v>
      </c>
      <c r="E41" s="237" t="s">
        <v>279</v>
      </c>
      <c r="F41" s="250" t="s">
        <v>280</v>
      </c>
      <c r="G41" s="250" t="s">
        <v>281</v>
      </c>
      <c r="H41" s="250" t="s">
        <v>282</v>
      </c>
      <c r="I41" s="250" t="s">
        <v>283</v>
      </c>
      <c r="J41" s="250" t="s">
        <v>284</v>
      </c>
      <c r="K41" s="250" t="s">
        <v>285</v>
      </c>
      <c r="L41" s="250" t="s">
        <v>286</v>
      </c>
      <c r="M41" s="250" t="s">
        <v>287</v>
      </c>
      <c r="N41" s="181"/>
    </row>
    <row r="42" spans="1:14">
      <c r="A42" s="181" t="s">
        <v>288</v>
      </c>
      <c r="B42" s="394">
        <f>SUM('[1]январь 21'!J243:J244)</f>
        <v>705.98699999999917</v>
      </c>
      <c r="C42" s="394">
        <f>SUM('[1]февраль 21'!J243:J244)</f>
        <v>597.81500000000051</v>
      </c>
      <c r="D42" s="394">
        <f>SUM('[1]март 21'!J243:J244)</f>
        <v>717.00700000000052</v>
      </c>
      <c r="E42" s="394">
        <f>SUM('[1]апрель 21,'!J243:J244)</f>
        <v>600.78899999999976</v>
      </c>
      <c r="F42" s="394">
        <f>SUM('[1]МАЙ 21'!J69:J70)</f>
        <v>500</v>
      </c>
      <c r="G42" s="394">
        <f>SUM('[1]ИЮНЬ 21'!J69:J70)</f>
        <v>425</v>
      </c>
      <c r="H42" s="394">
        <f>SUM('[1]ИЮЛЬ 21'!J69:J70)</f>
        <v>673</v>
      </c>
      <c r="I42" s="394">
        <f>SUM('[1]АВГУСТ 21'!J69:J70)</f>
        <v>683</v>
      </c>
      <c r="J42" s="394">
        <f>SUM('[1]СЕНТЯБРЬ 21'!J69:J70)</f>
        <v>540</v>
      </c>
      <c r="K42" s="394">
        <f>SUM('[1]ОКТЯБРЬ 21'!J69:J70)</f>
        <v>538</v>
      </c>
      <c r="L42" s="394">
        <f>SUM('[1]НОЯБРЬ 21'!J61:J62)</f>
        <v>436</v>
      </c>
      <c r="M42" s="394">
        <f>SUM('[1]ДЕКАБРЬ 21'!J69:J70)</f>
        <v>602</v>
      </c>
      <c r="N42" s="251">
        <f>SUM(B42:M43)</f>
        <v>7018.598</v>
      </c>
    </row>
    <row r="43" spans="1:14">
      <c r="A43" s="181"/>
      <c r="B43" s="394"/>
      <c r="C43" s="394"/>
      <c r="D43" s="394"/>
      <c r="E43" s="394"/>
      <c r="F43" s="394"/>
      <c r="G43" s="395"/>
      <c r="H43" s="395"/>
      <c r="I43" s="395"/>
      <c r="J43" s="395"/>
      <c r="K43" s="395"/>
      <c r="L43" s="395"/>
      <c r="M43" s="395"/>
      <c r="N43" s="181"/>
    </row>
    <row r="44" spans="1:14">
      <c r="A44" s="181" t="s">
        <v>289</v>
      </c>
      <c r="B44" s="394">
        <f>SUM('[1]январь 21'!I245)</f>
        <v>85.381000000000085</v>
      </c>
      <c r="C44" s="394">
        <f>SUM('[1]февраль 21'!I245)</f>
        <v>80.269999999999982</v>
      </c>
      <c r="D44" s="394">
        <f>SUM('[1]март 21'!I245)</f>
        <v>95.597000000000207</v>
      </c>
      <c r="E44" s="394">
        <f>SUM('[1]апрель 21,'!I245)</f>
        <v>96.922999999999774</v>
      </c>
      <c r="F44" s="394">
        <f>SUM('[1]МАЙ 21'!I71)</f>
        <v>88</v>
      </c>
      <c r="G44" s="394">
        <f>SUM('[1]ИЮНЬ 21'!I71)</f>
        <v>88</v>
      </c>
      <c r="H44" s="394">
        <f>SUM('[1]ИЮЛЬ 21'!I71)</f>
        <v>98</v>
      </c>
      <c r="I44" s="394">
        <f>SUM('[1]АВГУСТ 21'!I71)</f>
        <v>110</v>
      </c>
      <c r="J44" s="394">
        <f>SUM('[1]СЕНТЯБРЬ 21'!I71)</f>
        <v>94</v>
      </c>
      <c r="K44" s="394">
        <f>SUM('[1]ОКТЯБРЬ 21'!I71)</f>
        <v>91</v>
      </c>
      <c r="L44" s="394">
        <f>SUM('[1]НОЯБРЬ 21'!I71)</f>
        <v>92</v>
      </c>
      <c r="M44" s="394">
        <f>SUM('[1]ДЕКАБРЬ 21'!I71)</f>
        <v>95</v>
      </c>
      <c r="N44" s="251">
        <f>SUM(B44:M45)</f>
        <v>1114.171</v>
      </c>
    </row>
    <row r="45" spans="1:14">
      <c r="A45" s="181"/>
      <c r="B45" s="394"/>
      <c r="C45" s="394"/>
      <c r="D45" s="394"/>
      <c r="E45" s="394"/>
      <c r="F45" s="394"/>
      <c r="G45" s="395"/>
      <c r="H45" s="395"/>
      <c r="I45" s="395"/>
      <c r="J45" s="395"/>
      <c r="K45" s="395"/>
      <c r="L45" s="395"/>
      <c r="M45" s="395"/>
      <c r="N45" s="181"/>
    </row>
    <row r="46" spans="1:14">
      <c r="A46" s="181" t="s">
        <v>269</v>
      </c>
      <c r="B46" s="237" t="s">
        <v>276</v>
      </c>
      <c r="C46" s="237" t="s">
        <v>277</v>
      </c>
      <c r="D46" s="237" t="s">
        <v>278</v>
      </c>
      <c r="E46" s="237" t="s">
        <v>279</v>
      </c>
      <c r="F46" s="250" t="s">
        <v>280</v>
      </c>
      <c r="G46" s="250" t="s">
        <v>281</v>
      </c>
      <c r="H46" s="250" t="s">
        <v>282</v>
      </c>
      <c r="I46" s="250" t="s">
        <v>283</v>
      </c>
      <c r="J46" s="250" t="s">
        <v>284</v>
      </c>
      <c r="K46" s="250" t="s">
        <v>285</v>
      </c>
      <c r="L46" s="250" t="s">
        <v>286</v>
      </c>
      <c r="M46" s="250" t="s">
        <v>287</v>
      </c>
      <c r="N46" s="181"/>
    </row>
    <row r="47" spans="1:14">
      <c r="A47" s="181" t="s">
        <v>288</v>
      </c>
      <c r="B47" s="394">
        <f>SUM('[1]январь 21'!J270:J271)</f>
        <v>644.73599999999988</v>
      </c>
      <c r="C47" s="394">
        <f>SUM('[1]февраль 21'!J270:J271)</f>
        <v>531.11199999999917</v>
      </c>
      <c r="D47" s="394">
        <f>SUM('[1]март 21'!J270:J271)</f>
        <v>577.06000000000131</v>
      </c>
      <c r="E47" s="394">
        <f>SUM('[1]апрель 21,'!J270:J271)</f>
        <v>510.66999999999916</v>
      </c>
      <c r="F47" s="394">
        <f>SUM('[1]МАЙ 21'!J77:J78)</f>
        <v>396</v>
      </c>
      <c r="G47" s="394">
        <f>SUM('[1]ИЮНЬ 21'!J77:J78)</f>
        <v>403</v>
      </c>
      <c r="H47" s="394">
        <f>SUM('[1]ИЮЛЬ 21'!J77:J78)</f>
        <v>355</v>
      </c>
      <c r="I47" s="394">
        <f>SUM('[1]АВГУСТ 21'!J77:J78)</f>
        <v>366</v>
      </c>
      <c r="J47" s="394">
        <f>SUM('[1]СЕНТЯБРЬ 21'!J77:J78)</f>
        <v>388</v>
      </c>
      <c r="K47" s="394">
        <f>SUM('[1]ОКТЯБРЬ 21'!J77:J78)</f>
        <v>471</v>
      </c>
      <c r="L47" s="394">
        <f>SUM('[1]НОЯБРЬ 21'!J77:J78)</f>
        <v>473</v>
      </c>
      <c r="M47" s="394">
        <f>SUM('[1]ДЕКАБРЬ 21'!J77:J78)</f>
        <v>479</v>
      </c>
      <c r="N47" s="251">
        <f>SUM(B47:M48)</f>
        <v>5594.5779999999995</v>
      </c>
    </row>
    <row r="48" spans="1:14">
      <c r="A48" s="181"/>
      <c r="B48" s="394"/>
      <c r="C48" s="394"/>
      <c r="D48" s="394"/>
      <c r="E48" s="394"/>
      <c r="F48" s="394"/>
      <c r="G48" s="395"/>
      <c r="H48" s="395"/>
      <c r="I48" s="395"/>
      <c r="J48" s="395"/>
      <c r="K48" s="395"/>
      <c r="L48" s="395"/>
      <c r="M48" s="395"/>
      <c r="N48" s="181"/>
    </row>
    <row r="49" spans="1:14">
      <c r="A49" s="181" t="s">
        <v>289</v>
      </c>
      <c r="B49" s="394">
        <f>SUM('[1]январь 21'!I272)</f>
        <v>90.760999999999967</v>
      </c>
      <c r="C49" s="394">
        <f>SUM('[1]февраль 21'!I272)</f>
        <v>79.776000000000295</v>
      </c>
      <c r="D49" s="394">
        <f>SUM('[1]март 21'!I272)</f>
        <v>91.024999999999636</v>
      </c>
      <c r="E49" s="394">
        <f>SUM('[1]апрель 21,'!I272)</f>
        <v>92.693000000000211</v>
      </c>
      <c r="F49" s="394">
        <f>SUM('[1]МАЙ 21'!I79)</f>
        <v>85</v>
      </c>
      <c r="G49" s="394">
        <f>SUM('[1]ИЮНЬ 21'!I79)</f>
        <v>96</v>
      </c>
      <c r="H49" s="394">
        <f>SUM('[1]ИЮЛЬ 21'!I79)</f>
        <v>77</v>
      </c>
      <c r="I49" s="394">
        <f>SUM('[1]АВГУСТ 21'!I79)</f>
        <v>100</v>
      </c>
      <c r="J49" s="394">
        <f>SUM('[1]СЕНТЯБРЬ 21'!I79)</f>
        <v>94</v>
      </c>
      <c r="K49" s="394">
        <f>SUM('[1]ОКТЯБРЬ 21'!I79)</f>
        <v>82</v>
      </c>
      <c r="L49" s="394">
        <f>SUM('[1]НОЯБРЬ 21'!I79)</f>
        <v>87</v>
      </c>
      <c r="M49" s="394">
        <f>SUM('[1]ДЕКАБРЬ 21'!I79)</f>
        <v>94</v>
      </c>
      <c r="N49" s="251">
        <f>SUM(B49:M50)</f>
        <v>1069.2550000000001</v>
      </c>
    </row>
    <row r="50" spans="1:14">
      <c r="A50" s="181"/>
      <c r="B50" s="394"/>
      <c r="C50" s="394"/>
      <c r="D50" s="394"/>
      <c r="E50" s="394"/>
      <c r="F50" s="394"/>
      <c r="G50" s="395"/>
      <c r="H50" s="395"/>
      <c r="I50" s="395"/>
      <c r="J50" s="395"/>
      <c r="K50" s="395"/>
      <c r="L50" s="395"/>
      <c r="M50" s="395"/>
      <c r="N50" s="181"/>
    </row>
    <row r="51" spans="1:14">
      <c r="A51" s="181" t="s">
        <v>270</v>
      </c>
      <c r="B51" s="237" t="s">
        <v>276</v>
      </c>
      <c r="C51" s="237" t="s">
        <v>277</v>
      </c>
      <c r="D51" s="237" t="s">
        <v>278</v>
      </c>
      <c r="E51" s="237" t="s">
        <v>279</v>
      </c>
      <c r="F51" s="250" t="s">
        <v>280</v>
      </c>
      <c r="G51" s="250" t="s">
        <v>281</v>
      </c>
      <c r="H51" s="250" t="s">
        <v>282</v>
      </c>
      <c r="I51" s="250" t="s">
        <v>283</v>
      </c>
      <c r="J51" s="250" t="s">
        <v>284</v>
      </c>
      <c r="K51" s="250" t="s">
        <v>285</v>
      </c>
      <c r="L51" s="250" t="s">
        <v>286</v>
      </c>
      <c r="M51" s="250" t="s">
        <v>287</v>
      </c>
      <c r="N51" s="181"/>
    </row>
    <row r="52" spans="1:14">
      <c r="A52" s="181" t="s">
        <v>288</v>
      </c>
      <c r="B52" s="394">
        <f>SUM('[1]январь 21'!J297:J298)</f>
        <v>665.46599999999944</v>
      </c>
      <c r="C52" s="394">
        <f>SUM('[1]февраль 21'!I297+'[1]февраль 21'!I298)</f>
        <v>565.3769999999995</v>
      </c>
      <c r="D52" s="394">
        <f>SUM('[1]март 21'!I297+'[1]март 21'!I298)</f>
        <v>613.93400000000202</v>
      </c>
      <c r="E52" s="394">
        <f>SUM('[1]апрель 21,'!J297:J298)</f>
        <v>562.17399999999907</v>
      </c>
      <c r="F52" s="394">
        <v>437</v>
      </c>
      <c r="G52" s="395">
        <v>382</v>
      </c>
      <c r="H52" s="395">
        <v>438</v>
      </c>
      <c r="I52" s="395">
        <v>474</v>
      </c>
      <c r="J52" s="395">
        <v>433</v>
      </c>
      <c r="K52" s="395">
        <v>463</v>
      </c>
      <c r="L52" s="395">
        <v>487</v>
      </c>
      <c r="M52" s="395">
        <v>524</v>
      </c>
      <c r="N52" s="251">
        <f>SUM(B52:M53)</f>
        <v>6044.951</v>
      </c>
    </row>
    <row r="53" spans="1:14">
      <c r="A53" s="181"/>
      <c r="B53" s="394"/>
      <c r="C53" s="394"/>
      <c r="D53" s="394"/>
      <c r="E53" s="394"/>
      <c r="F53" s="394"/>
      <c r="G53" s="395"/>
      <c r="H53" s="395"/>
      <c r="I53" s="395"/>
      <c r="J53" s="395"/>
      <c r="K53" s="395"/>
      <c r="L53" s="395"/>
      <c r="M53" s="395"/>
      <c r="N53" s="181"/>
    </row>
    <row r="54" spans="1:14">
      <c r="A54" s="181" t="s">
        <v>289</v>
      </c>
      <c r="B54" s="394">
        <f>SUM('[1]январь 21'!I299)</f>
        <v>92.367000000000189</v>
      </c>
      <c r="C54" s="394">
        <f>SUM('[1]февраль 21'!I299)</f>
        <v>81.748000000000047</v>
      </c>
      <c r="D54" s="394">
        <f>SUM('[1]март 21'!I299)</f>
        <v>90.784000000000106</v>
      </c>
      <c r="E54" s="394">
        <f>SUM('[1]апрель 21,'!I299)</f>
        <v>96.172999999999774</v>
      </c>
      <c r="F54" s="394">
        <f>SUM('[1]МАЙ 21'!I87)</f>
        <v>90</v>
      </c>
      <c r="G54" s="394">
        <f>SUM('[1]ИЮНЬ 21'!I87)</f>
        <v>102</v>
      </c>
      <c r="H54" s="394">
        <f>SUM('[1]ИЮЛЬ 21'!I87)</f>
        <v>114</v>
      </c>
      <c r="I54" s="394">
        <f>SUM('[1]АВГУСТ 21'!I87)</f>
        <v>117</v>
      </c>
      <c r="J54" s="394">
        <f>SUM('[1]СЕНТЯБРЬ 21'!I87)</f>
        <v>110</v>
      </c>
      <c r="K54" s="394">
        <f>SUM('[1]ОКТЯБРЬ 21'!I87)</f>
        <v>99</v>
      </c>
      <c r="L54" s="394">
        <f>SUM('[1]НОЯБРЬ 21'!I87)</f>
        <v>101</v>
      </c>
      <c r="M54" s="394">
        <f>SUM('[1]ДЕКАБРЬ 21'!I87)</f>
        <v>106</v>
      </c>
      <c r="N54" s="251">
        <f>SUM(B54:M55)</f>
        <v>1200.0720000000001</v>
      </c>
    </row>
    <row r="55" spans="1:14">
      <c r="A55" s="181"/>
      <c r="B55" s="394"/>
      <c r="C55" s="394"/>
      <c r="D55" s="394"/>
      <c r="E55" s="394"/>
      <c r="F55" s="394"/>
      <c r="G55" s="394"/>
      <c r="H55" s="394"/>
      <c r="I55" s="395"/>
      <c r="J55" s="395"/>
      <c r="K55" s="395"/>
      <c r="L55" s="395"/>
      <c r="M55" s="395"/>
      <c r="N55" s="181"/>
    </row>
    <row r="56" spans="1:14">
      <c r="A56" s="181"/>
      <c r="B56" s="237" t="s">
        <v>276</v>
      </c>
      <c r="C56" s="237" t="s">
        <v>277</v>
      </c>
      <c r="D56" s="237" t="s">
        <v>278</v>
      </c>
      <c r="E56" s="237" t="s">
        <v>279</v>
      </c>
      <c r="F56" s="250" t="s">
        <v>280</v>
      </c>
      <c r="G56" s="250" t="s">
        <v>281</v>
      </c>
      <c r="H56" s="250" t="s">
        <v>282</v>
      </c>
      <c r="I56" s="250" t="s">
        <v>283</v>
      </c>
      <c r="J56" s="250" t="s">
        <v>284</v>
      </c>
      <c r="K56" s="250" t="s">
        <v>285</v>
      </c>
      <c r="L56" s="250" t="s">
        <v>286</v>
      </c>
      <c r="M56" s="250" t="s">
        <v>287</v>
      </c>
      <c r="N56" s="181"/>
    </row>
    <row r="57" spans="1:14">
      <c r="A57" s="181" t="s">
        <v>288</v>
      </c>
      <c r="B57" s="394">
        <f>SUM(B2+B7+B12+B17+B22+B27+B32+B37+B42+B47+B52)</f>
        <v>7692.5109999999986</v>
      </c>
      <c r="C57" s="394">
        <f>SUM(C2+C7+C12+C17+C22+C27+C32+C37+C42+C47+C52)</f>
        <v>7068.4980000000014</v>
      </c>
      <c r="D57" s="394">
        <f t="shared" ref="D57:M57" si="0">SUM(D2+D7+D12+D17+D22+D27+D32+D37+D42+D47+D52)</f>
        <v>7395.5800000000017</v>
      </c>
      <c r="E57" s="394">
        <f t="shared" si="0"/>
        <v>6423.7519999999986</v>
      </c>
      <c r="F57" s="394">
        <f t="shared" si="0"/>
        <v>5095</v>
      </c>
      <c r="G57" s="394">
        <f t="shared" si="0"/>
        <v>4986</v>
      </c>
      <c r="H57" s="394">
        <f t="shared" si="0"/>
        <v>5629</v>
      </c>
      <c r="I57" s="394">
        <f t="shared" si="0"/>
        <v>5766</v>
      </c>
      <c r="J57" s="394">
        <f t="shared" si="0"/>
        <v>5035</v>
      </c>
      <c r="K57" s="394">
        <f t="shared" si="0"/>
        <v>5456</v>
      </c>
      <c r="L57" s="394">
        <f t="shared" si="0"/>
        <v>5535</v>
      </c>
      <c r="M57" s="394">
        <f t="shared" si="0"/>
        <v>5977</v>
      </c>
      <c r="N57" s="251">
        <f>SUM(B57:M58)</f>
        <v>72059.341</v>
      </c>
    </row>
    <row r="58" spans="1:14">
      <c r="A58" s="181"/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181"/>
    </row>
    <row r="59" spans="1:14">
      <c r="A59" s="181" t="s">
        <v>289</v>
      </c>
      <c r="B59" s="394">
        <f>SUM(B4+B9+B14+B19+B24+B29+B34+B39+B44+B49+B54)</f>
        <v>927.32700000000023</v>
      </c>
      <c r="C59" s="394">
        <f t="shared" ref="C59:M59" si="1">SUM(C4+C9+C14+C19+C24+C29+C34+C39+C44+C49+C54)</f>
        <v>868.8220000000008</v>
      </c>
      <c r="D59" s="394">
        <f t="shared" si="1"/>
        <v>1000.6629999999993</v>
      </c>
      <c r="E59" s="394">
        <f t="shared" si="1"/>
        <v>1007.317</v>
      </c>
      <c r="F59" s="394">
        <f t="shared" si="1"/>
        <v>934</v>
      </c>
      <c r="G59" s="394">
        <f t="shared" si="1"/>
        <v>995</v>
      </c>
      <c r="H59" s="394">
        <f t="shared" si="1"/>
        <v>1020</v>
      </c>
      <c r="I59" s="394">
        <f t="shared" si="1"/>
        <v>1098</v>
      </c>
      <c r="J59" s="394">
        <f t="shared" si="1"/>
        <v>1039</v>
      </c>
      <c r="K59" s="394">
        <f t="shared" si="1"/>
        <v>948</v>
      </c>
      <c r="L59" s="394">
        <f t="shared" si="1"/>
        <v>953</v>
      </c>
      <c r="M59" s="394">
        <f t="shared" si="1"/>
        <v>1000</v>
      </c>
      <c r="N59" s="251">
        <f>SUM(B59:M60)</f>
        <v>11791.129000000001</v>
      </c>
    </row>
    <row r="60" spans="1:14">
      <c r="A60" s="18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181"/>
    </row>
    <row r="61" spans="1:14">
      <c r="A61" s="181">
        <v>0.2321</v>
      </c>
      <c r="B61" s="397">
        <f>SUM(B57+C57+D57)</f>
        <v>22156.589</v>
      </c>
      <c r="C61" s="398"/>
      <c r="D61" s="398"/>
      <c r="E61" s="397">
        <f>SUM(E57+F57+G57)</f>
        <v>16504.752</v>
      </c>
      <c r="F61" s="398"/>
      <c r="G61" s="398"/>
      <c r="H61" s="397">
        <f>SUM(H57+I57+J57)</f>
        <v>16430</v>
      </c>
      <c r="I61" s="398"/>
      <c r="J61" s="398"/>
      <c r="K61" s="397">
        <f>SUM(K57+L57+M57)</f>
        <v>16968</v>
      </c>
      <c r="L61" s="398"/>
      <c r="M61" s="398"/>
      <c r="N61" s="181"/>
    </row>
    <row r="62" spans="1:14">
      <c r="A62" s="181">
        <v>0.2321</v>
      </c>
      <c r="B62" s="397">
        <f>SUM(B59+C59+D59)</f>
        <v>2796.8120000000004</v>
      </c>
      <c r="C62" s="398"/>
      <c r="D62" s="398"/>
      <c r="E62" s="397">
        <f>SUM(E59+F59+G59)</f>
        <v>2936.317</v>
      </c>
      <c r="F62" s="398"/>
      <c r="G62" s="398"/>
      <c r="H62" s="397">
        <f>SUM(H59+I59+J59)</f>
        <v>3157</v>
      </c>
      <c r="I62" s="398"/>
      <c r="J62" s="398"/>
      <c r="K62" s="397">
        <f>SUM(K59+L59+M59)</f>
        <v>2901</v>
      </c>
      <c r="L62" s="398"/>
      <c r="M62" s="398"/>
      <c r="N62" s="181"/>
    </row>
    <row r="63" spans="1:14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</row>
    <row r="64" spans="1:14">
      <c r="A64" s="181" t="s">
        <v>288</v>
      </c>
      <c r="B64" s="397">
        <f>SUM(B61*A61)</f>
        <v>5142.5443069000003</v>
      </c>
      <c r="C64" s="398"/>
      <c r="D64" s="398"/>
      <c r="E64" s="397">
        <f>SUM(E61*A61)</f>
        <v>3830.7529392000001</v>
      </c>
      <c r="F64" s="398"/>
      <c r="G64" s="398"/>
      <c r="H64" s="397">
        <f>SUM(H61*A61)</f>
        <v>3813.4029999999998</v>
      </c>
      <c r="I64" s="398"/>
      <c r="J64" s="398"/>
      <c r="K64" s="397">
        <f>SUM(K61*A61)</f>
        <v>3938.2728000000002</v>
      </c>
      <c r="L64" s="398"/>
      <c r="M64" s="398"/>
      <c r="N64" s="181"/>
    </row>
    <row r="65" spans="1:14">
      <c r="A65" s="181"/>
      <c r="B65" s="397">
        <f>SUM(B62*A62)</f>
        <v>649.14006520000009</v>
      </c>
      <c r="C65" s="398"/>
      <c r="D65" s="398"/>
      <c r="E65" s="397">
        <f>SUM(E62*A62)</f>
        <v>681.51917570000001</v>
      </c>
      <c r="F65" s="398"/>
      <c r="G65" s="398"/>
      <c r="H65" s="397">
        <f>SUM(H62*A62)</f>
        <v>732.73969999999997</v>
      </c>
      <c r="I65" s="398"/>
      <c r="J65" s="398"/>
      <c r="K65" s="397">
        <f>SUM(K62*A62)</f>
        <v>673.32209999999998</v>
      </c>
      <c r="L65" s="398"/>
      <c r="M65" s="398"/>
      <c r="N65" s="181"/>
    </row>
    <row r="66" spans="1:14">
      <c r="A66" s="181" t="s">
        <v>289</v>
      </c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</row>
    <row r="67" spans="1:14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</row>
    <row r="68" spans="1:14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</row>
    <row r="69" spans="1:14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</row>
    <row r="70" spans="1:14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</row>
    <row r="71" spans="1:14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</row>
    <row r="72" spans="1:14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</row>
    <row r="73" spans="1:14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</row>
    <row r="74" spans="1:14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</row>
    <row r="75" spans="1:14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</row>
    <row r="76" spans="1:14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</row>
  </sheetData>
  <mergeCells count="304">
    <mergeCell ref="B64:D64"/>
    <mergeCell ref="E64:G64"/>
    <mergeCell ref="H64:J64"/>
    <mergeCell ref="K64:M64"/>
    <mergeCell ref="B65:D65"/>
    <mergeCell ref="E65:G65"/>
    <mergeCell ref="H65:J65"/>
    <mergeCell ref="K65:M65"/>
    <mergeCell ref="B61:D61"/>
    <mergeCell ref="E61:G61"/>
    <mergeCell ref="H61:J61"/>
    <mergeCell ref="K61:M61"/>
    <mergeCell ref="B62:D62"/>
    <mergeCell ref="E62:G62"/>
    <mergeCell ref="H62:J62"/>
    <mergeCell ref="K62:M62"/>
    <mergeCell ref="H59:H60"/>
    <mergeCell ref="I59:I60"/>
    <mergeCell ref="J59:J60"/>
    <mergeCell ref="K59:K60"/>
    <mergeCell ref="L59:L60"/>
    <mergeCell ref="M59:M60"/>
    <mergeCell ref="B59:B60"/>
    <mergeCell ref="C59:C60"/>
    <mergeCell ref="D59:D60"/>
    <mergeCell ref="E59:E60"/>
    <mergeCell ref="F59:F60"/>
    <mergeCell ref="G59:G60"/>
    <mergeCell ref="H57:H58"/>
    <mergeCell ref="I57:I58"/>
    <mergeCell ref="J57:J58"/>
    <mergeCell ref="K57:K58"/>
    <mergeCell ref="L57:L58"/>
    <mergeCell ref="M57:M58"/>
    <mergeCell ref="B57:B58"/>
    <mergeCell ref="C57:C58"/>
    <mergeCell ref="D57:D58"/>
    <mergeCell ref="E57:E58"/>
    <mergeCell ref="F57:F58"/>
    <mergeCell ref="G57:G58"/>
    <mergeCell ref="H54:H55"/>
    <mergeCell ref="I54:I55"/>
    <mergeCell ref="J54:J55"/>
    <mergeCell ref="K54:K55"/>
    <mergeCell ref="L54:L55"/>
    <mergeCell ref="M54:M55"/>
    <mergeCell ref="B54:B55"/>
    <mergeCell ref="C54:C55"/>
    <mergeCell ref="D54:D55"/>
    <mergeCell ref="E54:E55"/>
    <mergeCell ref="F54:F55"/>
    <mergeCell ref="G54:G55"/>
    <mergeCell ref="H52:H53"/>
    <mergeCell ref="I52:I53"/>
    <mergeCell ref="J52:J53"/>
    <mergeCell ref="K52:K53"/>
    <mergeCell ref="L52:L53"/>
    <mergeCell ref="M52:M53"/>
    <mergeCell ref="B52:B53"/>
    <mergeCell ref="C52:C53"/>
    <mergeCell ref="D52:D53"/>
    <mergeCell ref="E52:E53"/>
    <mergeCell ref="F52:F53"/>
    <mergeCell ref="G52:G53"/>
    <mergeCell ref="H49:H50"/>
    <mergeCell ref="I49:I50"/>
    <mergeCell ref="J49:J50"/>
    <mergeCell ref="K49:K50"/>
    <mergeCell ref="L49:L50"/>
    <mergeCell ref="M49:M50"/>
    <mergeCell ref="B49:B50"/>
    <mergeCell ref="C49:C50"/>
    <mergeCell ref="D49:D50"/>
    <mergeCell ref="E49:E50"/>
    <mergeCell ref="F49:F50"/>
    <mergeCell ref="G49:G50"/>
    <mergeCell ref="H47:H48"/>
    <mergeCell ref="I47:I48"/>
    <mergeCell ref="J47:J48"/>
    <mergeCell ref="K47:K48"/>
    <mergeCell ref="L47:L48"/>
    <mergeCell ref="M47:M48"/>
    <mergeCell ref="B47:B48"/>
    <mergeCell ref="C47:C48"/>
    <mergeCell ref="D47:D48"/>
    <mergeCell ref="E47:E48"/>
    <mergeCell ref="F47:F48"/>
    <mergeCell ref="G47:G48"/>
    <mergeCell ref="H44:H45"/>
    <mergeCell ref="I44:I45"/>
    <mergeCell ref="J44:J45"/>
    <mergeCell ref="K44:K45"/>
    <mergeCell ref="L44:L45"/>
    <mergeCell ref="M44:M45"/>
    <mergeCell ref="B44:B45"/>
    <mergeCell ref="C44:C45"/>
    <mergeCell ref="D44:D45"/>
    <mergeCell ref="E44:E45"/>
    <mergeCell ref="F44:F45"/>
    <mergeCell ref="G44:G45"/>
    <mergeCell ref="H42:H43"/>
    <mergeCell ref="I42:I43"/>
    <mergeCell ref="J42:J43"/>
    <mergeCell ref="K42:K43"/>
    <mergeCell ref="L42:L43"/>
    <mergeCell ref="M42:M43"/>
    <mergeCell ref="B42:B43"/>
    <mergeCell ref="C42:C43"/>
    <mergeCell ref="D42:D43"/>
    <mergeCell ref="E42:E43"/>
    <mergeCell ref="F42:F43"/>
    <mergeCell ref="G42:G43"/>
    <mergeCell ref="H39:H40"/>
    <mergeCell ref="I39:I40"/>
    <mergeCell ref="J39:J40"/>
    <mergeCell ref="K39:K40"/>
    <mergeCell ref="L39:L40"/>
    <mergeCell ref="M39:M40"/>
    <mergeCell ref="B39:B40"/>
    <mergeCell ref="C39:C40"/>
    <mergeCell ref="D39:D40"/>
    <mergeCell ref="E39:E40"/>
    <mergeCell ref="F39:F40"/>
    <mergeCell ref="G39:G40"/>
    <mergeCell ref="H37:H38"/>
    <mergeCell ref="I37:I38"/>
    <mergeCell ref="J37:J38"/>
    <mergeCell ref="K37:K38"/>
    <mergeCell ref="L37:L38"/>
    <mergeCell ref="M37:M38"/>
    <mergeCell ref="B37:B38"/>
    <mergeCell ref="C37:C38"/>
    <mergeCell ref="D37:D38"/>
    <mergeCell ref="E37:E38"/>
    <mergeCell ref="F37:F38"/>
    <mergeCell ref="G37:G38"/>
    <mergeCell ref="H34:H35"/>
    <mergeCell ref="I34:I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H32:H33"/>
    <mergeCell ref="I32:I33"/>
    <mergeCell ref="J32:J33"/>
    <mergeCell ref="K32:K33"/>
    <mergeCell ref="L32:L33"/>
    <mergeCell ref="M32:M33"/>
    <mergeCell ref="B32:B33"/>
    <mergeCell ref="C32:C33"/>
    <mergeCell ref="D32:D33"/>
    <mergeCell ref="E32:E33"/>
    <mergeCell ref="F32:F33"/>
    <mergeCell ref="G32:G33"/>
    <mergeCell ref="H29:H30"/>
    <mergeCell ref="I29:I30"/>
    <mergeCell ref="J29:J30"/>
    <mergeCell ref="K29:K30"/>
    <mergeCell ref="L29:L30"/>
    <mergeCell ref="M29:M30"/>
    <mergeCell ref="B29:B30"/>
    <mergeCell ref="C29:C30"/>
    <mergeCell ref="D29:D30"/>
    <mergeCell ref="E29:E30"/>
    <mergeCell ref="F29:F30"/>
    <mergeCell ref="G29:G30"/>
    <mergeCell ref="H27:H28"/>
    <mergeCell ref="I27:I28"/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G27:G28"/>
    <mergeCell ref="H24:H25"/>
    <mergeCell ref="I24:I25"/>
    <mergeCell ref="J24:J25"/>
    <mergeCell ref="K24:K25"/>
    <mergeCell ref="L24:L25"/>
    <mergeCell ref="M24:M25"/>
    <mergeCell ref="B24:B25"/>
    <mergeCell ref="C24:C25"/>
    <mergeCell ref="D24:D25"/>
    <mergeCell ref="E24:E25"/>
    <mergeCell ref="F24:F25"/>
    <mergeCell ref="G24:G25"/>
    <mergeCell ref="H22:H23"/>
    <mergeCell ref="I22:I23"/>
    <mergeCell ref="J22:J23"/>
    <mergeCell ref="K22:K23"/>
    <mergeCell ref="L22:L23"/>
    <mergeCell ref="M22:M23"/>
    <mergeCell ref="B22:B23"/>
    <mergeCell ref="C22:C23"/>
    <mergeCell ref="D22:D23"/>
    <mergeCell ref="E22:E23"/>
    <mergeCell ref="F22:F23"/>
    <mergeCell ref="G22:G23"/>
    <mergeCell ref="H19:H20"/>
    <mergeCell ref="I19:I20"/>
    <mergeCell ref="J19:J20"/>
    <mergeCell ref="K19:K20"/>
    <mergeCell ref="L19:L20"/>
    <mergeCell ref="M19:M20"/>
    <mergeCell ref="B19:B20"/>
    <mergeCell ref="C19:C20"/>
    <mergeCell ref="D19:D20"/>
    <mergeCell ref="E19:E20"/>
    <mergeCell ref="F19:F20"/>
    <mergeCell ref="G19:G20"/>
    <mergeCell ref="H17:H18"/>
    <mergeCell ref="I17:I18"/>
    <mergeCell ref="J17:J18"/>
    <mergeCell ref="K17:K18"/>
    <mergeCell ref="L17:L18"/>
    <mergeCell ref="M17:M18"/>
    <mergeCell ref="B17:B18"/>
    <mergeCell ref="C17:C18"/>
    <mergeCell ref="D17:D18"/>
    <mergeCell ref="E17:E18"/>
    <mergeCell ref="F17:F18"/>
    <mergeCell ref="G17:G18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9:H10"/>
    <mergeCell ref="I9:I10"/>
    <mergeCell ref="J9:J10"/>
    <mergeCell ref="K9:K10"/>
    <mergeCell ref="L9:L10"/>
    <mergeCell ref="M9:M10"/>
    <mergeCell ref="B9:B10"/>
    <mergeCell ref="C9:C10"/>
    <mergeCell ref="D9:D10"/>
    <mergeCell ref="E9:E10"/>
    <mergeCell ref="F9:F10"/>
    <mergeCell ref="G9:G10"/>
    <mergeCell ref="H7:H8"/>
    <mergeCell ref="I7:I8"/>
    <mergeCell ref="J7:J8"/>
    <mergeCell ref="K7:K8"/>
    <mergeCell ref="L7:L8"/>
    <mergeCell ref="M7:M8"/>
    <mergeCell ref="B7:B8"/>
    <mergeCell ref="C7:C8"/>
    <mergeCell ref="D7:D8"/>
    <mergeCell ref="E7:E8"/>
    <mergeCell ref="F7:F8"/>
    <mergeCell ref="G7:G8"/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  <mergeCell ref="F4:F5"/>
    <mergeCell ref="G4:G5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947D-2998-4A62-9E39-41DAE22655C7}">
  <dimension ref="A1:D5"/>
  <sheetViews>
    <sheetView workbookViewId="0">
      <selection activeCell="D1" sqref="D1"/>
    </sheetView>
  </sheetViews>
  <sheetFormatPr defaultRowHeight="15"/>
  <cols>
    <col min="3" max="3" width="22.28515625" customWidth="1"/>
  </cols>
  <sheetData>
    <row r="1" spans="1:4">
      <c r="A1">
        <v>34316.699999999997</v>
      </c>
      <c r="C1">
        <v>194.3</v>
      </c>
    </row>
    <row r="2" spans="1:4">
      <c r="A2">
        <v>18872.7</v>
      </c>
    </row>
    <row r="4" spans="1:4">
      <c r="A4">
        <f>SUM(A1:A3)</f>
        <v>53189.399999999994</v>
      </c>
      <c r="C4">
        <f>SUM(C1/A4*A1)</f>
        <v>125.35833850353642</v>
      </c>
      <c r="D4">
        <v>125.34</v>
      </c>
    </row>
    <row r="5" spans="1:4">
      <c r="C5">
        <f>SUM(C1/A4*A2)</f>
        <v>68.941661496463595</v>
      </c>
      <c r="D5">
        <v>68.94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6F85-A866-42E5-9DF3-A8CBA65DBB9E}">
  <sheetPr>
    <tabColor rgb="FFFFC000"/>
    <pageSetUpPr fitToPage="1"/>
  </sheetPr>
  <dimension ref="A1:AI67"/>
  <sheetViews>
    <sheetView showGridLines="0" view="pageBreakPreview" topLeftCell="A19" zoomScale="60" zoomScaleNormal="70" workbookViewId="0">
      <selection activeCell="I11" sqref="I1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38.14062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20.140625" style="2" customWidth="1"/>
    <col min="14" max="14" width="10.140625" style="2"/>
    <col min="15" max="15" width="30.85546875" style="2" customWidth="1"/>
    <col min="16" max="16" width="10.140625" style="2"/>
    <col min="17" max="17" width="28.42578125" style="2" customWidth="1"/>
    <col min="18" max="18" width="14.42578125" style="2" customWidth="1"/>
    <col min="19" max="19" width="14" style="2" customWidth="1"/>
    <col min="20" max="20" width="10.140625" style="2"/>
    <col min="21" max="21" width="29.140625" style="2" customWidth="1"/>
    <col min="22" max="22" width="36.5703125" style="2" customWidth="1"/>
    <col min="23" max="23" width="22.7109375" style="2" customWidth="1"/>
    <col min="24" max="24" width="16.28515625" style="2" customWidth="1"/>
    <col min="25" max="16384" width="10.140625" style="2"/>
  </cols>
  <sheetData>
    <row r="1" spans="1:26" ht="56.25">
      <c r="A1" s="354"/>
      <c r="B1" s="354"/>
      <c r="C1" s="354"/>
      <c r="D1" s="84"/>
      <c r="E1" s="84"/>
      <c r="F1" s="84"/>
      <c r="G1" s="84"/>
      <c r="I1" s="232" t="s">
        <v>236</v>
      </c>
      <c r="J1" s="233">
        <f>SUM(Площадь!L13)</f>
        <v>774.4</v>
      </c>
      <c r="K1" s="234" t="s">
        <v>235</v>
      </c>
      <c r="L1" s="125"/>
      <c r="O1" s="2">
        <f>SUM(Площадь!M13)</f>
        <v>776.1</v>
      </c>
    </row>
    <row r="2" spans="1:26">
      <c r="A2" s="354"/>
      <c r="B2" s="354"/>
      <c r="C2" s="354"/>
      <c r="D2" s="354"/>
      <c r="E2" s="354"/>
      <c r="F2" s="354"/>
      <c r="G2" s="354"/>
      <c r="I2" s="232"/>
      <c r="J2" s="233"/>
      <c r="K2" s="235"/>
      <c r="L2" s="125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SUM(Площадь!R13)</f>
        <v>9</v>
      </c>
      <c r="K4" s="4">
        <f>SUM(Площадь!S13)</f>
        <v>3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SUM(Площадь!Q13)</f>
        <v>6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8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82">
        <v>1</v>
      </c>
      <c r="B9" s="14" t="s">
        <v>15</v>
      </c>
      <c r="C9" s="15">
        <f>SUM(C10:C15)</f>
        <v>416.06042400000001</v>
      </c>
      <c r="D9" s="15">
        <f t="shared" ref="D9:F9" si="0">SUM(D10:D15)</f>
        <v>416.06042400000001</v>
      </c>
      <c r="E9" s="15">
        <f t="shared" si="0"/>
        <v>416.06042400000001</v>
      </c>
      <c r="F9" s="15">
        <f t="shared" si="0"/>
        <v>416.06042400000001</v>
      </c>
      <c r="G9" s="15">
        <f>SUM(G10:G15)</f>
        <v>1664.241696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83"/>
      <c r="B10" s="7" t="s">
        <v>3</v>
      </c>
      <c r="C10" s="9">
        <f>SUM(I10*3)</f>
        <v>324.78336000000002</v>
      </c>
      <c r="D10" s="9">
        <f>SUM(I10*2+O10*1)</f>
        <v>324.78336000000002</v>
      </c>
      <c r="E10" s="9">
        <f>SUM(O10*2)+U10*1</f>
        <v>324.78336000000002</v>
      </c>
      <c r="F10" s="9">
        <f>SUM(U10*3)</f>
        <v>324.78336000000002</v>
      </c>
      <c r="G10" s="65">
        <f>SUM(C10:F10)</f>
        <v>1299.1334400000001</v>
      </c>
      <c r="H10" s="125" t="s">
        <v>125</v>
      </c>
      <c r="I10" s="201">
        <f>SUM(M10*K10)</f>
        <v>108.26112000000001</v>
      </c>
      <c r="J10" s="201" t="s">
        <v>238</v>
      </c>
      <c r="K10" s="201">
        <v>0.13980000000000001</v>
      </c>
      <c r="L10" s="201"/>
      <c r="M10" s="207">
        <f>SUM(J1)</f>
        <v>774.4</v>
      </c>
      <c r="N10" s="202"/>
      <c r="O10" s="201">
        <f>SUM(S10*Q10)</f>
        <v>108.26112000000001</v>
      </c>
      <c r="P10" s="201" t="s">
        <v>238</v>
      </c>
      <c r="Q10" s="201">
        <v>0.13980000000000001</v>
      </c>
      <c r="R10" s="201"/>
      <c r="S10" s="130">
        <f>SUM(J1)</f>
        <v>774.4</v>
      </c>
      <c r="T10" s="202"/>
      <c r="U10" s="201">
        <f>SUM(Y10*W10)</f>
        <v>108.26112000000001</v>
      </c>
      <c r="V10" s="201" t="s">
        <v>238</v>
      </c>
      <c r="W10" s="201">
        <v>0.13980000000000001</v>
      </c>
      <c r="X10" s="201"/>
      <c r="Y10" s="130">
        <f>SUM(J1)</f>
        <v>774.4</v>
      </c>
      <c r="Z10" s="373"/>
    </row>
    <row r="11" spans="1:26" ht="20.100000000000001" customHeight="1">
      <c r="A11" s="8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774.4</v>
      </c>
      <c r="N11" s="202"/>
      <c r="O11" s="201"/>
      <c r="P11" s="201" t="s">
        <v>238</v>
      </c>
      <c r="Q11" s="201"/>
      <c r="R11" s="201">
        <v>0.15</v>
      </c>
      <c r="S11" s="201">
        <f>SUM(J1)</f>
        <v>774.4</v>
      </c>
      <c r="T11" s="202"/>
      <c r="U11" s="201"/>
      <c r="V11" s="201" t="s">
        <v>238</v>
      </c>
      <c r="W11" s="201"/>
      <c r="X11" s="201">
        <v>0.15</v>
      </c>
      <c r="Y11" s="130">
        <f>SUM(J1)</f>
        <v>774.4</v>
      </c>
      <c r="Z11" s="373"/>
    </row>
    <row r="12" spans="1:26" ht="20.100000000000001" customHeight="1">
      <c r="A12" s="8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49.5" customHeight="1">
      <c r="A13" s="83"/>
      <c r="B13" s="7" t="s">
        <v>10</v>
      </c>
      <c r="C13" s="9"/>
      <c r="D13" s="9"/>
      <c r="E13" s="9"/>
      <c r="F13" s="9"/>
      <c r="G13" s="65"/>
      <c r="H13" s="125" t="s">
        <v>120</v>
      </c>
      <c r="I13" s="201">
        <f>SUM(K13*M13)</f>
        <v>33.841279999999998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774.4</v>
      </c>
      <c r="N13" s="203"/>
      <c r="O13" s="201">
        <f>SUM(Q13*S13)</f>
        <v>33.841279999999998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774.4</v>
      </c>
      <c r="T13" s="203"/>
      <c r="U13" s="201">
        <f>SUM(W13*Y13)</f>
        <v>33.841279999999998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774.4</v>
      </c>
      <c r="Z13" s="3"/>
    </row>
    <row r="14" spans="1:26" ht="44.25" customHeight="1" outlineLevel="1">
      <c r="A14" s="16"/>
      <c r="B14" s="7" t="s">
        <v>11</v>
      </c>
      <c r="C14" s="9"/>
      <c r="D14" s="9"/>
      <c r="E14" s="9"/>
      <c r="F14" s="9"/>
      <c r="G14" s="65"/>
      <c r="H14" s="125" t="s">
        <v>11</v>
      </c>
      <c r="I14" s="201">
        <f>SUM(K14*M14)</f>
        <v>49.71647999999999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774.4</v>
      </c>
      <c r="N14" s="203"/>
      <c r="O14" s="201">
        <f>SUM(S14*Q14)</f>
        <v>49.71647999999999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774.4</v>
      </c>
      <c r="T14" s="203"/>
      <c r="U14" s="201">
        <f>SUM(Y14*W14)</f>
        <v>49.71647999999999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774.4</v>
      </c>
      <c r="Z14" s="3"/>
    </row>
    <row r="15" spans="1:26" ht="32.25" customHeight="1" outlineLevel="1" thickBot="1">
      <c r="A15" s="16"/>
      <c r="B15" s="7" t="s">
        <v>12</v>
      </c>
      <c r="C15" s="6">
        <f>SUM(I15+I16)*3</f>
        <v>91.277063999999996</v>
      </c>
      <c r="D15" s="6">
        <f>SUM(I15+I16)*2+O15+O16</f>
        <v>91.277063999999996</v>
      </c>
      <c r="E15" s="6">
        <f>SUM(O15+O16)*2+U15+U16</f>
        <v>91.277063999999996</v>
      </c>
      <c r="F15" s="6">
        <f>SUM(U15+U16)*3</f>
        <v>91.277063999999996</v>
      </c>
      <c r="G15" s="65">
        <f t="shared" ref="G15" si="1">SUM(C15:F15)</f>
        <v>365.10825599999998</v>
      </c>
      <c r="H15" s="125" t="s">
        <v>118</v>
      </c>
      <c r="I15" s="201">
        <f>SUM(J15*K15*M15)</f>
        <v>22.000247999999999</v>
      </c>
      <c r="J15" s="201">
        <v>0.24</v>
      </c>
      <c r="K15" s="201">
        <v>10.1853</v>
      </c>
      <c r="L15" s="201"/>
      <c r="M15" s="208">
        <f>SUM(J4)</f>
        <v>9</v>
      </c>
      <c r="N15" s="203"/>
      <c r="O15" s="201">
        <f>SUM(P15*Q15*S15)</f>
        <v>22.000247999999999</v>
      </c>
      <c r="P15" s="201">
        <v>0.24</v>
      </c>
      <c r="Q15" s="201">
        <v>10.1853</v>
      </c>
      <c r="R15" s="201"/>
      <c r="S15" s="201">
        <f>SUM(J4)</f>
        <v>9</v>
      </c>
      <c r="T15" s="203"/>
      <c r="U15" s="201">
        <f>SUM(V15*W15*Y15)</f>
        <v>22.000247999999999</v>
      </c>
      <c r="V15" s="201">
        <v>0.24</v>
      </c>
      <c r="W15" s="201">
        <v>10.1853</v>
      </c>
      <c r="X15" s="201"/>
      <c r="Y15" s="201">
        <f>SUM(J4)</f>
        <v>9</v>
      </c>
    </row>
    <row r="16" spans="1:26" ht="20.100000000000001" customHeight="1">
      <c r="A16" s="82">
        <v>2</v>
      </c>
      <c r="B16" s="20" t="s">
        <v>16</v>
      </c>
      <c r="C16" s="27">
        <f>SUM(C17:C19)</f>
        <v>0</v>
      </c>
      <c r="D16" s="27">
        <f t="shared" ref="D16:G16" si="2">SUM(D17:D19)</f>
        <v>0</v>
      </c>
      <c r="E16" s="27">
        <f t="shared" si="2"/>
        <v>0</v>
      </c>
      <c r="F16" s="27">
        <f t="shared" si="2"/>
        <v>0</v>
      </c>
      <c r="G16" s="27">
        <f t="shared" si="2"/>
        <v>0</v>
      </c>
      <c r="H16" s="125"/>
      <c r="I16" s="201">
        <f>SUM(J16*L16*M16)</f>
        <v>8.42544</v>
      </c>
      <c r="J16" s="201">
        <v>0.24</v>
      </c>
      <c r="K16" s="201"/>
      <c r="L16" s="201">
        <v>11.702</v>
      </c>
      <c r="M16" s="201">
        <f>SUM(K4)</f>
        <v>3</v>
      </c>
      <c r="O16" s="201">
        <f>SUM(P16*R16*S16)</f>
        <v>8.42544</v>
      </c>
      <c r="P16" s="201">
        <v>0.24</v>
      </c>
      <c r="Q16" s="201"/>
      <c r="R16" s="201">
        <v>11.702</v>
      </c>
      <c r="S16" s="201">
        <f>SUM(K4)</f>
        <v>3</v>
      </c>
      <c r="U16" s="201">
        <f>SUM(V16*X16*Y16)</f>
        <v>8.42544</v>
      </c>
      <c r="V16" s="201">
        <v>0.24</v>
      </c>
      <c r="W16" s="201"/>
      <c r="X16" s="201">
        <v>11.702</v>
      </c>
      <c r="Y16" s="201">
        <f>SUM(K4)</f>
        <v>3</v>
      </c>
    </row>
    <row r="17" spans="1:35" ht="39" customHeight="1" outlineLevel="1">
      <c r="A17" s="21"/>
      <c r="B17" s="7" t="s">
        <v>20</v>
      </c>
      <c r="C17" s="9"/>
      <c r="D17" s="9"/>
      <c r="E17" s="9"/>
      <c r="F17" s="9"/>
      <c r="G17" s="66"/>
      <c r="H17" s="126" t="s">
        <v>121</v>
      </c>
      <c r="I17" s="201">
        <f>SUM(K17*M17)</f>
        <v>17.036799999999999</v>
      </c>
      <c r="J17" s="201" t="s">
        <v>238</v>
      </c>
      <c r="K17" s="201">
        <v>2.1999999999999999E-2</v>
      </c>
      <c r="L17" s="201"/>
      <c r="M17" s="201">
        <f>SUM(J1)</f>
        <v>774.4</v>
      </c>
      <c r="N17" s="203"/>
      <c r="O17" s="201">
        <f>SUM(Q17*S17)</f>
        <v>17.036799999999999</v>
      </c>
      <c r="P17" s="201" t="s">
        <v>238</v>
      </c>
      <c r="Q17" s="201">
        <v>2.1999999999999999E-2</v>
      </c>
      <c r="R17" s="201"/>
      <c r="S17" s="201">
        <f>SUM(J1)</f>
        <v>774.4</v>
      </c>
      <c r="T17" s="203"/>
      <c r="U17" s="201">
        <f>SUM(W17*Y17)</f>
        <v>17.036799999999999</v>
      </c>
      <c r="V17" s="201" t="s">
        <v>238</v>
      </c>
      <c r="W17" s="201">
        <v>2.1999999999999999E-2</v>
      </c>
      <c r="X17" s="201"/>
      <c r="Y17" s="201">
        <f>SUM(J1)</f>
        <v>774.4</v>
      </c>
    </row>
    <row r="18" spans="1:35" ht="40.5" customHeight="1" outlineLevel="1">
      <c r="A18" s="21"/>
      <c r="B18" s="7" t="s">
        <v>14</v>
      </c>
      <c r="C18" s="6"/>
      <c r="D18" s="6"/>
      <c r="E18" s="6"/>
      <c r="F18" s="6"/>
      <c r="G18" s="66"/>
      <c r="H18" s="126" t="s">
        <v>122</v>
      </c>
      <c r="I18" s="201">
        <f>SUM(K18*M18)*1.5</f>
        <v>15.84</v>
      </c>
      <c r="J18" s="201" t="s">
        <v>129</v>
      </c>
      <c r="K18" s="201">
        <v>0.88</v>
      </c>
      <c r="L18" s="201"/>
      <c r="M18" s="201">
        <f>SUM(J4+K4)</f>
        <v>12</v>
      </c>
      <c r="N18" s="203"/>
      <c r="O18" s="201">
        <f>SUM(Q18*S18)*1.5</f>
        <v>15.84</v>
      </c>
      <c r="P18" s="201" t="s">
        <v>129</v>
      </c>
      <c r="Q18" s="201">
        <v>0.88</v>
      </c>
      <c r="R18" s="201"/>
      <c r="S18" s="201">
        <f>SUM(J4+K4)</f>
        <v>12</v>
      </c>
      <c r="T18" s="203"/>
      <c r="U18" s="201">
        <f>SUM(W18*Y18)*1.5</f>
        <v>15.84</v>
      </c>
      <c r="V18" s="201" t="s">
        <v>129</v>
      </c>
      <c r="W18" s="201">
        <v>0.88</v>
      </c>
      <c r="X18" s="201"/>
      <c r="Y18" s="201">
        <f>SUM(J4+K4)</f>
        <v>12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82">
        <v>3</v>
      </c>
      <c r="B20" s="20" t="s">
        <v>17</v>
      </c>
      <c r="C20" s="15">
        <f>SUM(C21:C22)</f>
        <v>55.08</v>
      </c>
      <c r="D20" s="15">
        <f t="shared" ref="D20:F20" si="3">SUM(D21:D22)</f>
        <v>55.08</v>
      </c>
      <c r="E20" s="15">
        <f t="shared" si="3"/>
        <v>55.08</v>
      </c>
      <c r="F20" s="15">
        <f t="shared" si="3"/>
        <v>55.08</v>
      </c>
      <c r="G20" s="5">
        <f>SUM(G21:G22)</f>
        <v>220.32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19.080000000000002</v>
      </c>
      <c r="D21" s="8">
        <f>SUM(M21*3)</f>
        <v>19.080000000000002</v>
      </c>
      <c r="E21" s="8">
        <f>SUM(M21*3)</f>
        <v>19.080000000000002</v>
      </c>
      <c r="F21" s="8">
        <f>SUM(M21*3)</f>
        <v>19.080000000000002</v>
      </c>
      <c r="G21" s="66">
        <f>SUM(C21:F21)</f>
        <v>76.320000000000007</v>
      </c>
      <c r="H21" s="125" t="s">
        <v>117</v>
      </c>
      <c r="I21" s="94">
        <f>SUM(J5)</f>
        <v>6</v>
      </c>
      <c r="J21" s="95"/>
      <c r="K21" s="95">
        <v>1.06</v>
      </c>
      <c r="L21" s="95"/>
      <c r="M21" s="96">
        <f>I21*K21</f>
        <v>6.36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36</v>
      </c>
      <c r="D22" s="18">
        <f>SUM(M22*3)</f>
        <v>36</v>
      </c>
      <c r="E22" s="18">
        <f>SUM(M22*3)</f>
        <v>36</v>
      </c>
      <c r="F22" s="18">
        <f>SUM(M22*3)</f>
        <v>36</v>
      </c>
      <c r="G22" s="67">
        <f>SUM(C22:F22)</f>
        <v>144</v>
      </c>
      <c r="H22" s="126" t="s">
        <v>124</v>
      </c>
      <c r="I22" s="97">
        <f>SUM(J5)</f>
        <v>6</v>
      </c>
      <c r="J22" s="98"/>
      <c r="K22" s="98">
        <v>2</v>
      </c>
      <c r="L22" s="98"/>
      <c r="M22" s="99">
        <f>I22*K22</f>
        <v>12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SUM(C24)</f>
        <v>813.11999999999989</v>
      </c>
      <c r="D23" s="15">
        <f t="shared" ref="D23:F23" si="4">SUM(D24:D25)</f>
        <v>1231.2959999999998</v>
      </c>
      <c r="E23" s="15">
        <f t="shared" si="4"/>
        <v>1231.2959999999998</v>
      </c>
      <c r="F23" s="15">
        <f t="shared" si="4"/>
        <v>1231.2959999999998</v>
      </c>
      <c r="G23" s="5">
        <f>SUM(G24:G25)</f>
        <v>4925.1839999999993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813.11999999999989</v>
      </c>
      <c r="D24" s="6">
        <f>SUM(M24*3)</f>
        <v>813.11999999999989</v>
      </c>
      <c r="E24" s="6">
        <f>SUM(M24*3)</f>
        <v>813.11999999999989</v>
      </c>
      <c r="F24" s="6">
        <f>SUM(M24*3)</f>
        <v>813.11999999999989</v>
      </c>
      <c r="G24" s="66">
        <f t="shared" ref="G24:G29" si="5">SUM(C24:F24)</f>
        <v>3252.4799999999996</v>
      </c>
      <c r="H24" s="128" t="s">
        <v>251</v>
      </c>
      <c r="I24" s="88">
        <f>SUM(J1)</f>
        <v>774.4</v>
      </c>
      <c r="J24" s="89"/>
      <c r="K24" s="95">
        <v>0.35</v>
      </c>
      <c r="L24" s="95"/>
      <c r="M24" s="90">
        <f>SUM(I24*K24)</f>
        <v>271.03999999999996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418.17599999999999</v>
      </c>
      <c r="D25" s="18">
        <f>SUM(M25*3)</f>
        <v>418.17599999999999</v>
      </c>
      <c r="E25" s="18">
        <f>SUM(M25*3)</f>
        <v>418.17599999999999</v>
      </c>
      <c r="F25" s="18">
        <f>SUM(M25*3)</f>
        <v>418.17599999999999</v>
      </c>
      <c r="G25" s="67">
        <f t="shared" si="5"/>
        <v>1672.704</v>
      </c>
      <c r="H25" s="128" t="s">
        <v>252</v>
      </c>
      <c r="I25" s="91">
        <f>SUM(J1)</f>
        <v>774.4</v>
      </c>
      <c r="J25" s="93"/>
      <c r="K25" s="98">
        <v>0.18</v>
      </c>
      <c r="L25" s="98"/>
      <c r="M25" s="92">
        <f>SUM(I25*K25)</f>
        <v>139.392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6">SUM(D27:D28)</f>
        <v>0</v>
      </c>
      <c r="E26" s="22">
        <f t="shared" si="6"/>
        <v>0</v>
      </c>
      <c r="F26" s="22">
        <f t="shared" si="6"/>
        <v>0</v>
      </c>
      <c r="G26" s="29">
        <f t="shared" si="5"/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5"/>
        <v>0</v>
      </c>
      <c r="H27" s="178"/>
      <c r="I27" s="204">
        <f>SUM(J5)</f>
        <v>6</v>
      </c>
      <c r="J27" s="205"/>
      <c r="K27" s="206">
        <v>0.28000000000000003</v>
      </c>
      <c r="L27" s="205"/>
      <c r="M27" s="211">
        <f>SUM(I27*K27)</f>
        <v>1.6800000000000002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5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1284.2604239999998</v>
      </c>
      <c r="D29" s="41">
        <f>D9+D16+D20+D23+D26</f>
        <v>1702.4364239999998</v>
      </c>
      <c r="E29" s="41">
        <f>E9+E16+E20+E23+E26</f>
        <v>1702.4364239999998</v>
      </c>
      <c r="F29" s="41">
        <f>F9+F16+F20+F23+F26</f>
        <v>1702.4364239999998</v>
      </c>
      <c r="G29" s="42">
        <f t="shared" si="5"/>
        <v>6391.5696959999987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82">
        <v>1</v>
      </c>
      <c r="B31" s="14" t="s">
        <v>15</v>
      </c>
      <c r="C31" s="53">
        <f>SUM(C32:C35)</f>
        <v>324.78336000000002</v>
      </c>
      <c r="D31" s="53">
        <f>SUM(D32:D35)</f>
        <v>324.78336000000002</v>
      </c>
      <c r="E31" s="53">
        <f>SUM(E32:E35)</f>
        <v>324.78336000000002</v>
      </c>
      <c r="F31" s="53">
        <f>SUM(F32:F35)</f>
        <v>324.78336000000002</v>
      </c>
      <c r="G31" s="53">
        <f>SUM(G32:G35)</f>
        <v>1299.1334400000001</v>
      </c>
      <c r="H31" s="128" t="s">
        <v>253</v>
      </c>
      <c r="I31" s="88">
        <f>SUM(O1)</f>
        <v>776.1</v>
      </c>
      <c r="J31" s="89"/>
      <c r="K31" s="95">
        <v>0.35</v>
      </c>
      <c r="L31" s="95"/>
      <c r="M31" s="90">
        <f>SUM(I31*K31)</f>
        <v>271.63499999999999</v>
      </c>
    </row>
    <row r="32" spans="1:35" ht="20.100000000000001" customHeight="1" thickBot="1">
      <c r="A32" s="35"/>
      <c r="B32" s="7" t="s">
        <v>3</v>
      </c>
      <c r="C32" s="32">
        <f>C10</f>
        <v>324.78336000000002</v>
      </c>
      <c r="D32" s="32">
        <f>D10</f>
        <v>324.78336000000002</v>
      </c>
      <c r="E32" s="32">
        <f>E10</f>
        <v>324.78336000000002</v>
      </c>
      <c r="F32" s="32">
        <f>F10</f>
        <v>324.78336000000002</v>
      </c>
      <c r="G32" s="62">
        <f>SUM(C32:F32)</f>
        <v>1299.1334400000001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7">C13</f>
        <v>0</v>
      </c>
      <c r="D33" s="32">
        <f t="shared" si="7"/>
        <v>0</v>
      </c>
      <c r="E33" s="32">
        <f t="shared" si="7"/>
        <v>0</v>
      </c>
      <c r="F33" s="32">
        <f t="shared" si="7"/>
        <v>0</v>
      </c>
      <c r="G33" s="62">
        <f>SUM(C33:F33)</f>
        <v>0</v>
      </c>
    </row>
    <row r="34" spans="1:7" ht="57.75" customHeight="1">
      <c r="A34" s="35"/>
      <c r="B34" s="7" t="s">
        <v>41</v>
      </c>
      <c r="C34" s="32"/>
      <c r="D34" s="32"/>
      <c r="E34" s="32"/>
      <c r="F34" s="32"/>
      <c r="G34" s="62">
        <f>SUM(C34:F34)</f>
        <v>0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82">
        <v>2</v>
      </c>
      <c r="B36" s="20" t="s">
        <v>16</v>
      </c>
      <c r="C36" s="53">
        <f>SUM(C37:C38)</f>
        <v>0</v>
      </c>
      <c r="D36" s="53">
        <f t="shared" ref="D36:G36" si="8">SUM(D37:D38)</f>
        <v>0</v>
      </c>
      <c r="E36" s="53">
        <f t="shared" si="8"/>
        <v>0</v>
      </c>
      <c r="F36" s="53">
        <f t="shared" si="8"/>
        <v>0</v>
      </c>
      <c r="G36" s="53">
        <f t="shared" si="8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82" t="s">
        <v>28</v>
      </c>
      <c r="B39" s="20" t="s">
        <v>17</v>
      </c>
      <c r="C39" s="53">
        <f>SUM(C40:C41)</f>
        <v>55.08</v>
      </c>
      <c r="D39" s="53">
        <f t="shared" ref="D39:G39" si="9">SUM(D40:D41)</f>
        <v>55.08</v>
      </c>
      <c r="E39" s="53">
        <f t="shared" si="9"/>
        <v>55.08</v>
      </c>
      <c r="F39" s="53">
        <f t="shared" si="9"/>
        <v>55.08</v>
      </c>
      <c r="G39" s="53">
        <f t="shared" si="9"/>
        <v>220.32</v>
      </c>
    </row>
    <row r="40" spans="1:7" ht="20.100000000000001" customHeight="1">
      <c r="A40" s="35"/>
      <c r="B40" s="7" t="s">
        <v>40</v>
      </c>
      <c r="C40" s="32">
        <f t="shared" ref="C40:F41" si="10">C21</f>
        <v>19.080000000000002</v>
      </c>
      <c r="D40" s="32">
        <f t="shared" si="10"/>
        <v>19.080000000000002</v>
      </c>
      <c r="E40" s="32">
        <f t="shared" si="10"/>
        <v>19.080000000000002</v>
      </c>
      <c r="F40" s="32">
        <f t="shared" si="10"/>
        <v>19.080000000000002</v>
      </c>
      <c r="G40" s="62">
        <f>SUM(C40:F40)</f>
        <v>76.320000000000007</v>
      </c>
    </row>
    <row r="41" spans="1:7" s="4" customFormat="1" ht="20.100000000000001" customHeight="1" thickBot="1">
      <c r="A41" s="45"/>
      <c r="B41" s="17" t="s">
        <v>18</v>
      </c>
      <c r="C41" s="46">
        <f t="shared" si="10"/>
        <v>36</v>
      </c>
      <c r="D41" s="46">
        <f t="shared" si="10"/>
        <v>36</v>
      </c>
      <c r="E41" s="46">
        <f t="shared" si="10"/>
        <v>36</v>
      </c>
      <c r="F41" s="46">
        <f t="shared" si="10"/>
        <v>36</v>
      </c>
      <c r="G41" s="62">
        <f>SUM(C41:F41)</f>
        <v>144</v>
      </c>
    </row>
    <row r="42" spans="1:7" ht="20.100000000000001" customHeight="1">
      <c r="A42" s="82" t="s">
        <v>9</v>
      </c>
      <c r="B42" s="20" t="s">
        <v>33</v>
      </c>
      <c r="C42" s="53">
        <f>SUM(C43:C58)</f>
        <v>819.94499999999994</v>
      </c>
      <c r="D42" s="53">
        <f>SUM(D43:D58)</f>
        <v>819.94499999999994</v>
      </c>
      <c r="E42" s="53">
        <f>SUM(E43:E58)</f>
        <v>819.94499999999994</v>
      </c>
      <c r="F42" s="53">
        <f>SUM(F43:F58)</f>
        <v>819.94499999999994</v>
      </c>
      <c r="G42" s="55">
        <f t="shared" ref="G42:G51" si="11">SUM(C42:F42)</f>
        <v>3279.7799999999997</v>
      </c>
    </row>
    <row r="43" spans="1:7" ht="20.100000000000001" customHeight="1">
      <c r="A43" s="47"/>
      <c r="B43" s="38" t="s">
        <v>38</v>
      </c>
      <c r="C43" s="32">
        <f>SUM(M31*3)</f>
        <v>814.90499999999997</v>
      </c>
      <c r="D43" s="32">
        <f>SUM(M31*3)</f>
        <v>814.90499999999997</v>
      </c>
      <c r="E43" s="32">
        <f>SUM(M31*3)</f>
        <v>814.90499999999997</v>
      </c>
      <c r="F43" s="32">
        <f>SUM(M31*3)</f>
        <v>814.90499999999997</v>
      </c>
      <c r="G43" s="62">
        <f t="shared" si="11"/>
        <v>3259.62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1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1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1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1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1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1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5.0400000000000009</v>
      </c>
      <c r="D51" s="32">
        <f>SUM(M27*3)</f>
        <v>5.0400000000000009</v>
      </c>
      <c r="E51" s="32">
        <f>SUM(M27*3)</f>
        <v>5.0400000000000009</v>
      </c>
      <c r="F51" s="32">
        <f>SUM(M27*3)</f>
        <v>5.0400000000000009</v>
      </c>
      <c r="G51" s="62">
        <f t="shared" si="11"/>
        <v>20.160000000000004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2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2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2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2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2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2"/>
        <v>0</v>
      </c>
    </row>
    <row r="58" spans="1:14" ht="20.100000000000001" customHeight="1" thickBot="1">
      <c r="A58" s="52"/>
      <c r="B58" s="39" t="s">
        <v>27</v>
      </c>
      <c r="C58" s="46"/>
      <c r="D58" s="46"/>
      <c r="E58" s="46"/>
      <c r="F58" s="46"/>
      <c r="G58" s="64">
        <f>SUM(C58:F58)</f>
        <v>0</v>
      </c>
    </row>
    <row r="59" spans="1:14" ht="24.6" customHeight="1" outlineLevel="1" thickBot="1">
      <c r="A59" s="378" t="s">
        <v>37</v>
      </c>
      <c r="B59" s="379"/>
      <c r="C59" s="30">
        <f>C31+C36+C39+C42</f>
        <v>1199.80836</v>
      </c>
      <c r="D59" s="30">
        <f>D31+D36+D39+D42</f>
        <v>1199.80836</v>
      </c>
      <c r="E59" s="30">
        <f>E31+E36+E39+E42</f>
        <v>1199.80836</v>
      </c>
      <c r="F59" s="30">
        <f>F31+F36+F39+F42</f>
        <v>1199.80836</v>
      </c>
      <c r="G59" s="31">
        <f>G31+G36+G39+G42</f>
        <v>4799.23344</v>
      </c>
    </row>
    <row r="60" spans="1:14" ht="24.6" customHeight="1" outlineLevel="1">
      <c r="A60" s="80"/>
      <c r="B60" s="60"/>
      <c r="C60" s="61">
        <f>C29-C59</f>
        <v>84.452063999999837</v>
      </c>
      <c r="D60" s="61">
        <f>D29-D59</f>
        <v>502.62806399999977</v>
      </c>
      <c r="E60" s="61">
        <f>E29-E59</f>
        <v>502.62806399999977</v>
      </c>
      <c r="F60" s="61">
        <f>F29-F59</f>
        <v>502.62806399999977</v>
      </c>
      <c r="G60" s="61">
        <f>G29-G59</f>
        <v>1592.3362559999987</v>
      </c>
    </row>
    <row r="61" spans="1:14">
      <c r="A61" s="58"/>
      <c r="B61" s="7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1:14" ht="39.75" hidden="1" customHeight="1">
      <c r="A62" s="58"/>
      <c r="B62" s="7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 hidden="1">
      <c r="A63" s="58"/>
      <c r="C63" s="56">
        <f>C16*1.2/100</f>
        <v>0</v>
      </c>
      <c r="D63" s="56">
        <f>D16*1.2/100</f>
        <v>0</v>
      </c>
      <c r="E63" s="56">
        <f>E16*1.2/100</f>
        <v>0</v>
      </c>
      <c r="F63" s="56">
        <f>F16*1.2/100</f>
        <v>0</v>
      </c>
    </row>
    <row r="64" spans="1:14" hidden="1">
      <c r="A64" s="59"/>
      <c r="C64" s="56">
        <f>(C16-C63)*0.5/100</f>
        <v>0</v>
      </c>
      <c r="D64" s="56">
        <f>(D16-D63)*0.5/100</f>
        <v>0</v>
      </c>
      <c r="E64" s="56">
        <f>(E16-E63)*0.5/100</f>
        <v>0</v>
      </c>
      <c r="F64" s="56">
        <f>(F16-F63)*0.5/100</f>
        <v>0</v>
      </c>
    </row>
    <row r="65" spans="1:15" hidden="1">
      <c r="C65" s="3">
        <f>C9*1.2/100</f>
        <v>4.9927250879999994</v>
      </c>
      <c r="D65" s="3">
        <f>D9*1.2/100</f>
        <v>4.9927250879999994</v>
      </c>
      <c r="E65" s="3">
        <f>E9*1.2/100</f>
        <v>4.9927250879999994</v>
      </c>
      <c r="F65" s="3">
        <f>F9*1.2/100</f>
        <v>4.9927250879999994</v>
      </c>
    </row>
    <row r="66" spans="1:15" s="3" customFormat="1" hidden="1">
      <c r="A66" s="2"/>
      <c r="B66" s="2"/>
      <c r="C66" s="3">
        <f>(C9-C65)*4/100</f>
        <v>16.44270795648</v>
      </c>
      <c r="D66" s="3">
        <f>(D9-D65)*4/100</f>
        <v>16.44270795648</v>
      </c>
      <c r="E66" s="3">
        <f>(E9-E65)*4/100</f>
        <v>16.44270795648</v>
      </c>
      <c r="F66" s="3">
        <f>(F9-F65)*4/100</f>
        <v>16.44270795648</v>
      </c>
      <c r="H66" s="2"/>
      <c r="I66" s="2"/>
      <c r="J66" s="2"/>
      <c r="K66" s="2"/>
      <c r="L66" s="2"/>
      <c r="M66" s="2"/>
      <c r="N66" s="2"/>
      <c r="O66" s="2"/>
    </row>
    <row r="67" spans="1:15" s="3" customFormat="1" hidden="1">
      <c r="A67" s="2"/>
      <c r="B67" s="2"/>
      <c r="C67" s="3">
        <f>SUM(C63:C66)</f>
        <v>21.43543304448</v>
      </c>
      <c r="D67" s="3">
        <f t="shared" ref="D67:F67" si="13">SUM(D63:D66)</f>
        <v>21.43543304448</v>
      </c>
      <c r="E67" s="3">
        <f t="shared" si="13"/>
        <v>21.43543304448</v>
      </c>
      <c r="F67" s="3">
        <f t="shared" si="13"/>
        <v>21.43543304448</v>
      </c>
      <c r="H67" s="2"/>
      <c r="I67" s="2"/>
      <c r="J67" s="2"/>
      <c r="K67" s="2"/>
      <c r="L67" s="2"/>
      <c r="M67" s="2"/>
      <c r="N67" s="2"/>
      <c r="O67" s="2"/>
    </row>
  </sheetData>
  <dataConsolidate/>
  <mergeCells count="19">
    <mergeCell ref="A30:B30"/>
    <mergeCell ref="A59:B59"/>
    <mergeCell ref="A8:B8"/>
    <mergeCell ref="A29:B29"/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I8:M8"/>
    <mergeCell ref="O8:S8"/>
    <mergeCell ref="U8:Y8"/>
    <mergeCell ref="Z10:Z12"/>
    <mergeCell ref="H28:AA28"/>
  </mergeCells>
  <pageMargins left="0.70866141732283472" right="0.70866141732283472" top="0.74803149606299213" bottom="0.74803149606299213" header="0.31496062992125984" footer="0.31496062992125984"/>
  <pageSetup paperSize="9" scale="48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89E8-EF9E-4440-B355-AEF0A5289F0B}">
  <sheetPr>
    <tabColor rgb="FFFFC000"/>
    <pageSetUpPr fitToPage="1"/>
  </sheetPr>
  <dimension ref="A1:AI66"/>
  <sheetViews>
    <sheetView showGridLines="0" view="pageBreakPreview" topLeftCell="A19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7.28515625" style="2" customWidth="1"/>
    <col min="14" max="16384" width="10.140625" style="2"/>
  </cols>
  <sheetData>
    <row r="1" spans="1:26" ht="56.25">
      <c r="A1" s="354"/>
      <c r="B1" s="354"/>
      <c r="C1" s="354"/>
      <c r="D1" s="104"/>
      <c r="E1" s="104"/>
      <c r="F1" s="104"/>
      <c r="G1" s="104"/>
      <c r="I1" s="232" t="s">
        <v>236</v>
      </c>
      <c r="J1" s="233">
        <f>SUM(Площадь!L14)</f>
        <v>774</v>
      </c>
      <c r="K1" s="234" t="s">
        <v>235</v>
      </c>
      <c r="L1" s="125"/>
      <c r="O1" s="2">
        <f>SUM(Площадь!M14)</f>
        <v>774</v>
      </c>
    </row>
    <row r="2" spans="1:26">
      <c r="A2" s="354"/>
      <c r="B2" s="354"/>
      <c r="C2" s="354"/>
      <c r="D2" s="354"/>
      <c r="E2" s="354"/>
      <c r="F2" s="354"/>
      <c r="G2" s="354"/>
      <c r="I2" s="232"/>
      <c r="J2" s="233"/>
      <c r="K2" s="235"/>
      <c r="L2" s="125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SUM(Площадь!R14)</f>
        <v>6</v>
      </c>
      <c r="K4" s="4">
        <f>SUM(Площадь!S14)</f>
        <v>2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SUM(Площадь!Q14)</f>
        <v>6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385.46697600000005</v>
      </c>
      <c r="D9" s="15">
        <f t="shared" ref="D9:F9" si="0">SUM(D10:D15)</f>
        <v>385.46697600000005</v>
      </c>
      <c r="E9" s="15">
        <f t="shared" si="0"/>
        <v>385.46697600000005</v>
      </c>
      <c r="F9" s="15">
        <f t="shared" si="0"/>
        <v>385.46697600000005</v>
      </c>
      <c r="G9" s="15">
        <f>SUM(G10:G15)</f>
        <v>1541.8679040000002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324.61560000000003</v>
      </c>
      <c r="D10" s="9">
        <f>SUM(I10*2+O10*1)</f>
        <v>324.61560000000003</v>
      </c>
      <c r="E10" s="9">
        <f>SUM(O10*2)+U10*1</f>
        <v>324.61560000000003</v>
      </c>
      <c r="F10" s="9">
        <f>SUM(U10*3)</f>
        <v>324.61560000000003</v>
      </c>
      <c r="G10" s="65">
        <f>SUM(C10:F10)</f>
        <v>1298.4624000000001</v>
      </c>
      <c r="H10" s="125" t="s">
        <v>125</v>
      </c>
      <c r="I10" s="201">
        <f>SUM(M10*K10)</f>
        <v>108.2052</v>
      </c>
      <c r="J10" s="201" t="s">
        <v>238</v>
      </c>
      <c r="K10" s="201">
        <v>0.13980000000000001</v>
      </c>
      <c r="L10" s="201"/>
      <c r="M10" s="207">
        <f>SUM(J1)</f>
        <v>774</v>
      </c>
      <c r="N10" s="202"/>
      <c r="O10" s="201">
        <f>SUM(S10*Q10)</f>
        <v>108.2052</v>
      </c>
      <c r="P10" s="201" t="s">
        <v>238</v>
      </c>
      <c r="Q10" s="201">
        <v>0.13980000000000001</v>
      </c>
      <c r="R10" s="201"/>
      <c r="S10" s="130">
        <f>SUM(J1)</f>
        <v>774</v>
      </c>
      <c r="T10" s="202"/>
      <c r="U10" s="201">
        <f>SUM(Y10*W10)</f>
        <v>108.2052</v>
      </c>
      <c r="V10" s="201" t="s">
        <v>238</v>
      </c>
      <c r="W10" s="201">
        <v>0.13980000000000001</v>
      </c>
      <c r="X10" s="201"/>
      <c r="Y10" s="130">
        <f>SUM(J1)</f>
        <v>774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774</v>
      </c>
      <c r="N11" s="202"/>
      <c r="O11" s="201"/>
      <c r="P11" s="201" t="s">
        <v>238</v>
      </c>
      <c r="Q11" s="201"/>
      <c r="R11" s="201">
        <v>0.15</v>
      </c>
      <c r="S11" s="201">
        <f>SUM(J1)</f>
        <v>774</v>
      </c>
      <c r="T11" s="202"/>
      <c r="U11" s="201"/>
      <c r="V11" s="201" t="s">
        <v>238</v>
      </c>
      <c r="W11" s="201"/>
      <c r="X11" s="201">
        <v>0.15</v>
      </c>
      <c r="Y11" s="130">
        <f>SUM(J1)</f>
        <v>774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/>
      <c r="D13" s="9"/>
      <c r="E13" s="9"/>
      <c r="F13" s="9"/>
      <c r="G13" s="65"/>
      <c r="H13" s="125" t="s">
        <v>120</v>
      </c>
      <c r="I13" s="201">
        <f>SUM(K13*M13)</f>
        <v>33.823800000000006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774</v>
      </c>
      <c r="N13" s="203"/>
      <c r="O13" s="201">
        <f>SUM(Q13*S13)</f>
        <v>33.823800000000006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774</v>
      </c>
      <c r="T13" s="203"/>
      <c r="U13" s="201">
        <f>SUM(W13*Y13)</f>
        <v>33.823800000000006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774</v>
      </c>
      <c r="Z13" s="3"/>
    </row>
    <row r="14" spans="1:26" ht="20.100000000000001" customHeight="1" outlineLevel="1">
      <c r="A14" s="16"/>
      <c r="B14" s="7" t="s">
        <v>11</v>
      </c>
      <c r="C14" s="9"/>
      <c r="D14" s="9"/>
      <c r="E14" s="9"/>
      <c r="F14" s="9"/>
      <c r="G14" s="65"/>
      <c r="H14" s="125" t="s">
        <v>11</v>
      </c>
      <c r="I14" s="201">
        <f>SUM(K14*M14)</f>
        <v>49.690799999999996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774</v>
      </c>
      <c r="N14" s="203"/>
      <c r="O14" s="201">
        <f>SUM(S14*Q14)</f>
        <v>49.690799999999996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774</v>
      </c>
      <c r="T14" s="203"/>
      <c r="U14" s="201">
        <f>SUM(Y14*W14)</f>
        <v>49.690799999999996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774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60.851375999999995</v>
      </c>
      <c r="D15" s="6">
        <f>SUM(I15+I16)*2+O15+O16</f>
        <v>60.851375999999995</v>
      </c>
      <c r="E15" s="6">
        <f>SUM(O15+O16)*2+U15+U16</f>
        <v>60.851375999999995</v>
      </c>
      <c r="F15" s="6">
        <f>SUM(U15+U16)*3</f>
        <v>60.851375999999995</v>
      </c>
      <c r="G15" s="65">
        <f t="shared" ref="G15" si="1">SUM(C15:F15)</f>
        <v>243.40550399999998</v>
      </c>
      <c r="H15" s="125" t="s">
        <v>118</v>
      </c>
      <c r="I15" s="201">
        <f>SUM(J15*K15*M15)</f>
        <v>14.666831999999999</v>
      </c>
      <c r="J15" s="201">
        <v>0.24</v>
      </c>
      <c r="K15" s="201">
        <v>10.1853</v>
      </c>
      <c r="L15" s="201"/>
      <c r="M15" s="208">
        <f>SUM(J4)</f>
        <v>6</v>
      </c>
      <c r="N15" s="203"/>
      <c r="O15" s="201">
        <f>SUM(P15*Q15*S15)</f>
        <v>14.666831999999999</v>
      </c>
      <c r="P15" s="201">
        <v>0.24</v>
      </c>
      <c r="Q15" s="201">
        <v>10.1853</v>
      </c>
      <c r="R15" s="201"/>
      <c r="S15" s="201">
        <f>SUM(J4)</f>
        <v>6</v>
      </c>
      <c r="T15" s="203"/>
      <c r="U15" s="201">
        <f>SUM(V15*W15*Y15)</f>
        <v>14.666831999999999</v>
      </c>
      <c r="V15" s="201">
        <v>0.24</v>
      </c>
      <c r="W15" s="201">
        <v>10.1853</v>
      </c>
      <c r="X15" s="201"/>
      <c r="Y15" s="201">
        <f>SUM(J4)</f>
        <v>6</v>
      </c>
    </row>
    <row r="16" spans="1:26" ht="20.100000000000001" customHeight="1">
      <c r="A16" s="102">
        <v>2</v>
      </c>
      <c r="B16" s="20" t="s">
        <v>16</v>
      </c>
      <c r="C16" s="27">
        <f>SUM(C17:C19)</f>
        <v>0</v>
      </c>
      <c r="D16" s="27">
        <f t="shared" ref="D16:G16" si="2">SUM(D17:D19)</f>
        <v>0</v>
      </c>
      <c r="E16" s="27">
        <f t="shared" si="2"/>
        <v>0</v>
      </c>
      <c r="F16" s="27">
        <f t="shared" si="2"/>
        <v>0</v>
      </c>
      <c r="G16" s="27">
        <f t="shared" si="2"/>
        <v>0</v>
      </c>
      <c r="H16" s="125"/>
      <c r="I16" s="201">
        <f>SUM(J16*L16*M16)</f>
        <v>5.6169599999999997</v>
      </c>
      <c r="J16" s="201">
        <v>0.24</v>
      </c>
      <c r="K16" s="201"/>
      <c r="L16" s="201">
        <v>11.702</v>
      </c>
      <c r="M16" s="201">
        <f>SUM(K4)</f>
        <v>2</v>
      </c>
      <c r="O16" s="201">
        <f>SUM(P16*R16*S16)</f>
        <v>5.6169599999999997</v>
      </c>
      <c r="P16" s="201">
        <v>0.24</v>
      </c>
      <c r="Q16" s="201"/>
      <c r="R16" s="201">
        <v>11.702</v>
      </c>
      <c r="S16" s="201">
        <f>SUM(K4)</f>
        <v>2</v>
      </c>
      <c r="U16" s="201">
        <f>SUM(V16*X16*Y16)</f>
        <v>5.6169599999999997</v>
      </c>
      <c r="V16" s="201">
        <v>0.24</v>
      </c>
      <c r="W16" s="201"/>
      <c r="X16" s="201">
        <v>11.702</v>
      </c>
      <c r="Y16" s="201">
        <f>SUM(K4)</f>
        <v>2</v>
      </c>
    </row>
    <row r="17" spans="1:35" ht="39" customHeight="1" outlineLevel="1">
      <c r="A17" s="21"/>
      <c r="B17" s="7" t="s">
        <v>20</v>
      </c>
      <c r="C17" s="9"/>
      <c r="D17" s="9"/>
      <c r="E17" s="9"/>
      <c r="F17" s="9"/>
      <c r="G17" s="66"/>
      <c r="H17" s="126" t="s">
        <v>121</v>
      </c>
      <c r="I17" s="201">
        <f>SUM(K17*M17)</f>
        <v>17.027999999999999</v>
      </c>
      <c r="J17" s="201" t="s">
        <v>238</v>
      </c>
      <c r="K17" s="201">
        <v>2.1999999999999999E-2</v>
      </c>
      <c r="L17" s="201"/>
      <c r="M17" s="201">
        <f>SUM(J1)</f>
        <v>774</v>
      </c>
      <c r="N17" s="203"/>
      <c r="O17" s="201">
        <f>SUM(Q17*S17)</f>
        <v>17.027999999999999</v>
      </c>
      <c r="P17" s="201" t="s">
        <v>238</v>
      </c>
      <c r="Q17" s="201">
        <v>2.1999999999999999E-2</v>
      </c>
      <c r="R17" s="201"/>
      <c r="S17" s="201">
        <f>SUM(J1)</f>
        <v>774</v>
      </c>
      <c r="T17" s="203"/>
      <c r="U17" s="201">
        <f>SUM(W17*Y17)</f>
        <v>17.027999999999999</v>
      </c>
      <c r="V17" s="201" t="s">
        <v>238</v>
      </c>
      <c r="W17" s="201">
        <v>2.1999999999999999E-2</v>
      </c>
      <c r="X17" s="201"/>
      <c r="Y17" s="201">
        <f>SUM(J1)</f>
        <v>774</v>
      </c>
    </row>
    <row r="18" spans="1:35" ht="40.5" customHeight="1" outlineLevel="1">
      <c r="A18" s="21"/>
      <c r="B18" s="7" t="s">
        <v>14</v>
      </c>
      <c r="C18" s="6"/>
      <c r="D18" s="6"/>
      <c r="E18" s="6"/>
      <c r="F18" s="6"/>
      <c r="G18" s="66"/>
      <c r="H18" s="126" t="s">
        <v>122</v>
      </c>
      <c r="I18" s="201">
        <f>SUM(K18*M18)*1.5</f>
        <v>10.56</v>
      </c>
      <c r="J18" s="201" t="s">
        <v>129</v>
      </c>
      <c r="K18" s="201">
        <v>0.88</v>
      </c>
      <c r="L18" s="201"/>
      <c r="M18" s="201">
        <f>SUM(J4+K4)</f>
        <v>8</v>
      </c>
      <c r="N18" s="203"/>
      <c r="O18" s="201">
        <f>SUM(Q18*S18)*1.5</f>
        <v>10.56</v>
      </c>
      <c r="P18" s="201" t="s">
        <v>129</v>
      </c>
      <c r="Q18" s="201">
        <v>0.88</v>
      </c>
      <c r="R18" s="201"/>
      <c r="S18" s="201">
        <f>SUM(J4+K4)</f>
        <v>8</v>
      </c>
      <c r="T18" s="203"/>
      <c r="U18" s="201">
        <f>SUM(W18*Y18)*1.5</f>
        <v>10.56</v>
      </c>
      <c r="V18" s="201" t="s">
        <v>129</v>
      </c>
      <c r="W18" s="201">
        <v>0.88</v>
      </c>
      <c r="X18" s="201"/>
      <c r="Y18" s="201">
        <f>SUM(J4+K4)</f>
        <v>8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55.08</v>
      </c>
      <c r="D20" s="15">
        <f t="shared" ref="D20:F20" si="3">SUM(D21:D22)</f>
        <v>55.08</v>
      </c>
      <c r="E20" s="15">
        <f t="shared" si="3"/>
        <v>55.08</v>
      </c>
      <c r="F20" s="15">
        <f t="shared" si="3"/>
        <v>55.08</v>
      </c>
      <c r="G20" s="5">
        <f>SUM(G21:G22)</f>
        <v>220.32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19.080000000000002</v>
      </c>
      <c r="D21" s="8">
        <f>SUM(M21*3)</f>
        <v>19.080000000000002</v>
      </c>
      <c r="E21" s="8">
        <f>SUM(M21*3)</f>
        <v>19.080000000000002</v>
      </c>
      <c r="F21" s="8">
        <f>SUM(M21*3)</f>
        <v>19.080000000000002</v>
      </c>
      <c r="G21" s="66">
        <f>SUM(C21:F21)</f>
        <v>76.320000000000007</v>
      </c>
      <c r="H21" s="125" t="s">
        <v>117</v>
      </c>
      <c r="I21" s="94">
        <f>SUM(J5)</f>
        <v>6</v>
      </c>
      <c r="J21" s="95"/>
      <c r="K21" s="95">
        <v>1.06</v>
      </c>
      <c r="L21" s="95"/>
      <c r="M21" s="96">
        <f>I21*K21</f>
        <v>6.36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36</v>
      </c>
      <c r="D22" s="18">
        <f>SUM(M22*3)</f>
        <v>36</v>
      </c>
      <c r="E22" s="18">
        <f>SUM(M22*3)</f>
        <v>36</v>
      </c>
      <c r="F22" s="18">
        <f>SUM(M22*3)</f>
        <v>36</v>
      </c>
      <c r="G22" s="67">
        <f>SUM(C22:F22)</f>
        <v>144</v>
      </c>
      <c r="H22" s="126" t="s">
        <v>124</v>
      </c>
      <c r="I22" s="97">
        <f>SUM(J5)</f>
        <v>6</v>
      </c>
      <c r="J22" s="98"/>
      <c r="K22" s="98">
        <v>2</v>
      </c>
      <c r="L22" s="98"/>
      <c r="M22" s="99">
        <f>I22*K22</f>
        <v>12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1230.6599999999999</v>
      </c>
      <c r="D23" s="15">
        <f t="shared" ref="D23:F23" si="4">SUM(D24:D25)</f>
        <v>1230.6599999999999</v>
      </c>
      <c r="E23" s="15">
        <f t="shared" si="4"/>
        <v>1230.6599999999999</v>
      </c>
      <c r="F23" s="15">
        <f t="shared" si="4"/>
        <v>1230.6599999999999</v>
      </c>
      <c r="G23" s="5">
        <f>SUM(G24:G25)</f>
        <v>4922.6399999999994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812.69999999999993</v>
      </c>
      <c r="D24" s="6">
        <f>SUM(M24*3)</f>
        <v>812.69999999999993</v>
      </c>
      <c r="E24" s="6">
        <f>SUM(M24*3)</f>
        <v>812.69999999999993</v>
      </c>
      <c r="F24" s="6">
        <f>SUM(M24*3)</f>
        <v>812.69999999999993</v>
      </c>
      <c r="G24" s="66">
        <f t="shared" ref="G24:G29" si="5">SUM(C24:F24)</f>
        <v>3250.7999999999997</v>
      </c>
      <c r="H24" s="128" t="s">
        <v>126</v>
      </c>
      <c r="I24" s="88">
        <f>SUM(J1)</f>
        <v>774</v>
      </c>
      <c r="J24" s="89"/>
      <c r="K24" s="95">
        <v>0.35</v>
      </c>
      <c r="L24" s="95"/>
      <c r="M24" s="90">
        <f>SUM(I24*K24)</f>
        <v>270.89999999999998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417.96</v>
      </c>
      <c r="D25" s="18">
        <f>SUM(M25*3)</f>
        <v>417.96</v>
      </c>
      <c r="E25" s="18">
        <f>SUM(M25*3)</f>
        <v>417.96</v>
      </c>
      <c r="F25" s="18">
        <f>SUM(M25*3)</f>
        <v>417.96</v>
      </c>
      <c r="G25" s="67">
        <f t="shared" si="5"/>
        <v>1671.84</v>
      </c>
      <c r="H25" s="128" t="s">
        <v>127</v>
      </c>
      <c r="I25" s="91">
        <f>SUM(J1)</f>
        <v>774</v>
      </c>
      <c r="J25" s="93"/>
      <c r="K25" s="98">
        <v>0.18</v>
      </c>
      <c r="L25" s="98"/>
      <c r="M25" s="92">
        <f>SUM(I25*K25)</f>
        <v>139.32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6">SUM(D27:D28)</f>
        <v>0</v>
      </c>
      <c r="E26" s="22">
        <f t="shared" si="6"/>
        <v>0</v>
      </c>
      <c r="F26" s="22">
        <f t="shared" si="6"/>
        <v>0</v>
      </c>
      <c r="G26" s="29">
        <f t="shared" si="5"/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5"/>
        <v>0</v>
      </c>
      <c r="H27" s="178"/>
      <c r="I27" s="204">
        <f>SUM(J5)</f>
        <v>6</v>
      </c>
      <c r="J27" s="205"/>
      <c r="K27" s="206">
        <v>0.28000000000000003</v>
      </c>
      <c r="L27" s="205"/>
      <c r="M27" s="211">
        <f>SUM(I27*K27)</f>
        <v>1.6800000000000002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5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1671.2069759999999</v>
      </c>
      <c r="D29" s="41">
        <f>D9+D16+D20+D23+D26</f>
        <v>1671.2069759999999</v>
      </c>
      <c r="E29" s="41">
        <f>E9+E16+E20+E23+E26</f>
        <v>1671.2069759999999</v>
      </c>
      <c r="F29" s="41">
        <f>F9+F16+F20+F23+F26</f>
        <v>1671.2069759999999</v>
      </c>
      <c r="G29" s="42">
        <f t="shared" si="5"/>
        <v>6684.8279039999998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324.61560000000003</v>
      </c>
      <c r="D31" s="53">
        <f>SUM(D32:D35)</f>
        <v>324.61560000000003</v>
      </c>
      <c r="E31" s="53">
        <f>SUM(E32:E35)</f>
        <v>324.61560000000003</v>
      </c>
      <c r="F31" s="53">
        <f>SUM(F32:F35)</f>
        <v>324.61560000000003</v>
      </c>
      <c r="G31" s="53">
        <f>SUM(G32:G35)</f>
        <v>1298.4624000000001</v>
      </c>
      <c r="H31" s="128" t="s">
        <v>253</v>
      </c>
      <c r="I31" s="88">
        <f>SUM(O1)</f>
        <v>774</v>
      </c>
      <c r="J31" s="89"/>
      <c r="K31" s="95">
        <v>0.35</v>
      </c>
      <c r="L31" s="95"/>
      <c r="M31" s="90">
        <f>SUM(I31*K31)</f>
        <v>270.89999999999998</v>
      </c>
    </row>
    <row r="32" spans="1:35" ht="20.100000000000001" customHeight="1" thickBot="1">
      <c r="A32" s="35"/>
      <c r="B32" s="7" t="s">
        <v>3</v>
      </c>
      <c r="C32" s="32">
        <f>C10</f>
        <v>324.61560000000003</v>
      </c>
      <c r="D32" s="32">
        <f>D10</f>
        <v>324.61560000000003</v>
      </c>
      <c r="E32" s="32">
        <f>E10</f>
        <v>324.61560000000003</v>
      </c>
      <c r="F32" s="32">
        <f>F10</f>
        <v>324.61560000000003</v>
      </c>
      <c r="G32" s="62">
        <f>SUM(C32:F32)</f>
        <v>1298.4624000000001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7">C13</f>
        <v>0</v>
      </c>
      <c r="D33" s="32">
        <f t="shared" si="7"/>
        <v>0</v>
      </c>
      <c r="E33" s="32">
        <f t="shared" si="7"/>
        <v>0</v>
      </c>
      <c r="F33" s="32">
        <f t="shared" si="7"/>
        <v>0</v>
      </c>
      <c r="G33" s="62">
        <f>SUM(C33:F33)</f>
        <v>0</v>
      </c>
    </row>
    <row r="34" spans="1:7" ht="57.75" customHeight="1">
      <c r="A34" s="35"/>
      <c r="B34" s="7" t="s">
        <v>41</v>
      </c>
      <c r="C34" s="32"/>
      <c r="D34" s="32"/>
      <c r="E34" s="32"/>
      <c r="F34" s="32"/>
      <c r="G34" s="62">
        <f>SUM(C34:F34)</f>
        <v>0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8">SUM(D37:D38)</f>
        <v>0</v>
      </c>
      <c r="E36" s="53">
        <f t="shared" si="8"/>
        <v>0</v>
      </c>
      <c r="F36" s="53">
        <f t="shared" si="8"/>
        <v>0</v>
      </c>
      <c r="G36" s="53">
        <f t="shared" si="8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55.08</v>
      </c>
      <c r="D39" s="53">
        <f t="shared" ref="D39:G39" si="9">SUM(D40:D41)</f>
        <v>55.08</v>
      </c>
      <c r="E39" s="53">
        <f t="shared" si="9"/>
        <v>55.08</v>
      </c>
      <c r="F39" s="53">
        <f t="shared" si="9"/>
        <v>55.08</v>
      </c>
      <c r="G39" s="53">
        <f t="shared" si="9"/>
        <v>220.32</v>
      </c>
    </row>
    <row r="40" spans="1:7" ht="20.100000000000001" customHeight="1">
      <c r="A40" s="35"/>
      <c r="B40" s="7" t="s">
        <v>40</v>
      </c>
      <c r="C40" s="32">
        <f t="shared" ref="C40:F41" si="10">C21</f>
        <v>19.080000000000002</v>
      </c>
      <c r="D40" s="32">
        <f t="shared" si="10"/>
        <v>19.080000000000002</v>
      </c>
      <c r="E40" s="32">
        <f t="shared" si="10"/>
        <v>19.080000000000002</v>
      </c>
      <c r="F40" s="32">
        <f t="shared" si="10"/>
        <v>19.080000000000002</v>
      </c>
      <c r="G40" s="62">
        <f>SUM(C40:F40)</f>
        <v>76.320000000000007</v>
      </c>
    </row>
    <row r="41" spans="1:7" s="4" customFormat="1" ht="20.100000000000001" customHeight="1" thickBot="1">
      <c r="A41" s="45"/>
      <c r="B41" s="17" t="s">
        <v>18</v>
      </c>
      <c r="C41" s="46">
        <f t="shared" si="10"/>
        <v>36</v>
      </c>
      <c r="D41" s="46">
        <f t="shared" si="10"/>
        <v>36</v>
      </c>
      <c r="E41" s="46">
        <f t="shared" si="10"/>
        <v>36</v>
      </c>
      <c r="F41" s="46">
        <f t="shared" si="10"/>
        <v>36</v>
      </c>
      <c r="G41" s="62">
        <f>SUM(C41:F41)</f>
        <v>144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817.7399999999999</v>
      </c>
      <c r="D42" s="53">
        <f>SUM(D43:D58)</f>
        <v>817.7399999999999</v>
      </c>
      <c r="E42" s="53">
        <f>SUM(E43:E58)</f>
        <v>817.7399999999999</v>
      </c>
      <c r="F42" s="53">
        <f>SUM(F43:F58)</f>
        <v>817.7399999999999</v>
      </c>
      <c r="G42" s="55">
        <f t="shared" ref="G42:G51" si="11">SUM(C42:F42)</f>
        <v>3270.9599999999996</v>
      </c>
    </row>
    <row r="43" spans="1:7" ht="20.100000000000001" customHeight="1">
      <c r="A43" s="47"/>
      <c r="B43" s="38" t="s">
        <v>38</v>
      </c>
      <c r="C43" s="32">
        <f>SUM(M31*3)</f>
        <v>812.69999999999993</v>
      </c>
      <c r="D43" s="32">
        <f>SUM(M31*3)</f>
        <v>812.69999999999993</v>
      </c>
      <c r="E43" s="32">
        <f>SUM(M31*3)</f>
        <v>812.69999999999993</v>
      </c>
      <c r="F43" s="32">
        <f>SUM(M31*3)</f>
        <v>812.69999999999993</v>
      </c>
      <c r="G43" s="62">
        <f t="shared" si="11"/>
        <v>3250.7999999999997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1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1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1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1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1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1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5.0400000000000009</v>
      </c>
      <c r="D51" s="32">
        <f>SUM(M27*3)</f>
        <v>5.0400000000000009</v>
      </c>
      <c r="E51" s="32">
        <f>SUM(M27*3)</f>
        <v>5.0400000000000009</v>
      </c>
      <c r="F51" s="32">
        <f>SUM(M27*3)</f>
        <v>5.0400000000000009</v>
      </c>
      <c r="G51" s="62">
        <f t="shared" si="11"/>
        <v>20.160000000000004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2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2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2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2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2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2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3">D27*5/100</f>
        <v>0</v>
      </c>
      <c r="E58" s="46">
        <f t="shared" si="13"/>
        <v>0</v>
      </c>
      <c r="F58" s="46">
        <f t="shared" si="13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1197.4355999999998</v>
      </c>
      <c r="D59" s="30">
        <f>D31+D36+D39+D42</f>
        <v>1197.4355999999998</v>
      </c>
      <c r="E59" s="30">
        <f>E31+E36+E39+E42</f>
        <v>1197.4355999999998</v>
      </c>
      <c r="F59" s="30">
        <f>F31+F36+F39+F42</f>
        <v>1197.4355999999998</v>
      </c>
      <c r="G59" s="31">
        <f>G31+G36+G39+G42</f>
        <v>4789.7423999999992</v>
      </c>
    </row>
    <row r="60" spans="1:14" ht="26.1" customHeight="1" outlineLevel="1">
      <c r="A60" s="100"/>
      <c r="B60" s="60"/>
      <c r="C60" s="61">
        <f>C29-C59</f>
        <v>473.77137600000015</v>
      </c>
      <c r="D60" s="61">
        <f>D29-D59</f>
        <v>473.77137600000015</v>
      </c>
      <c r="E60" s="61">
        <f>E29-E59</f>
        <v>473.77137600000015</v>
      </c>
      <c r="F60" s="61">
        <f>F29-F59</f>
        <v>473.77137600000015</v>
      </c>
      <c r="G60" s="61">
        <f>G29-G59</f>
        <v>1895.0855040000006</v>
      </c>
    </row>
    <row r="61" spans="1:14" ht="39.75" hidden="1" customHeight="1">
      <c r="A61" s="58"/>
      <c r="B61" s="7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1:14" hidden="1">
      <c r="A62" s="58"/>
      <c r="C62" s="56">
        <f>C16*1.2/100</f>
        <v>0</v>
      </c>
      <c r="D62" s="56">
        <f>D16*1.2/100</f>
        <v>0</v>
      </c>
      <c r="E62" s="56">
        <f>E16*1.2/100</f>
        <v>0</v>
      </c>
      <c r="F62" s="56">
        <f>F16*1.2/100</f>
        <v>0</v>
      </c>
    </row>
    <row r="63" spans="1:14" hidden="1">
      <c r="A63" s="59"/>
      <c r="C63" s="56">
        <f>(C16-C62)*0.5/100</f>
        <v>0</v>
      </c>
      <c r="D63" s="56">
        <f>(D16-D62)*0.5/100</f>
        <v>0</v>
      </c>
      <c r="E63" s="56">
        <f>(E16-E62)*0.5/100</f>
        <v>0</v>
      </c>
      <c r="F63" s="56">
        <f>(F16-F62)*0.5/100</f>
        <v>0</v>
      </c>
    </row>
    <row r="64" spans="1:14" hidden="1">
      <c r="C64" s="3">
        <f>C9*1.2/100</f>
        <v>4.6256037120000002</v>
      </c>
      <c r="D64" s="3">
        <f>D9*1.2/100</f>
        <v>4.6256037120000002</v>
      </c>
      <c r="E64" s="3">
        <f>E9*1.2/100</f>
        <v>4.6256037120000002</v>
      </c>
      <c r="F64" s="3">
        <f>F9*1.2/100</f>
        <v>4.6256037120000002</v>
      </c>
    </row>
    <row r="65" spans="1:15" s="3" customFormat="1" hidden="1">
      <c r="A65" s="2"/>
      <c r="B65" s="2"/>
      <c r="C65" s="3">
        <f>(C9-C64)*4/100</f>
        <v>15.233654891520002</v>
      </c>
      <c r="D65" s="3">
        <f>(D9-D64)*4/100</f>
        <v>15.233654891520002</v>
      </c>
      <c r="E65" s="3">
        <f>(E9-E64)*4/100</f>
        <v>15.233654891520002</v>
      </c>
      <c r="F65" s="3">
        <f>(F9-F64)*4/100</f>
        <v>15.233654891520002</v>
      </c>
      <c r="H65" s="2"/>
      <c r="I65" s="2"/>
      <c r="J65" s="2"/>
      <c r="K65" s="2"/>
      <c r="L65" s="2"/>
      <c r="M65" s="2"/>
      <c r="N65" s="2"/>
      <c r="O65" s="2"/>
    </row>
    <row r="66" spans="1:15" s="3" customFormat="1" hidden="1">
      <c r="A66" s="2"/>
      <c r="B66" s="2"/>
      <c r="C66" s="3">
        <f>SUM(C62:C65)</f>
        <v>19.859258603520004</v>
      </c>
      <c r="D66" s="3">
        <f t="shared" ref="D66:F66" si="14">SUM(D62:D65)</f>
        <v>19.859258603520004</v>
      </c>
      <c r="E66" s="3">
        <f t="shared" si="14"/>
        <v>19.859258603520004</v>
      </c>
      <c r="F66" s="3">
        <f t="shared" si="14"/>
        <v>19.859258603520004</v>
      </c>
      <c r="H66" s="2"/>
      <c r="I66" s="2"/>
      <c r="J66" s="2"/>
      <c r="K66" s="2"/>
      <c r="L66" s="2"/>
      <c r="M66" s="2"/>
      <c r="N66" s="2"/>
      <c r="O66" s="2"/>
    </row>
  </sheetData>
  <dataConsolidate/>
  <mergeCells count="19">
    <mergeCell ref="A59:B59"/>
    <mergeCell ref="A8:B8"/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U8:Y8"/>
    <mergeCell ref="Z10:Z12"/>
    <mergeCell ref="H28:AA28"/>
    <mergeCell ref="A29:B29"/>
    <mergeCell ref="A30:B30"/>
    <mergeCell ref="I8:M8"/>
    <mergeCell ref="O8:S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DABD-6FB5-4A22-A240-A7F01FDA32EC}">
  <sheetPr>
    <tabColor rgb="FFFFC000"/>
    <pageSetUpPr fitToPage="1"/>
  </sheetPr>
  <dimension ref="A1:AI66"/>
  <sheetViews>
    <sheetView showGridLines="0" view="pageBreakPreview" topLeftCell="A16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SUM(Площадь!L15)</f>
        <v>774.4</v>
      </c>
      <c r="K1" s="4" t="s">
        <v>235</v>
      </c>
      <c r="O1" s="2">
        <f>SUM(Площадь!M15)</f>
        <v>774.4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SUM(Площадь!R15)</f>
        <v>1</v>
      </c>
      <c r="K4" s="4">
        <f>SUM(Площадь!S15)</f>
        <v>5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SUM(Площадь!Q15)</f>
        <v>6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374.24397600000003</v>
      </c>
      <c r="D9" s="15">
        <f t="shared" ref="D9:F9" si="0">SUM(D10:D15)</f>
        <v>374.24397600000003</v>
      </c>
      <c r="E9" s="15">
        <f t="shared" si="0"/>
        <v>374.24397600000003</v>
      </c>
      <c r="F9" s="15">
        <f t="shared" si="0"/>
        <v>374.24397600000003</v>
      </c>
      <c r="G9" s="15">
        <f>SUM(G10:G15)</f>
        <v>1496.9759040000001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324.78336000000002</v>
      </c>
      <c r="D10" s="9">
        <f>SUM(I10*2+O10*1)</f>
        <v>324.78336000000002</v>
      </c>
      <c r="E10" s="9">
        <f>SUM(O10*2)+U10*1</f>
        <v>324.78336000000002</v>
      </c>
      <c r="F10" s="9">
        <f>SUM(U10*3)</f>
        <v>324.78336000000002</v>
      </c>
      <c r="G10" s="65">
        <f>SUM(C10:F10)</f>
        <v>1299.1334400000001</v>
      </c>
      <c r="H10" s="125" t="s">
        <v>125</v>
      </c>
      <c r="I10" s="201">
        <f>SUM(M10*K10)</f>
        <v>108.26112000000001</v>
      </c>
      <c r="J10" s="201" t="s">
        <v>238</v>
      </c>
      <c r="K10" s="201">
        <v>0.13980000000000001</v>
      </c>
      <c r="L10" s="201"/>
      <c r="M10" s="207">
        <f>SUM(J1)</f>
        <v>774.4</v>
      </c>
      <c r="N10" s="202"/>
      <c r="O10" s="201">
        <f>SUM(S10*Q10)</f>
        <v>108.26112000000001</v>
      </c>
      <c r="P10" s="201" t="s">
        <v>238</v>
      </c>
      <c r="Q10" s="201">
        <v>0.13980000000000001</v>
      </c>
      <c r="R10" s="201"/>
      <c r="S10" s="130">
        <f>SUM(J1)</f>
        <v>774.4</v>
      </c>
      <c r="T10" s="202"/>
      <c r="U10" s="201">
        <f>SUM(Y10*W10)</f>
        <v>108.26112000000001</v>
      </c>
      <c r="V10" s="201" t="s">
        <v>238</v>
      </c>
      <c r="W10" s="201">
        <v>0.13980000000000001</v>
      </c>
      <c r="X10" s="201"/>
      <c r="Y10" s="130">
        <f>SUM(J1)</f>
        <v>774.4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774.4</v>
      </c>
      <c r="N11" s="202"/>
      <c r="O11" s="201"/>
      <c r="P11" s="201" t="s">
        <v>238</v>
      </c>
      <c r="Q11" s="201"/>
      <c r="R11" s="201">
        <v>0.15</v>
      </c>
      <c r="S11" s="201">
        <f>SUM(J1)</f>
        <v>774.4</v>
      </c>
      <c r="T11" s="202"/>
      <c r="U11" s="201"/>
      <c r="V11" s="201" t="s">
        <v>238</v>
      </c>
      <c r="W11" s="201"/>
      <c r="X11" s="201">
        <v>0.15</v>
      </c>
      <c r="Y11" s="130">
        <f>SUM(J1)</f>
        <v>774.4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/>
      <c r="D13" s="9"/>
      <c r="E13" s="9"/>
      <c r="F13" s="9"/>
      <c r="G13" s="65"/>
      <c r="H13" s="125" t="s">
        <v>120</v>
      </c>
      <c r="I13" s="201">
        <f>SUM(K13*M13)</f>
        <v>33.841279999999998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774.4</v>
      </c>
      <c r="N13" s="203"/>
      <c r="O13" s="201">
        <f>SUM(Q13*S13)</f>
        <v>33.841279999999998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774.4</v>
      </c>
      <c r="T13" s="203"/>
      <c r="U13" s="201">
        <f>SUM(W13*Y13)</f>
        <v>33.841279999999998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774.4</v>
      </c>
      <c r="Z13" s="3"/>
    </row>
    <row r="14" spans="1:26" ht="20.100000000000001" customHeight="1" outlineLevel="1">
      <c r="A14" s="16"/>
      <c r="B14" s="7" t="s">
        <v>11</v>
      </c>
      <c r="C14" s="9"/>
      <c r="D14" s="9"/>
      <c r="E14" s="9"/>
      <c r="F14" s="9"/>
      <c r="G14" s="65"/>
      <c r="H14" s="125" t="s">
        <v>11</v>
      </c>
      <c r="I14" s="201">
        <f>SUM(K14*M14)</f>
        <v>49.71647999999999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774.4</v>
      </c>
      <c r="N14" s="203"/>
      <c r="O14" s="201">
        <f>SUM(S14*Q14)</f>
        <v>49.71647999999999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774.4</v>
      </c>
      <c r="T14" s="203"/>
      <c r="U14" s="201">
        <f>SUM(Y14*W14)</f>
        <v>49.71647999999999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774.4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49.460615999999995</v>
      </c>
      <c r="D15" s="6">
        <f>SUM(I15+I16)*2+O15+O16</f>
        <v>49.460615999999995</v>
      </c>
      <c r="E15" s="6">
        <f>SUM(O15+O16)*2+U15+U16</f>
        <v>49.460615999999995</v>
      </c>
      <c r="F15" s="6">
        <f>SUM(U15+U16)*3</f>
        <v>49.460615999999995</v>
      </c>
      <c r="G15" s="65">
        <f t="shared" ref="G15" si="1">SUM(C15:F15)</f>
        <v>197.84246399999998</v>
      </c>
      <c r="H15" s="125" t="s">
        <v>118</v>
      </c>
      <c r="I15" s="201">
        <f>SUM(J15*K15*M15)</f>
        <v>2.4444719999999998</v>
      </c>
      <c r="J15" s="201">
        <v>0.24</v>
      </c>
      <c r="K15" s="201">
        <v>10.1853</v>
      </c>
      <c r="L15" s="201"/>
      <c r="M15" s="208">
        <f>SUM(J4)</f>
        <v>1</v>
      </c>
      <c r="N15" s="203"/>
      <c r="O15" s="201">
        <f>SUM(P15*Q15*S15)</f>
        <v>2.4444719999999998</v>
      </c>
      <c r="P15" s="201">
        <v>0.24</v>
      </c>
      <c r="Q15" s="201">
        <v>10.1853</v>
      </c>
      <c r="R15" s="201"/>
      <c r="S15" s="201">
        <f>SUM(J4)</f>
        <v>1</v>
      </c>
      <c r="T15" s="203"/>
      <c r="U15" s="201">
        <f>SUM(V15*W15*Y15)</f>
        <v>2.4444719999999998</v>
      </c>
      <c r="V15" s="201">
        <v>0.24</v>
      </c>
      <c r="W15" s="201">
        <v>10.1853</v>
      </c>
      <c r="X15" s="201"/>
      <c r="Y15" s="201">
        <f>SUM(J4)</f>
        <v>1</v>
      </c>
    </row>
    <row r="16" spans="1:26" ht="20.100000000000001" customHeight="1">
      <c r="A16" s="102">
        <v>2</v>
      </c>
      <c r="B16" s="20" t="s">
        <v>16</v>
      </c>
      <c r="C16" s="27">
        <f>SUM(C17:C19)</f>
        <v>0</v>
      </c>
      <c r="D16" s="27">
        <f t="shared" ref="D16:G16" si="2">SUM(D17:D19)</f>
        <v>0</v>
      </c>
      <c r="E16" s="27">
        <f t="shared" si="2"/>
        <v>0</v>
      </c>
      <c r="F16" s="27">
        <f t="shared" si="2"/>
        <v>0</v>
      </c>
      <c r="G16" s="27">
        <f t="shared" si="2"/>
        <v>0</v>
      </c>
      <c r="H16" s="125"/>
      <c r="I16" s="201">
        <f>SUM(J16*L16*M16)</f>
        <v>14.042399999999999</v>
      </c>
      <c r="J16" s="201">
        <v>0.24</v>
      </c>
      <c r="K16" s="201"/>
      <c r="L16" s="201">
        <v>11.702</v>
      </c>
      <c r="M16" s="201">
        <f>SUM(K4)</f>
        <v>5</v>
      </c>
      <c r="O16" s="201">
        <f>SUM(P16*R16*S16)</f>
        <v>14.042399999999999</v>
      </c>
      <c r="P16" s="201">
        <v>0.24</v>
      </c>
      <c r="Q16" s="201"/>
      <c r="R16" s="201">
        <v>11.702</v>
      </c>
      <c r="S16" s="201">
        <f>SUM(K4)</f>
        <v>5</v>
      </c>
      <c r="U16" s="201">
        <f>SUM(V16*X16*Y16)</f>
        <v>14.042399999999999</v>
      </c>
      <c r="V16" s="201">
        <v>0.24</v>
      </c>
      <c r="W16" s="201"/>
      <c r="X16" s="201">
        <v>11.702</v>
      </c>
      <c r="Y16" s="201">
        <f>SUM(K4)</f>
        <v>5</v>
      </c>
    </row>
    <row r="17" spans="1:35" ht="39" customHeight="1" outlineLevel="1">
      <c r="A17" s="21"/>
      <c r="B17" s="7" t="s">
        <v>20</v>
      </c>
      <c r="C17" s="9"/>
      <c r="D17" s="9"/>
      <c r="E17" s="9"/>
      <c r="F17" s="9"/>
      <c r="G17" s="66"/>
      <c r="H17" s="126" t="s">
        <v>121</v>
      </c>
      <c r="I17" s="201">
        <f>SUM(K17*M17)</f>
        <v>17.036799999999999</v>
      </c>
      <c r="J17" s="201" t="s">
        <v>238</v>
      </c>
      <c r="K17" s="201">
        <v>2.1999999999999999E-2</v>
      </c>
      <c r="L17" s="201"/>
      <c r="M17" s="201">
        <f>SUM(J1)</f>
        <v>774.4</v>
      </c>
      <c r="N17" s="203"/>
      <c r="O17" s="201">
        <f>SUM(Q17*S17)</f>
        <v>17.036799999999999</v>
      </c>
      <c r="P17" s="201" t="s">
        <v>238</v>
      </c>
      <c r="Q17" s="201">
        <v>2.1999999999999999E-2</v>
      </c>
      <c r="R17" s="201"/>
      <c r="S17" s="201">
        <f>SUM(J1)</f>
        <v>774.4</v>
      </c>
      <c r="T17" s="203"/>
      <c r="U17" s="201">
        <f>SUM(W17*Y17)</f>
        <v>17.036799999999999</v>
      </c>
      <c r="V17" s="201" t="s">
        <v>238</v>
      </c>
      <c r="W17" s="201">
        <v>2.1999999999999999E-2</v>
      </c>
      <c r="X17" s="201"/>
      <c r="Y17" s="201">
        <f>SUM(J1)</f>
        <v>774.4</v>
      </c>
    </row>
    <row r="18" spans="1:35" ht="40.5" customHeight="1" outlineLevel="1">
      <c r="A18" s="21"/>
      <c r="B18" s="7" t="s">
        <v>14</v>
      </c>
      <c r="C18" s="6"/>
      <c r="D18" s="6"/>
      <c r="E18" s="6"/>
      <c r="F18" s="6"/>
      <c r="G18" s="66"/>
      <c r="H18" s="126" t="s">
        <v>122</v>
      </c>
      <c r="I18" s="201">
        <f>SUM(K18*M18)*1.5</f>
        <v>7.92</v>
      </c>
      <c r="J18" s="201" t="s">
        <v>129</v>
      </c>
      <c r="K18" s="201">
        <v>0.88</v>
      </c>
      <c r="L18" s="201"/>
      <c r="M18" s="201">
        <f>SUM(J4+K4)</f>
        <v>6</v>
      </c>
      <c r="N18" s="203"/>
      <c r="O18" s="201">
        <f>SUM(Q18*S18)*1.5</f>
        <v>7.92</v>
      </c>
      <c r="P18" s="201" t="s">
        <v>129</v>
      </c>
      <c r="Q18" s="201">
        <v>0.88</v>
      </c>
      <c r="R18" s="201"/>
      <c r="S18" s="201">
        <f>SUM(J4+K4)</f>
        <v>6</v>
      </c>
      <c r="T18" s="203"/>
      <c r="U18" s="201">
        <f>SUM(W18*Y18)*1.5</f>
        <v>7.92</v>
      </c>
      <c r="V18" s="201" t="s">
        <v>129</v>
      </c>
      <c r="W18" s="201">
        <v>0.88</v>
      </c>
      <c r="X18" s="201"/>
      <c r="Y18" s="201">
        <f>SUM(J4+K4)</f>
        <v>6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13">
        <v>3</v>
      </c>
      <c r="B20" s="20" t="s">
        <v>17</v>
      </c>
      <c r="C20" s="15">
        <f>SUM(C21:C22)</f>
        <v>55.08</v>
      </c>
      <c r="D20" s="15">
        <f t="shared" ref="D20:F20" si="3">SUM(D21:D22)</f>
        <v>55.08</v>
      </c>
      <c r="E20" s="15">
        <f t="shared" si="3"/>
        <v>55.08</v>
      </c>
      <c r="F20" s="15">
        <f t="shared" si="3"/>
        <v>55.08</v>
      </c>
      <c r="G20" s="5">
        <f>SUM(G21:G22)</f>
        <v>220.32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19.080000000000002</v>
      </c>
      <c r="D21" s="8">
        <f>SUM(M21*3)</f>
        <v>19.080000000000002</v>
      </c>
      <c r="E21" s="8">
        <f>SUM(M21*3)</f>
        <v>19.080000000000002</v>
      </c>
      <c r="F21" s="8">
        <f>SUM(M21*3)</f>
        <v>19.080000000000002</v>
      </c>
      <c r="G21" s="66">
        <f>SUM(C21:F21)</f>
        <v>76.320000000000007</v>
      </c>
      <c r="H21" s="125" t="s">
        <v>117</v>
      </c>
      <c r="I21" s="94">
        <f>SUM(J5)</f>
        <v>6</v>
      </c>
      <c r="J21" s="95"/>
      <c r="K21" s="95">
        <v>1.06</v>
      </c>
      <c r="L21" s="95"/>
      <c r="M21" s="96">
        <f>I21*K21</f>
        <v>6.36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36</v>
      </c>
      <c r="D22" s="18">
        <f>SUM(M22*3)</f>
        <v>36</v>
      </c>
      <c r="E22" s="18">
        <f>SUM(M22*3)</f>
        <v>36</v>
      </c>
      <c r="F22" s="18">
        <f>SUM(M22*3)</f>
        <v>36</v>
      </c>
      <c r="G22" s="67">
        <f>SUM(C22:F22)</f>
        <v>144</v>
      </c>
      <c r="H22" s="126" t="s">
        <v>124</v>
      </c>
      <c r="I22" s="97">
        <f>SUM(J5)</f>
        <v>6</v>
      </c>
      <c r="J22" s="98"/>
      <c r="K22" s="98">
        <v>2</v>
      </c>
      <c r="L22" s="98"/>
      <c r="M22" s="99">
        <f>I22*K22</f>
        <v>12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1231.2959999999998</v>
      </c>
      <c r="D23" s="15">
        <f t="shared" ref="D23:F23" si="4">SUM(D24:D25)</f>
        <v>1231.2959999999998</v>
      </c>
      <c r="E23" s="15">
        <f t="shared" si="4"/>
        <v>1231.2959999999998</v>
      </c>
      <c r="F23" s="15">
        <f t="shared" si="4"/>
        <v>1231.2959999999998</v>
      </c>
      <c r="G23" s="5">
        <f>SUM(G24:G25)</f>
        <v>4925.1839999999993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 thickBot="1">
      <c r="A24" s="24"/>
      <c r="B24" s="7" t="s">
        <v>21</v>
      </c>
      <c r="C24" s="6">
        <f>SUM(M24)*3</f>
        <v>813.11999999999989</v>
      </c>
      <c r="D24" s="6">
        <f>SUM(M24*3)</f>
        <v>813.11999999999989</v>
      </c>
      <c r="E24" s="6">
        <f>SUM(M24*3)</f>
        <v>813.11999999999989</v>
      </c>
      <c r="F24" s="6">
        <f>SUM(M24*3)</f>
        <v>813.11999999999989</v>
      </c>
      <c r="G24" s="66">
        <f t="shared" ref="G24:G25" si="5">SUM(C24:F24)</f>
        <v>3252.4799999999996</v>
      </c>
      <c r="H24" s="128" t="s">
        <v>126</v>
      </c>
      <c r="I24" s="91">
        <f>SUM(J1)</f>
        <v>774.4</v>
      </c>
      <c r="J24" s="89"/>
      <c r="K24" s="95">
        <v>0.35</v>
      </c>
      <c r="L24" s="95"/>
      <c r="M24" s="90">
        <f>SUM(I24*K24)</f>
        <v>271.03999999999996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418.17599999999999</v>
      </c>
      <c r="D25" s="18">
        <f>SUM(M25*3)</f>
        <v>418.17599999999999</v>
      </c>
      <c r="E25" s="18">
        <f>SUM(M25*3)</f>
        <v>418.17599999999999</v>
      </c>
      <c r="F25" s="18">
        <f>SUM(M25*3)</f>
        <v>418.17599999999999</v>
      </c>
      <c r="G25" s="67">
        <f t="shared" si="5"/>
        <v>1672.704</v>
      </c>
      <c r="H25" s="128" t="s">
        <v>127</v>
      </c>
      <c r="I25" s="91">
        <f>SUM(J1)</f>
        <v>774.4</v>
      </c>
      <c r="J25" s="93"/>
      <c r="K25" s="98">
        <v>0.18</v>
      </c>
      <c r="L25" s="98"/>
      <c r="M25" s="92">
        <f>SUM(I25*K25)</f>
        <v>139.392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6">SUM(D27:D28)</f>
        <v>0</v>
      </c>
      <c r="E26" s="22">
        <f t="shared" si="6"/>
        <v>0</v>
      </c>
      <c r="F26" s="22">
        <f t="shared" si="6"/>
        <v>0</v>
      </c>
      <c r="G26" s="29">
        <f t="shared" ref="G26:G29" si="7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7"/>
        <v>0</v>
      </c>
      <c r="H27" s="178"/>
      <c r="I27" s="204">
        <f>SUM(J5)</f>
        <v>6</v>
      </c>
      <c r="J27" s="205"/>
      <c r="K27" s="206">
        <v>0.28000000000000003</v>
      </c>
      <c r="L27" s="205"/>
      <c r="M27" s="211">
        <f>SUM(I27*K27)</f>
        <v>1.6800000000000002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7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1660.619976</v>
      </c>
      <c r="D29" s="41">
        <f>D9+D16+D20+D23+D26</f>
        <v>1660.619976</v>
      </c>
      <c r="E29" s="41">
        <f>E9+E16+E20+E23+E26</f>
        <v>1660.619976</v>
      </c>
      <c r="F29" s="41">
        <f>F9+F16+F20+F23+F26</f>
        <v>1660.619976</v>
      </c>
      <c r="G29" s="42">
        <f t="shared" si="7"/>
        <v>6642.4799039999998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324.78336000000002</v>
      </c>
      <c r="D31" s="53">
        <f>SUM(D32:D35)</f>
        <v>324.78336000000002</v>
      </c>
      <c r="E31" s="53">
        <f>SUM(E32:E35)</f>
        <v>324.78336000000002</v>
      </c>
      <c r="F31" s="53">
        <f>SUM(F32:F35)</f>
        <v>324.78336000000002</v>
      </c>
      <c r="G31" s="53">
        <f>SUM(G32:G35)</f>
        <v>1299.1334400000001</v>
      </c>
      <c r="H31" s="128" t="s">
        <v>253</v>
      </c>
      <c r="I31" s="88">
        <f>SUM(O1)</f>
        <v>774.4</v>
      </c>
      <c r="J31" s="89"/>
      <c r="K31" s="95">
        <v>0.35</v>
      </c>
      <c r="L31" s="95"/>
      <c r="M31" s="90">
        <f>SUM(I31*K31)</f>
        <v>271.03999999999996</v>
      </c>
    </row>
    <row r="32" spans="1:35" ht="20.100000000000001" customHeight="1" thickBot="1">
      <c r="A32" s="35"/>
      <c r="B32" s="7" t="s">
        <v>3</v>
      </c>
      <c r="C32" s="32">
        <f>C10</f>
        <v>324.78336000000002</v>
      </c>
      <c r="D32" s="32">
        <f>D10</f>
        <v>324.78336000000002</v>
      </c>
      <c r="E32" s="32">
        <f>E10</f>
        <v>324.78336000000002</v>
      </c>
      <c r="F32" s="32">
        <f>F10</f>
        <v>324.78336000000002</v>
      </c>
      <c r="G32" s="62">
        <f>SUM(C32:F32)</f>
        <v>1299.1334400000001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/>
      <c r="D33" s="32"/>
      <c r="E33" s="32"/>
      <c r="F33" s="32"/>
      <c r="G33" s="62"/>
    </row>
    <row r="34" spans="1:7" ht="57.75" customHeight="1">
      <c r="A34" s="35"/>
      <c r="B34" s="7" t="s">
        <v>41</v>
      </c>
      <c r="C34" s="32"/>
      <c r="D34" s="32"/>
      <c r="E34" s="32"/>
      <c r="F34" s="32"/>
      <c r="G34" s="62"/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8">SUM(D37:D38)</f>
        <v>0</v>
      </c>
      <c r="E36" s="53">
        <f t="shared" si="8"/>
        <v>0</v>
      </c>
      <c r="F36" s="53">
        <f t="shared" si="8"/>
        <v>0</v>
      </c>
      <c r="G36" s="53">
        <f t="shared" si="8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/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/>
    </row>
    <row r="39" spans="1:7" ht="20.100000000000001" customHeight="1">
      <c r="A39" s="102" t="s">
        <v>28</v>
      </c>
      <c r="B39" s="20" t="s">
        <v>17</v>
      </c>
      <c r="C39" s="53">
        <f>SUM(C40:C41)</f>
        <v>55.08</v>
      </c>
      <c r="D39" s="53">
        <f t="shared" ref="D39:G39" si="9">SUM(D40:D41)</f>
        <v>55.08</v>
      </c>
      <c r="E39" s="53">
        <f t="shared" si="9"/>
        <v>55.08</v>
      </c>
      <c r="F39" s="53">
        <f t="shared" si="9"/>
        <v>55.08</v>
      </c>
      <c r="G39" s="53">
        <f t="shared" si="9"/>
        <v>220.32</v>
      </c>
    </row>
    <row r="40" spans="1:7" ht="20.100000000000001" customHeight="1">
      <c r="A40" s="35"/>
      <c r="B40" s="7" t="s">
        <v>40</v>
      </c>
      <c r="C40" s="32">
        <f t="shared" ref="C40:F41" si="10">C21</f>
        <v>19.080000000000002</v>
      </c>
      <c r="D40" s="32">
        <f t="shared" si="10"/>
        <v>19.080000000000002</v>
      </c>
      <c r="E40" s="32">
        <f t="shared" si="10"/>
        <v>19.080000000000002</v>
      </c>
      <c r="F40" s="32">
        <f t="shared" si="10"/>
        <v>19.080000000000002</v>
      </c>
      <c r="G40" s="62">
        <f>SUM(C40:F40)</f>
        <v>76.320000000000007</v>
      </c>
    </row>
    <row r="41" spans="1:7" s="4" customFormat="1" ht="20.100000000000001" customHeight="1" thickBot="1">
      <c r="A41" s="45"/>
      <c r="B41" s="17" t="s">
        <v>18</v>
      </c>
      <c r="C41" s="46">
        <f t="shared" si="10"/>
        <v>36</v>
      </c>
      <c r="D41" s="46">
        <f t="shared" si="10"/>
        <v>36</v>
      </c>
      <c r="E41" s="46">
        <f t="shared" si="10"/>
        <v>36</v>
      </c>
      <c r="F41" s="46">
        <f t="shared" si="10"/>
        <v>36</v>
      </c>
      <c r="G41" s="62">
        <f>SUM(C41:F41)</f>
        <v>144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818.15999999999985</v>
      </c>
      <c r="D42" s="53">
        <f>SUM(D43:D58)</f>
        <v>818.15999999999985</v>
      </c>
      <c r="E42" s="53">
        <f>SUM(E43:E58)</f>
        <v>818.15999999999985</v>
      </c>
      <c r="F42" s="53">
        <f>SUM(F43:F58)</f>
        <v>818.15999999999985</v>
      </c>
      <c r="G42" s="55">
        <f t="shared" ref="G42:G51" si="11">SUM(C42:F42)</f>
        <v>3272.6399999999994</v>
      </c>
    </row>
    <row r="43" spans="1:7" ht="20.100000000000001" customHeight="1">
      <c r="A43" s="47"/>
      <c r="B43" s="38" t="s">
        <v>38</v>
      </c>
      <c r="C43" s="32">
        <f>SUM(M31*3)</f>
        <v>813.11999999999989</v>
      </c>
      <c r="D43" s="32">
        <f>SUM(M31*3)</f>
        <v>813.11999999999989</v>
      </c>
      <c r="E43" s="32">
        <f>SUM(M31*3)</f>
        <v>813.11999999999989</v>
      </c>
      <c r="F43" s="32">
        <f>SUM(M31*3)</f>
        <v>813.11999999999989</v>
      </c>
      <c r="G43" s="62">
        <f t="shared" si="11"/>
        <v>3252.4799999999996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1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1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1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1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1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1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5.0400000000000009</v>
      </c>
      <c r="D51" s="32">
        <f>SUM(M27*3)</f>
        <v>5.0400000000000009</v>
      </c>
      <c r="E51" s="32">
        <f>SUM(M27*3)</f>
        <v>5.0400000000000009</v>
      </c>
      <c r="F51" s="32">
        <f>SUM(M27*3)</f>
        <v>5.0400000000000009</v>
      </c>
      <c r="G51" s="62">
        <f t="shared" si="11"/>
        <v>20.160000000000004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2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2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2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2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2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2"/>
        <v>0</v>
      </c>
    </row>
    <row r="58" spans="1:14" ht="20.100000000000001" customHeight="1" thickBot="1">
      <c r="A58" s="52"/>
      <c r="B58" s="39" t="s">
        <v>27</v>
      </c>
      <c r="C58" s="46"/>
      <c r="D58" s="46"/>
      <c r="E58" s="46"/>
      <c r="F58" s="46"/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1198.0233599999999</v>
      </c>
      <c r="D59" s="30">
        <f>D31+D36+D39+D42</f>
        <v>1198.0233599999999</v>
      </c>
      <c r="E59" s="30">
        <f>E31+E36+E39+E42</f>
        <v>1198.0233599999999</v>
      </c>
      <c r="F59" s="30">
        <f>F31+F36+F39+F42</f>
        <v>1198.0233599999999</v>
      </c>
      <c r="G59" s="31">
        <f>G31+G36+G39+G42</f>
        <v>4792.0934399999996</v>
      </c>
    </row>
    <row r="60" spans="1:14" ht="26.1" customHeight="1" outlineLevel="1">
      <c r="A60" s="100"/>
      <c r="B60" s="60"/>
      <c r="C60" s="61">
        <f>C29-C59</f>
        <v>462.59661600000004</v>
      </c>
      <c r="D60" s="61">
        <f>D29-D59</f>
        <v>462.59661600000004</v>
      </c>
      <c r="E60" s="61">
        <f>E29-E59</f>
        <v>462.59661600000004</v>
      </c>
      <c r="F60" s="61">
        <f>F29-F59</f>
        <v>462.59661600000004</v>
      </c>
      <c r="G60" s="61">
        <f>G29-G59</f>
        <v>1850.3864640000002</v>
      </c>
    </row>
    <row r="61" spans="1:14" ht="39.75" hidden="1" customHeight="1">
      <c r="A61" s="58"/>
      <c r="B61" s="7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1:14" hidden="1">
      <c r="A62" s="58"/>
      <c r="C62" s="56">
        <f>C16*1.2/100</f>
        <v>0</v>
      </c>
      <c r="D62" s="56">
        <f>D16*1.2/100</f>
        <v>0</v>
      </c>
      <c r="E62" s="56">
        <f>E16*1.2/100</f>
        <v>0</v>
      </c>
      <c r="F62" s="56">
        <f>F16*1.2/100</f>
        <v>0</v>
      </c>
    </row>
    <row r="63" spans="1:14" hidden="1">
      <c r="A63" s="59"/>
      <c r="C63" s="56">
        <f>(C16-C62)*0.5/100</f>
        <v>0</v>
      </c>
      <c r="D63" s="56">
        <f>(D16-D62)*0.5/100</f>
        <v>0</v>
      </c>
      <c r="E63" s="56">
        <f>(E16-E62)*0.5/100</f>
        <v>0</v>
      </c>
      <c r="F63" s="56">
        <f>(F16-F62)*0.5/100</f>
        <v>0</v>
      </c>
    </row>
    <row r="64" spans="1:14" hidden="1">
      <c r="C64" s="3">
        <f>C9*1.2/100</f>
        <v>4.4909277120000004</v>
      </c>
      <c r="D64" s="3">
        <f>D9*1.2/100</f>
        <v>4.4909277120000004</v>
      </c>
      <c r="E64" s="3">
        <f>E9*1.2/100</f>
        <v>4.4909277120000004</v>
      </c>
      <c r="F64" s="3">
        <f>F9*1.2/100</f>
        <v>4.4909277120000004</v>
      </c>
    </row>
    <row r="65" spans="1:15" s="3" customFormat="1" hidden="1">
      <c r="A65" s="2"/>
      <c r="B65" s="2"/>
      <c r="C65" s="3">
        <f>(C9-C64)*4/100</f>
        <v>14.790121931520002</v>
      </c>
      <c r="D65" s="3">
        <f>(D9-D64)*4/100</f>
        <v>14.790121931520002</v>
      </c>
      <c r="E65" s="3">
        <f>(E9-E64)*4/100</f>
        <v>14.790121931520002</v>
      </c>
      <c r="F65" s="3">
        <f>(F9-F64)*4/100</f>
        <v>14.790121931520002</v>
      </c>
      <c r="H65" s="2"/>
      <c r="I65" s="2"/>
      <c r="J65" s="2"/>
      <c r="K65" s="2"/>
      <c r="L65" s="2"/>
      <c r="M65" s="2"/>
      <c r="N65" s="2"/>
      <c r="O65" s="2"/>
    </row>
    <row r="66" spans="1:15" s="3" customFormat="1" hidden="1">
      <c r="A66" s="2"/>
      <c r="B66" s="2"/>
      <c r="C66" s="3">
        <f>SUM(C62:C65)</f>
        <v>19.281049643520003</v>
      </c>
      <c r="D66" s="3">
        <f t="shared" ref="D66:F66" si="13">SUM(D62:D65)</f>
        <v>19.281049643520003</v>
      </c>
      <c r="E66" s="3">
        <f t="shared" si="13"/>
        <v>19.281049643520003</v>
      </c>
      <c r="F66" s="3">
        <f t="shared" si="13"/>
        <v>19.281049643520003</v>
      </c>
      <c r="H66" s="2"/>
      <c r="I66" s="2"/>
      <c r="J66" s="2"/>
      <c r="K66" s="2"/>
      <c r="L66" s="2"/>
      <c r="M66" s="2"/>
      <c r="N66" s="2"/>
      <c r="O66" s="2"/>
    </row>
  </sheetData>
  <dataConsolidate/>
  <mergeCells count="19">
    <mergeCell ref="A59:B59"/>
    <mergeCell ref="A8:B8"/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U8:Y8"/>
    <mergeCell ref="Z10:Z12"/>
    <mergeCell ref="H28:AA28"/>
    <mergeCell ref="A29:B29"/>
    <mergeCell ref="A30:B30"/>
    <mergeCell ref="I8:M8"/>
    <mergeCell ref="O8:S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4923-F261-4CFD-BF4C-62D1375EAFD4}">
  <sheetPr>
    <tabColor rgb="FFFFC000"/>
    <pageSetUpPr fitToPage="1"/>
  </sheetPr>
  <dimension ref="A1:AI66"/>
  <sheetViews>
    <sheetView showGridLines="0" view="pageBreakPreview" zoomScale="60" zoomScaleNormal="70" workbookViewId="0">
      <selection activeCell="I15" sqref="I15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32.710937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6.5703125" style="2" customWidth="1"/>
    <col min="14" max="14" width="10.140625" style="2"/>
    <col min="15" max="15" width="15.140625" style="2" customWidth="1"/>
    <col min="16" max="17" width="10.140625" style="2"/>
    <col min="18" max="18" width="14.42578125" style="2" customWidth="1"/>
    <col min="19" max="23" width="10.140625" style="2"/>
    <col min="24" max="24" width="21.140625" style="2" customWidth="1"/>
    <col min="25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SUM(Площадь!L11)</f>
        <v>1581.0000000000002</v>
      </c>
      <c r="K1" s="4" t="s">
        <v>235</v>
      </c>
      <c r="O1" s="3">
        <f>SUM(Площадь!M11)</f>
        <v>1549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SUM(Площадь!R13)</f>
        <v>9</v>
      </c>
      <c r="K4" s="4">
        <f>SUM(Площадь!S13)</f>
        <v>3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226">
        <f>SUM(Площадь!Q11)</f>
        <v>9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91.277063999999996</v>
      </c>
      <c r="D9" s="15">
        <f t="shared" ref="D9:F9" si="0">SUM(D10:D15)</f>
        <v>91.277063999999996</v>
      </c>
      <c r="E9" s="15">
        <f t="shared" si="0"/>
        <v>91.277063999999996</v>
      </c>
      <c r="F9" s="15">
        <f t="shared" si="0"/>
        <v>91.277063999999996</v>
      </c>
      <c r="G9" s="15">
        <f>SUM(G10:G15)</f>
        <v>365.10825599999998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/>
      <c r="D10" s="9"/>
      <c r="E10" s="9"/>
      <c r="F10" s="9"/>
      <c r="G10" s="65">
        <f>SUM(C10:F10)</f>
        <v>0</v>
      </c>
      <c r="H10" s="125" t="s">
        <v>125</v>
      </c>
      <c r="I10" s="201">
        <f>SUM(M10*K10)</f>
        <v>221.02380000000005</v>
      </c>
      <c r="J10" s="201" t="s">
        <v>238</v>
      </c>
      <c r="K10" s="201">
        <v>0.13980000000000001</v>
      </c>
      <c r="L10" s="201"/>
      <c r="M10" s="207">
        <f>SUM(J1)</f>
        <v>1581.0000000000002</v>
      </c>
      <c r="N10" s="202"/>
      <c r="O10" s="201">
        <f>SUM(S10*Q10)</f>
        <v>221.02380000000005</v>
      </c>
      <c r="P10" s="201" t="s">
        <v>238</v>
      </c>
      <c r="Q10" s="201">
        <v>0.13980000000000001</v>
      </c>
      <c r="R10" s="201"/>
      <c r="S10" s="130">
        <f>SUM(J1)</f>
        <v>1581.0000000000002</v>
      </c>
      <c r="T10" s="202"/>
      <c r="U10" s="201">
        <f>SUM(Y10*W10)</f>
        <v>221.02380000000005</v>
      </c>
      <c r="V10" s="201" t="s">
        <v>238</v>
      </c>
      <c r="W10" s="201">
        <v>0.13980000000000001</v>
      </c>
      <c r="X10" s="201"/>
      <c r="Y10" s="130">
        <f>SUM(J1)</f>
        <v>1581.0000000000002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1581.0000000000002</v>
      </c>
      <c r="N11" s="202"/>
      <c r="O11" s="201"/>
      <c r="P11" s="201" t="s">
        <v>238</v>
      </c>
      <c r="Q11" s="201"/>
      <c r="R11" s="201">
        <v>0.15</v>
      </c>
      <c r="S11" s="201">
        <f>SUM(J1)</f>
        <v>1581.0000000000002</v>
      </c>
      <c r="T11" s="202"/>
      <c r="U11" s="201"/>
      <c r="V11" s="201" t="s">
        <v>238</v>
      </c>
      <c r="W11" s="201"/>
      <c r="X11" s="201">
        <v>0.15</v>
      </c>
      <c r="Y11" s="130">
        <f>SUM(J1)</f>
        <v>1581.0000000000002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/>
      <c r="D13" s="9"/>
      <c r="E13" s="9"/>
      <c r="F13" s="9"/>
      <c r="G13" s="65"/>
      <c r="H13" s="125" t="s">
        <v>120</v>
      </c>
      <c r="I13" s="201">
        <f>SUM(K13*M13)</f>
        <v>69.089700000000008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1581.0000000000002</v>
      </c>
      <c r="N13" s="203"/>
      <c r="O13" s="201">
        <f>SUM(Q13*S13)</f>
        <v>69.089700000000008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1581.0000000000002</v>
      </c>
      <c r="T13" s="203"/>
      <c r="U13" s="201">
        <f>SUM(W13*Y13)</f>
        <v>69.089700000000008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1581.0000000000002</v>
      </c>
      <c r="Z13" s="3"/>
    </row>
    <row r="14" spans="1:26" ht="20.100000000000001" customHeight="1" outlineLevel="1">
      <c r="A14" s="16"/>
      <c r="B14" s="7" t="s">
        <v>11</v>
      </c>
      <c r="C14" s="9"/>
      <c r="D14" s="9"/>
      <c r="E14" s="9"/>
      <c r="F14" s="9"/>
      <c r="G14" s="65"/>
      <c r="H14" s="125" t="s">
        <v>11</v>
      </c>
      <c r="I14" s="201">
        <f>SUM(K14*M14)</f>
        <v>101.50020000000001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1581.0000000000002</v>
      </c>
      <c r="N14" s="203"/>
      <c r="O14" s="201">
        <f>SUM(S14*Q14)</f>
        <v>101.50020000000001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1581.0000000000002</v>
      </c>
      <c r="T14" s="203"/>
      <c r="U14" s="201">
        <f>SUM(Y14*W14)</f>
        <v>101.50020000000001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1581.0000000000002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91.277063999999996</v>
      </c>
      <c r="D15" s="6">
        <f>SUM(I15+I16)*2+O15+O16</f>
        <v>91.277063999999996</v>
      </c>
      <c r="E15" s="6">
        <f>SUM(O15+O16)*2+U15+U16</f>
        <v>91.277063999999996</v>
      </c>
      <c r="F15" s="6">
        <f>SUM(U15+U16)*3</f>
        <v>91.277063999999996</v>
      </c>
      <c r="G15" s="65">
        <f t="shared" ref="G15" si="1">SUM(C15:F15)</f>
        <v>365.10825599999998</v>
      </c>
      <c r="H15" s="125" t="s">
        <v>118</v>
      </c>
      <c r="I15" s="201">
        <f>SUM(J15*K15*M15)</f>
        <v>22.000247999999999</v>
      </c>
      <c r="J15" s="201">
        <v>0.24</v>
      </c>
      <c r="K15" s="201">
        <v>10.1853</v>
      </c>
      <c r="L15" s="201"/>
      <c r="M15" s="208">
        <f>SUM(J4)</f>
        <v>9</v>
      </c>
      <c r="N15" s="203"/>
      <c r="O15" s="201">
        <f>SUM(P15*Q15*S15)</f>
        <v>22.000247999999999</v>
      </c>
      <c r="P15" s="201">
        <v>0.24</v>
      </c>
      <c r="Q15" s="201">
        <v>10.1853</v>
      </c>
      <c r="R15" s="201"/>
      <c r="S15" s="201">
        <f>SUM(J4)</f>
        <v>9</v>
      </c>
      <c r="T15" s="203"/>
      <c r="U15" s="201">
        <f>SUM(V15*W15*Y15)</f>
        <v>22.000247999999999</v>
      </c>
      <c r="V15" s="201">
        <v>0.24</v>
      </c>
      <c r="W15" s="201">
        <v>10.1853</v>
      </c>
      <c r="X15" s="201"/>
      <c r="Y15" s="201">
        <f>SUM(J4)</f>
        <v>9</v>
      </c>
    </row>
    <row r="16" spans="1:26" ht="20.100000000000001" customHeight="1">
      <c r="A16" s="102">
        <v>2</v>
      </c>
      <c r="B16" s="20" t="s">
        <v>16</v>
      </c>
      <c r="C16" s="27">
        <f>SUM(C17:C19)</f>
        <v>0</v>
      </c>
      <c r="D16" s="27">
        <f t="shared" ref="D16:G16" si="2">SUM(D17:D19)</f>
        <v>0</v>
      </c>
      <c r="E16" s="27">
        <f t="shared" si="2"/>
        <v>0</v>
      </c>
      <c r="F16" s="27">
        <f t="shared" si="2"/>
        <v>0</v>
      </c>
      <c r="G16" s="27">
        <f t="shared" si="2"/>
        <v>0</v>
      </c>
      <c r="H16" s="125"/>
      <c r="I16" s="201">
        <f>SUM(J16*L16*M16)</f>
        <v>8.42544</v>
      </c>
      <c r="J16" s="201">
        <v>0.24</v>
      </c>
      <c r="K16" s="201"/>
      <c r="L16" s="201">
        <v>11.702</v>
      </c>
      <c r="M16" s="201">
        <f>SUM(K4)</f>
        <v>3</v>
      </c>
      <c r="O16" s="201">
        <f>SUM(P16*R16*S16)</f>
        <v>8.42544</v>
      </c>
      <c r="P16" s="201">
        <v>0.24</v>
      </c>
      <c r="Q16" s="201"/>
      <c r="R16" s="201">
        <v>11.702</v>
      </c>
      <c r="S16" s="201">
        <f>SUM(K4)</f>
        <v>3</v>
      </c>
      <c r="U16" s="201">
        <f>SUM(V16*X16*Y16)</f>
        <v>8.42544</v>
      </c>
      <c r="V16" s="201">
        <v>0.24</v>
      </c>
      <c r="W16" s="201"/>
      <c r="X16" s="201">
        <v>11.702</v>
      </c>
      <c r="Y16" s="201">
        <f>SUM(K4)</f>
        <v>3</v>
      </c>
    </row>
    <row r="17" spans="1:35" ht="39" customHeight="1" outlineLevel="1">
      <c r="A17" s="21"/>
      <c r="B17" s="7" t="s">
        <v>20</v>
      </c>
      <c r="C17" s="9"/>
      <c r="D17" s="9"/>
      <c r="E17" s="9"/>
      <c r="F17" s="9"/>
      <c r="G17" s="66">
        <f>SUM(C17:F17)</f>
        <v>0</v>
      </c>
      <c r="H17" s="126" t="s">
        <v>121</v>
      </c>
      <c r="I17" s="201">
        <f>SUM(K17*M17)</f>
        <v>34.782000000000004</v>
      </c>
      <c r="J17" s="201" t="s">
        <v>238</v>
      </c>
      <c r="K17" s="201">
        <v>2.1999999999999999E-2</v>
      </c>
      <c r="L17" s="201"/>
      <c r="M17" s="201">
        <f>SUM(J1)</f>
        <v>1581.0000000000002</v>
      </c>
      <c r="N17" s="203"/>
      <c r="O17" s="201">
        <f>SUM(Q17*S17)</f>
        <v>34.782000000000004</v>
      </c>
      <c r="P17" s="201" t="s">
        <v>238</v>
      </c>
      <c r="Q17" s="201">
        <v>2.1999999999999999E-2</v>
      </c>
      <c r="R17" s="201"/>
      <c r="S17" s="201">
        <f>SUM(J1)</f>
        <v>1581.0000000000002</v>
      </c>
      <c r="T17" s="203"/>
      <c r="U17" s="201">
        <f>SUM(W17*Y17)</f>
        <v>34.782000000000004</v>
      </c>
      <c r="V17" s="201" t="s">
        <v>238</v>
      </c>
      <c r="W17" s="201">
        <v>2.1999999999999999E-2</v>
      </c>
      <c r="X17" s="201"/>
      <c r="Y17" s="201">
        <f>SUM(J1)</f>
        <v>1581.0000000000002</v>
      </c>
    </row>
    <row r="18" spans="1:35" ht="40.5" customHeight="1" outlineLevel="1">
      <c r="A18" s="21"/>
      <c r="B18" s="7" t="s">
        <v>14</v>
      </c>
      <c r="C18" s="6"/>
      <c r="D18" s="6"/>
      <c r="E18" s="6"/>
      <c r="F18" s="6"/>
      <c r="G18" s="66">
        <f>SUM(C18:F18)</f>
        <v>0</v>
      </c>
      <c r="H18" s="126" t="s">
        <v>122</v>
      </c>
      <c r="I18" s="201">
        <f>SUM(K18*M18)*1.5</f>
        <v>15.84</v>
      </c>
      <c r="J18" s="201" t="s">
        <v>129</v>
      </c>
      <c r="K18" s="201">
        <v>0.88</v>
      </c>
      <c r="L18" s="201"/>
      <c r="M18" s="201">
        <f>SUM(J4+K4)</f>
        <v>12</v>
      </c>
      <c r="N18" s="203"/>
      <c r="O18" s="201">
        <f>SUM(Q18*S18)*1.5</f>
        <v>15.84</v>
      </c>
      <c r="P18" s="201" t="s">
        <v>129</v>
      </c>
      <c r="Q18" s="201">
        <v>0.88</v>
      </c>
      <c r="R18" s="201"/>
      <c r="S18" s="201">
        <f>SUM(J4+K4)</f>
        <v>12</v>
      </c>
      <c r="T18" s="203"/>
      <c r="U18" s="201">
        <f>SUM(W18*Y18)*1.5</f>
        <v>15.84</v>
      </c>
      <c r="V18" s="201" t="s">
        <v>129</v>
      </c>
      <c r="W18" s="201">
        <v>0.88</v>
      </c>
      <c r="X18" s="201"/>
      <c r="Y18" s="201">
        <f>SUM(J4+K4)</f>
        <v>12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13">
        <v>3</v>
      </c>
      <c r="B20" s="20" t="s">
        <v>17</v>
      </c>
      <c r="C20" s="15">
        <f>SUM(C21:C22)</f>
        <v>82.62</v>
      </c>
      <c r="D20" s="15">
        <f t="shared" ref="D20:F20" si="3">SUM(D21:D22)</f>
        <v>82.62</v>
      </c>
      <c r="E20" s="15">
        <f t="shared" si="3"/>
        <v>82.62</v>
      </c>
      <c r="F20" s="15">
        <f t="shared" si="3"/>
        <v>82.62</v>
      </c>
      <c r="G20" s="5">
        <f>SUM(G21:G22)</f>
        <v>330.48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28.620000000000005</v>
      </c>
      <c r="D21" s="8">
        <f>SUM(M21*3)</f>
        <v>28.620000000000005</v>
      </c>
      <c r="E21" s="8">
        <f>SUM(M21*3)</f>
        <v>28.620000000000005</v>
      </c>
      <c r="F21" s="8">
        <f>SUM(M21*3)</f>
        <v>28.620000000000005</v>
      </c>
      <c r="G21" s="66">
        <f>SUM(C21:F21)</f>
        <v>114.48000000000002</v>
      </c>
      <c r="H21" s="125" t="s">
        <v>117</v>
      </c>
      <c r="I21" s="94">
        <f>SUM(J5)</f>
        <v>9</v>
      </c>
      <c r="J21" s="95"/>
      <c r="K21" s="95">
        <v>1.06</v>
      </c>
      <c r="L21" s="95"/>
      <c r="M21" s="96">
        <f>I21*K21</f>
        <v>9.5400000000000009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54</v>
      </c>
      <c r="D22" s="18">
        <f>SUM(M22*3)</f>
        <v>54</v>
      </c>
      <c r="E22" s="18">
        <f>SUM(M22*3)</f>
        <v>54</v>
      </c>
      <c r="F22" s="18">
        <f>SUM(M22*3)</f>
        <v>54</v>
      </c>
      <c r="G22" s="67">
        <f>SUM(C22:F22)</f>
        <v>216</v>
      </c>
      <c r="H22" s="126" t="s">
        <v>124</v>
      </c>
      <c r="I22" s="97">
        <f>SUM(J5)</f>
        <v>9</v>
      </c>
      <c r="J22" s="98"/>
      <c r="K22" s="98">
        <v>2</v>
      </c>
      <c r="L22" s="98"/>
      <c r="M22" s="99">
        <f>I22*K22</f>
        <v>18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2513.7900000000004</v>
      </c>
      <c r="D23" s="15">
        <f t="shared" ref="D23:F23" si="4">SUM(D24:D25)</f>
        <v>2513.7900000000004</v>
      </c>
      <c r="E23" s="15">
        <f t="shared" si="4"/>
        <v>2513.7900000000004</v>
      </c>
      <c r="F23" s="15">
        <f t="shared" si="4"/>
        <v>2513.7900000000004</v>
      </c>
      <c r="G23" s="5">
        <f>SUM(G24:G25)</f>
        <v>10055.160000000002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1660.0500000000002</v>
      </c>
      <c r="D24" s="6">
        <f>SUM(M24*3)</f>
        <v>1660.0500000000002</v>
      </c>
      <c r="E24" s="6">
        <f>SUM(M24*3)</f>
        <v>1660.0500000000002</v>
      </c>
      <c r="F24" s="6">
        <f>SUM(M24*3)</f>
        <v>1660.0500000000002</v>
      </c>
      <c r="G24" s="66">
        <f t="shared" ref="G24:G25" si="5">SUM(C24:F24)</f>
        <v>6640.2000000000007</v>
      </c>
      <c r="H24" s="128" t="s">
        <v>126</v>
      </c>
      <c r="I24" s="88">
        <f>SUM(J1)</f>
        <v>1581.0000000000002</v>
      </c>
      <c r="J24" s="89"/>
      <c r="K24" s="95">
        <v>0.35</v>
      </c>
      <c r="L24" s="95"/>
      <c r="M24" s="90">
        <f>SUM(I24*K24)</f>
        <v>553.35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853.74000000000012</v>
      </c>
      <c r="D25" s="18">
        <f>SUM(M25*3)</f>
        <v>853.74000000000012</v>
      </c>
      <c r="E25" s="18">
        <f>SUM(M25*3)</f>
        <v>853.74000000000012</v>
      </c>
      <c r="F25" s="18">
        <f>SUM(M25*3)</f>
        <v>853.74000000000012</v>
      </c>
      <c r="G25" s="67">
        <f t="shared" si="5"/>
        <v>3414.9600000000005</v>
      </c>
      <c r="H25" s="128" t="s">
        <v>127</v>
      </c>
      <c r="I25" s="91">
        <f>SUM(J1)</f>
        <v>1581.0000000000002</v>
      </c>
      <c r="J25" s="93"/>
      <c r="K25" s="98">
        <v>0.18</v>
      </c>
      <c r="L25" s="98"/>
      <c r="M25" s="92">
        <f>SUM(I25*K25)</f>
        <v>284.58000000000004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6">SUM(D27:D28)</f>
        <v>0</v>
      </c>
      <c r="E26" s="22">
        <f t="shared" si="6"/>
        <v>0</v>
      </c>
      <c r="F26" s="22">
        <f t="shared" si="6"/>
        <v>0</v>
      </c>
      <c r="G26" s="29">
        <f t="shared" ref="G26:G29" si="7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7"/>
        <v>0</v>
      </c>
      <c r="H27" s="178"/>
      <c r="I27" s="204">
        <f>SUM(J5)</f>
        <v>9</v>
      </c>
      <c r="J27" s="205"/>
      <c r="K27" s="206">
        <v>0.28000000000000003</v>
      </c>
      <c r="L27" s="205"/>
      <c r="M27" s="211">
        <f>SUM(I27*K27)</f>
        <v>2.5200000000000005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7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2687.6870640000006</v>
      </c>
      <c r="D29" s="41">
        <f>D9+D16+D20+D23+D26</f>
        <v>2687.6870640000006</v>
      </c>
      <c r="E29" s="41">
        <f>E9+E16+E20+E23+E26</f>
        <v>2687.6870640000006</v>
      </c>
      <c r="F29" s="41">
        <f>F9+F16+F20+F23+F26</f>
        <v>2687.6870640000006</v>
      </c>
      <c r="G29" s="42">
        <f t="shared" si="7"/>
        <v>10750.748256000003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0</v>
      </c>
      <c r="D31" s="53">
        <f>SUM(D32:D35)</f>
        <v>0</v>
      </c>
      <c r="E31" s="53">
        <f>SUM(E32:E35)</f>
        <v>0</v>
      </c>
      <c r="F31" s="53">
        <f>SUM(F32:F35)</f>
        <v>0</v>
      </c>
      <c r="G31" s="53">
        <f>SUM(G32:G35)</f>
        <v>0</v>
      </c>
      <c r="H31" s="128" t="s">
        <v>253</v>
      </c>
      <c r="I31" s="88">
        <f>SUM(O1)</f>
        <v>1549</v>
      </c>
      <c r="J31" s="89"/>
      <c r="K31" s="95">
        <v>0.35</v>
      </c>
      <c r="L31" s="95"/>
      <c r="M31" s="90">
        <f>SUM(I31*K31)</f>
        <v>542.15</v>
      </c>
    </row>
    <row r="32" spans="1:35" ht="20.100000000000001" customHeight="1" thickBot="1">
      <c r="A32" s="35"/>
      <c r="B32" s="7" t="s">
        <v>3</v>
      </c>
      <c r="C32" s="32">
        <f>C10</f>
        <v>0</v>
      </c>
      <c r="D32" s="32">
        <f>D10</f>
        <v>0</v>
      </c>
      <c r="E32" s="32">
        <f>E10</f>
        <v>0</v>
      </c>
      <c r="F32" s="32">
        <f>F10</f>
        <v>0</v>
      </c>
      <c r="G32" s="62">
        <f>SUM(C32:F32)</f>
        <v>0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8">C13</f>
        <v>0</v>
      </c>
      <c r="D33" s="32">
        <f t="shared" si="8"/>
        <v>0</v>
      </c>
      <c r="E33" s="32">
        <f t="shared" si="8"/>
        <v>0</v>
      </c>
      <c r="F33" s="32">
        <f t="shared" si="8"/>
        <v>0</v>
      </c>
      <c r="G33" s="62">
        <f>SUM(C33:F33)</f>
        <v>0</v>
      </c>
    </row>
    <row r="34" spans="1:7" ht="57.75" customHeight="1">
      <c r="A34" s="35"/>
      <c r="B34" s="7" t="s">
        <v>41</v>
      </c>
      <c r="C34" s="32"/>
      <c r="D34" s="32"/>
      <c r="E34" s="32"/>
      <c r="F34" s="32"/>
      <c r="G34" s="62">
        <f>SUM(C34:F34)</f>
        <v>0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9">SUM(D37:D38)</f>
        <v>0</v>
      </c>
      <c r="E36" s="53">
        <f t="shared" si="9"/>
        <v>0</v>
      </c>
      <c r="F36" s="53">
        <f t="shared" si="9"/>
        <v>0</v>
      </c>
      <c r="G36" s="53">
        <f t="shared" si="9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82.62</v>
      </c>
      <c r="D39" s="53">
        <f t="shared" ref="D39:G39" si="10">SUM(D40:D41)</f>
        <v>82.62</v>
      </c>
      <c r="E39" s="53">
        <f t="shared" si="10"/>
        <v>82.62</v>
      </c>
      <c r="F39" s="53">
        <f t="shared" si="10"/>
        <v>82.62</v>
      </c>
      <c r="G39" s="53">
        <f t="shared" si="10"/>
        <v>330.48</v>
      </c>
    </row>
    <row r="40" spans="1:7" ht="20.100000000000001" customHeight="1">
      <c r="A40" s="35"/>
      <c r="B40" s="7" t="s">
        <v>40</v>
      </c>
      <c r="C40" s="32">
        <f t="shared" ref="C40:F41" si="11">C21</f>
        <v>28.620000000000005</v>
      </c>
      <c r="D40" s="32">
        <f t="shared" si="11"/>
        <v>28.620000000000005</v>
      </c>
      <c r="E40" s="32">
        <f t="shared" si="11"/>
        <v>28.620000000000005</v>
      </c>
      <c r="F40" s="32">
        <f t="shared" si="11"/>
        <v>28.620000000000005</v>
      </c>
      <c r="G40" s="62">
        <f>SUM(C40:F40)</f>
        <v>114.48000000000002</v>
      </c>
    </row>
    <row r="41" spans="1:7" s="4" customFormat="1" ht="20.100000000000001" customHeight="1" thickBot="1">
      <c r="A41" s="45"/>
      <c r="B41" s="17" t="s">
        <v>18</v>
      </c>
      <c r="C41" s="46">
        <f t="shared" si="11"/>
        <v>54</v>
      </c>
      <c r="D41" s="46">
        <f t="shared" si="11"/>
        <v>54</v>
      </c>
      <c r="E41" s="46">
        <f t="shared" si="11"/>
        <v>54</v>
      </c>
      <c r="F41" s="46">
        <f t="shared" si="11"/>
        <v>54</v>
      </c>
      <c r="G41" s="62">
        <f>SUM(C41:F41)</f>
        <v>216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1634.0099999999998</v>
      </c>
      <c r="D42" s="53">
        <f>SUM(D43:D58)</f>
        <v>1634.0099999999998</v>
      </c>
      <c r="E42" s="53">
        <f>SUM(E43:E58)</f>
        <v>1634.0099999999998</v>
      </c>
      <c r="F42" s="53">
        <f>SUM(F43:F58)</f>
        <v>1634.0099999999998</v>
      </c>
      <c r="G42" s="55">
        <f t="shared" ref="G42:G51" si="12">SUM(C42:F42)</f>
        <v>6536.0399999999991</v>
      </c>
    </row>
    <row r="43" spans="1:7" ht="20.100000000000001" customHeight="1">
      <c r="A43" s="47"/>
      <c r="B43" s="38" t="s">
        <v>38</v>
      </c>
      <c r="C43" s="32">
        <f>SUM(M31*3)</f>
        <v>1626.4499999999998</v>
      </c>
      <c r="D43" s="32">
        <f>SUM(M31*3)</f>
        <v>1626.4499999999998</v>
      </c>
      <c r="E43" s="32">
        <f>SUM(M31*3)</f>
        <v>1626.4499999999998</v>
      </c>
      <c r="F43" s="32">
        <f>SUM(M31*3)</f>
        <v>1626.4499999999998</v>
      </c>
      <c r="G43" s="62">
        <f t="shared" si="12"/>
        <v>6505.7999999999993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2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2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2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2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2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2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7.5600000000000014</v>
      </c>
      <c r="D51" s="32">
        <f>SUM(M27*3)</f>
        <v>7.5600000000000014</v>
      </c>
      <c r="E51" s="32">
        <f>SUM(M27*3)</f>
        <v>7.5600000000000014</v>
      </c>
      <c r="F51" s="32">
        <f>SUM(M27*3)</f>
        <v>7.5600000000000014</v>
      </c>
      <c r="G51" s="62">
        <f t="shared" si="12"/>
        <v>30.240000000000006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3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3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3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3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3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3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4">D27*5/100</f>
        <v>0</v>
      </c>
      <c r="E58" s="46">
        <f t="shared" si="14"/>
        <v>0</v>
      </c>
      <c r="F58" s="46">
        <f t="shared" si="14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1716.6299999999997</v>
      </c>
      <c r="D59" s="30">
        <f>D31+D36+D39+D42</f>
        <v>1716.6299999999997</v>
      </c>
      <c r="E59" s="30">
        <f>E31+E36+E39+E42</f>
        <v>1716.6299999999997</v>
      </c>
      <c r="F59" s="30">
        <f>F31+F36+F39+F42</f>
        <v>1716.6299999999997</v>
      </c>
      <c r="G59" s="31">
        <f>G31+G36+G39+G42</f>
        <v>6866.5199999999986</v>
      </c>
    </row>
    <row r="60" spans="1:14" ht="26.1" customHeight="1" outlineLevel="1">
      <c r="A60" s="100"/>
      <c r="B60" s="60"/>
      <c r="C60" s="61">
        <f>C29-C59</f>
        <v>971.05706400000099</v>
      </c>
      <c r="D60" s="61">
        <f>D29-D59</f>
        <v>971.05706400000099</v>
      </c>
      <c r="E60" s="61">
        <f>E29-E59</f>
        <v>971.05706400000099</v>
      </c>
      <c r="F60" s="61">
        <f>F29-F59</f>
        <v>971.05706400000099</v>
      </c>
      <c r="G60" s="61">
        <f>G29-G59</f>
        <v>3884.228256000004</v>
      </c>
    </row>
    <row r="61" spans="1:14" ht="39.75" hidden="1" customHeight="1">
      <c r="A61" s="58"/>
      <c r="B61" s="7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1:14" hidden="1">
      <c r="A62" s="58"/>
      <c r="C62" s="56">
        <f>C16*1.2/100</f>
        <v>0</v>
      </c>
      <c r="D62" s="56">
        <f>D16*1.2/100</f>
        <v>0</v>
      </c>
      <c r="E62" s="56">
        <f>E16*1.2/100</f>
        <v>0</v>
      </c>
      <c r="F62" s="56">
        <f>F16*1.2/100</f>
        <v>0</v>
      </c>
    </row>
    <row r="63" spans="1:14" hidden="1">
      <c r="A63" s="59"/>
      <c r="C63" s="56">
        <f>(C16-C62)*0.5/100</f>
        <v>0</v>
      </c>
      <c r="D63" s="56">
        <f>(D16-D62)*0.5/100</f>
        <v>0</v>
      </c>
      <c r="E63" s="56">
        <f>(E16-E62)*0.5/100</f>
        <v>0</v>
      </c>
      <c r="F63" s="56">
        <f>(F16-F62)*0.5/100</f>
        <v>0</v>
      </c>
    </row>
    <row r="64" spans="1:14" hidden="1">
      <c r="C64" s="3">
        <f>C9*1.2/100</f>
        <v>1.095324768</v>
      </c>
      <c r="D64" s="3">
        <f>D9*1.2/100</f>
        <v>1.095324768</v>
      </c>
      <c r="E64" s="3">
        <f>E9*1.2/100</f>
        <v>1.095324768</v>
      </c>
      <c r="F64" s="3">
        <f>F9*1.2/100</f>
        <v>1.095324768</v>
      </c>
    </row>
    <row r="65" spans="1:15" s="3" customFormat="1" hidden="1">
      <c r="A65" s="2"/>
      <c r="B65" s="2"/>
      <c r="C65" s="3">
        <f>(C9-C64)*4/100</f>
        <v>3.6072695692800001</v>
      </c>
      <c r="D65" s="3">
        <f>(D9-D64)*4/100</f>
        <v>3.6072695692800001</v>
      </c>
      <c r="E65" s="3">
        <f>(E9-E64)*4/100</f>
        <v>3.6072695692800001</v>
      </c>
      <c r="F65" s="3">
        <f>(F9-F64)*4/100</f>
        <v>3.6072695692800001</v>
      </c>
      <c r="H65" s="2"/>
      <c r="I65" s="2"/>
      <c r="J65" s="2"/>
      <c r="K65" s="2"/>
      <c r="L65" s="2"/>
      <c r="M65" s="2"/>
      <c r="N65" s="2"/>
      <c r="O65" s="2"/>
    </row>
    <row r="66" spans="1:15" s="3" customFormat="1" hidden="1">
      <c r="A66" s="2"/>
      <c r="B66" s="2"/>
      <c r="C66" s="3">
        <f>SUM(C62:C65)</f>
        <v>4.7025943372799999</v>
      </c>
      <c r="D66" s="3">
        <f t="shared" ref="D66:F66" si="15">SUM(D62:D65)</f>
        <v>4.7025943372799999</v>
      </c>
      <c r="E66" s="3">
        <f t="shared" si="15"/>
        <v>4.7025943372799999</v>
      </c>
      <c r="F66" s="3">
        <f t="shared" si="15"/>
        <v>4.7025943372799999</v>
      </c>
      <c r="H66" s="2"/>
      <c r="I66" s="2"/>
      <c r="J66" s="2"/>
      <c r="K66" s="2"/>
      <c r="L66" s="2"/>
      <c r="M66" s="2"/>
      <c r="N66" s="2"/>
      <c r="O66" s="2"/>
    </row>
  </sheetData>
  <dataConsolidate/>
  <mergeCells count="19">
    <mergeCell ref="A59:B59"/>
    <mergeCell ref="A8:B8"/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U8:Y8"/>
    <mergeCell ref="Z10:Z12"/>
    <mergeCell ref="H28:AA28"/>
    <mergeCell ref="A29:B29"/>
    <mergeCell ref="A30:B30"/>
    <mergeCell ref="I8:M8"/>
    <mergeCell ref="O8:S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734-5690-4711-AAA0-CA2DFA787F49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45.28515625" style="2" customWidth="1"/>
    <col min="9" max="9" width="45.7109375" style="2" bestFit="1" customWidth="1"/>
    <col min="10" max="10" width="11.7109375" style="2" bestFit="1" customWidth="1"/>
    <col min="11" max="11" width="23.42578125" style="2" customWidth="1"/>
    <col min="12" max="12" width="29.85546875" style="2" bestFit="1" customWidth="1"/>
    <col min="13" max="13" width="16.5703125" style="2" customWidth="1"/>
    <col min="14" max="14" width="10.140625" style="2"/>
    <col min="15" max="15" width="14" style="2" customWidth="1"/>
    <col min="16" max="18" width="10.140625" style="2"/>
    <col min="19" max="19" width="12.7109375" style="2" customWidth="1"/>
    <col min="20" max="20" width="10.140625" style="2"/>
    <col min="21" max="21" width="18" style="2" customWidth="1"/>
    <col min="22" max="22" width="10.140625" style="2"/>
    <col min="23" max="23" width="20.5703125" style="2" customWidth="1"/>
    <col min="24" max="24" width="10.140625" style="2"/>
    <col min="25" max="25" width="13.7109375" style="2" bestFit="1" customWidth="1"/>
    <col min="26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SUM(Площадь!L17)</f>
        <v>1254.5999999999999</v>
      </c>
      <c r="K1" s="4" t="s">
        <v>235</v>
      </c>
      <c r="O1" s="2">
        <f>SUM(Площадь!M17)</f>
        <v>1252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SUM(Площадь!R17)</f>
        <v>15</v>
      </c>
      <c r="K4" s="4">
        <f>SUM(Площадь!S17)</f>
        <v>8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SUM(Площадь!Q17)</f>
        <v>19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1127.5760699999998</v>
      </c>
      <c r="D9" s="15">
        <f t="shared" ref="D9:F9" si="0">SUM(D10:D15)</f>
        <v>1127.5760699999998</v>
      </c>
      <c r="E9" s="15">
        <f t="shared" si="0"/>
        <v>1127.5760699999998</v>
      </c>
      <c r="F9" s="15">
        <f t="shared" si="0"/>
        <v>1127.5760699999998</v>
      </c>
      <c r="G9" s="15">
        <f>SUM(G10:G15)</f>
        <v>4510.3042799999994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526.17923999999994</v>
      </c>
      <c r="D10" s="9">
        <f>SUM(I10*2+O10*1)</f>
        <v>526.17923999999994</v>
      </c>
      <c r="E10" s="9">
        <f>SUM(O10*2)+U10*1</f>
        <v>526.17923999999994</v>
      </c>
      <c r="F10" s="9">
        <f>SUM(U10*3)</f>
        <v>526.17923999999994</v>
      </c>
      <c r="G10" s="65">
        <f>SUM(C10:F10)</f>
        <v>2104.7169599999997</v>
      </c>
      <c r="H10" s="125" t="s">
        <v>125</v>
      </c>
      <c r="I10" s="201">
        <f>SUM(M10*K10)</f>
        <v>175.39308</v>
      </c>
      <c r="J10" s="201" t="s">
        <v>238</v>
      </c>
      <c r="K10" s="201">
        <v>0.13980000000000001</v>
      </c>
      <c r="L10" s="201"/>
      <c r="M10" s="207">
        <f>SUM(J1)</f>
        <v>1254.5999999999999</v>
      </c>
      <c r="N10" s="202"/>
      <c r="O10" s="201">
        <f>SUM(S10*Q10)</f>
        <v>175.39308</v>
      </c>
      <c r="P10" s="201" t="s">
        <v>238</v>
      </c>
      <c r="Q10" s="201">
        <v>0.13980000000000001</v>
      </c>
      <c r="R10" s="201"/>
      <c r="S10" s="130">
        <f>SUM(J1)</f>
        <v>1254.5999999999999</v>
      </c>
      <c r="T10" s="202"/>
      <c r="U10" s="201">
        <f>SUM(Y10*W10)</f>
        <v>175.39308</v>
      </c>
      <c r="V10" s="201" t="s">
        <v>238</v>
      </c>
      <c r="W10" s="201">
        <v>0.13980000000000001</v>
      </c>
      <c r="X10" s="201"/>
      <c r="Y10" s="130">
        <f>SUM(J1)</f>
        <v>1254.5999999999999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1254.5999999999999</v>
      </c>
      <c r="N11" s="202"/>
      <c r="O11" s="201"/>
      <c r="P11" s="201" t="s">
        <v>238</v>
      </c>
      <c r="Q11" s="201"/>
      <c r="R11" s="201">
        <v>0.15</v>
      </c>
      <c r="S11" s="201">
        <f>SUM(J1)</f>
        <v>1254.5999999999999</v>
      </c>
      <c r="T11" s="202"/>
      <c r="U11" s="201"/>
      <c r="V11" s="201" t="s">
        <v>238</v>
      </c>
      <c r="W11" s="201"/>
      <c r="X11" s="201">
        <v>0.15</v>
      </c>
      <c r="Y11" s="130">
        <f>SUM(J1)</f>
        <v>1254.5999999999999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42" customHeight="1">
      <c r="A13" s="103"/>
      <c r="B13" s="7" t="s">
        <v>10</v>
      </c>
      <c r="C13" s="9">
        <f>SUM(I13*3)</f>
        <v>164.47806</v>
      </c>
      <c r="D13" s="9">
        <f>SUM(I13*2+O13)</f>
        <v>164.47806</v>
      </c>
      <c r="E13" s="9">
        <f>SUM(O13*2+U13)</f>
        <v>164.47806</v>
      </c>
      <c r="F13" s="9">
        <f>SUM(U13*3)</f>
        <v>164.47806</v>
      </c>
      <c r="G13" s="65">
        <f>SUM(C13:F13)</f>
        <v>657.91224</v>
      </c>
      <c r="H13" s="125" t="s">
        <v>120</v>
      </c>
      <c r="I13" s="201">
        <f>SUM(K13*M13)</f>
        <v>54.82602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1254.5999999999999</v>
      </c>
      <c r="N13" s="203"/>
      <c r="O13" s="201">
        <f>SUM(Q13*S13)</f>
        <v>54.82602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1254.5999999999999</v>
      </c>
      <c r="T13" s="203"/>
      <c r="U13" s="201">
        <f>SUM(W13*Y13)</f>
        <v>54.82602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1254.5999999999999</v>
      </c>
      <c r="Z13" s="3"/>
    </row>
    <row r="14" spans="1:26" ht="57" customHeight="1" outlineLevel="1">
      <c r="A14" s="16"/>
      <c r="B14" s="7" t="s">
        <v>11</v>
      </c>
      <c r="C14" s="9">
        <f>SUM(I14*3)</f>
        <v>259.51400999999998</v>
      </c>
      <c r="D14" s="9">
        <f>SUM(I14*2+O14)</f>
        <v>259.51400999999998</v>
      </c>
      <c r="E14" s="9">
        <f>SUM(O14*2+U14)</f>
        <v>259.51400999999998</v>
      </c>
      <c r="F14" s="9">
        <f>SUM(U14*3)</f>
        <v>259.51400999999998</v>
      </c>
      <c r="G14" s="65">
        <f>SUM(C14:F14)</f>
        <v>1038.0560399999999</v>
      </c>
      <c r="H14" s="125" t="s">
        <v>11</v>
      </c>
      <c r="I14" s="201">
        <f>SUM(K14+L14)/2*M14</f>
        <v>86.50466999999999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1254.5999999999999</v>
      </c>
      <c r="N14" s="203"/>
      <c r="O14" s="201">
        <f>SUM(Q14+R14)/2*S14</f>
        <v>86.50466999999999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1254.5999999999999</v>
      </c>
      <c r="T14" s="203"/>
      <c r="U14" s="201">
        <f>SUM(W14+X14)/2*Y14</f>
        <v>86.50466999999999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1254.5999999999999</v>
      </c>
      <c r="Z14" s="3"/>
    </row>
    <row r="15" spans="1:26" ht="66.75" customHeight="1" outlineLevel="1" thickBot="1">
      <c r="A15" s="16"/>
      <c r="B15" s="7" t="s">
        <v>12</v>
      </c>
      <c r="C15" s="6">
        <f>SUM(I15+I16)*3</f>
        <v>177.40475999999998</v>
      </c>
      <c r="D15" s="6">
        <f>SUM(I15+I16)*2+O15+O16</f>
        <v>177.40475999999998</v>
      </c>
      <c r="E15" s="6">
        <f>SUM(O15+O16)*2+U15+U16</f>
        <v>177.40475999999998</v>
      </c>
      <c r="F15" s="6">
        <f>SUM(U15+U16)*3</f>
        <v>177.40475999999998</v>
      </c>
      <c r="G15" s="65">
        <f t="shared" ref="G15" si="1">SUM(C15:F15)</f>
        <v>709.61903999999993</v>
      </c>
      <c r="H15" s="125" t="s">
        <v>118</v>
      </c>
      <c r="I15" s="201">
        <f>SUM(J15*K15*M15)</f>
        <v>36.667079999999999</v>
      </c>
      <c r="J15" s="201">
        <v>0.24</v>
      </c>
      <c r="K15" s="201">
        <v>10.1853</v>
      </c>
      <c r="L15" s="201"/>
      <c r="M15" s="208">
        <f>SUM(J4)</f>
        <v>15</v>
      </c>
      <c r="N15" s="203"/>
      <c r="O15" s="201">
        <f>SUM(P15*Q15*S15)</f>
        <v>36.667079999999999</v>
      </c>
      <c r="P15" s="201">
        <v>0.24</v>
      </c>
      <c r="Q15" s="201">
        <v>10.1853</v>
      </c>
      <c r="R15" s="201"/>
      <c r="S15" s="201">
        <f>SUM(J4)</f>
        <v>15</v>
      </c>
      <c r="T15" s="203"/>
      <c r="U15" s="201">
        <f>SUM(V15*W15*Y15)</f>
        <v>36.667079999999999</v>
      </c>
      <c r="V15" s="201">
        <v>0.24</v>
      </c>
      <c r="W15" s="201">
        <v>10.1853</v>
      </c>
      <c r="X15" s="201"/>
      <c r="Y15" s="201">
        <f>SUM(J4)</f>
        <v>15</v>
      </c>
    </row>
    <row r="16" spans="1:26" ht="20.100000000000001" customHeight="1">
      <c r="A16" s="102">
        <v>2</v>
      </c>
      <c r="B16" s="20" t="s">
        <v>16</v>
      </c>
      <c r="C16" s="27">
        <f>SUM(C17:C19)</f>
        <v>173.8836</v>
      </c>
      <c r="D16" s="27">
        <f t="shared" ref="D16:G16" si="2">SUM(D17:D19)</f>
        <v>173.8836</v>
      </c>
      <c r="E16" s="27">
        <f t="shared" si="2"/>
        <v>173.8836</v>
      </c>
      <c r="F16" s="27">
        <f t="shared" si="2"/>
        <v>173.8836</v>
      </c>
      <c r="G16" s="27">
        <f t="shared" si="2"/>
        <v>695.53440000000001</v>
      </c>
      <c r="H16" s="125"/>
      <c r="I16" s="201">
        <f>SUM(J16*L16*M16)</f>
        <v>22.467839999999999</v>
      </c>
      <c r="J16" s="201">
        <v>0.24</v>
      </c>
      <c r="K16" s="201"/>
      <c r="L16" s="201">
        <v>11.702</v>
      </c>
      <c r="M16" s="201">
        <f>SUM(K4)</f>
        <v>8</v>
      </c>
      <c r="O16" s="201">
        <f>SUM(P16*R16*S16)</f>
        <v>22.467839999999999</v>
      </c>
      <c r="P16" s="201">
        <v>0.24</v>
      </c>
      <c r="Q16" s="201"/>
      <c r="R16" s="201">
        <v>11.702</v>
      </c>
      <c r="S16" s="201">
        <f>SUM(K4)</f>
        <v>8</v>
      </c>
      <c r="U16" s="201">
        <f>SUM(V16*X16*Y16)</f>
        <v>22.467839999999999</v>
      </c>
      <c r="V16" s="201">
        <v>0.24</v>
      </c>
      <c r="W16" s="201"/>
      <c r="X16" s="201">
        <v>11.702</v>
      </c>
      <c r="Y16" s="201">
        <f>SUM(K4)</f>
        <v>8</v>
      </c>
    </row>
    <row r="17" spans="1:35" ht="39" customHeight="1" outlineLevel="1">
      <c r="A17" s="21"/>
      <c r="B17" s="7" t="s">
        <v>20</v>
      </c>
      <c r="C17" s="9">
        <f>SUM(I17*3)</f>
        <v>82.803599999999989</v>
      </c>
      <c r="D17" s="9">
        <f>SUM(I17*2+O17)</f>
        <v>82.803599999999989</v>
      </c>
      <c r="E17" s="9">
        <f>SUM(O17*2+U17)</f>
        <v>82.803599999999989</v>
      </c>
      <c r="F17" s="9">
        <f>SUM(U17*3)</f>
        <v>82.803599999999989</v>
      </c>
      <c r="G17" s="66">
        <f>SUM(C17:F17)</f>
        <v>331.21439999999996</v>
      </c>
      <c r="H17" s="126" t="s">
        <v>121</v>
      </c>
      <c r="I17" s="201">
        <f>SUM(K17*M17)</f>
        <v>27.601199999999995</v>
      </c>
      <c r="J17" s="201" t="s">
        <v>238</v>
      </c>
      <c r="K17" s="201">
        <v>2.1999999999999999E-2</v>
      </c>
      <c r="L17" s="201"/>
      <c r="M17" s="201">
        <f>SUM(J1)</f>
        <v>1254.5999999999999</v>
      </c>
      <c r="N17" s="203"/>
      <c r="O17" s="201">
        <f>SUM(Q17*S17)</f>
        <v>27.601199999999995</v>
      </c>
      <c r="P17" s="201" t="s">
        <v>238</v>
      </c>
      <c r="Q17" s="201">
        <v>2.1999999999999999E-2</v>
      </c>
      <c r="R17" s="201"/>
      <c r="S17" s="201">
        <f>SUM(J1)</f>
        <v>1254.5999999999999</v>
      </c>
      <c r="T17" s="203"/>
      <c r="U17" s="201">
        <f>SUM(W17*Y17)</f>
        <v>27.601199999999995</v>
      </c>
      <c r="V17" s="201" t="s">
        <v>238</v>
      </c>
      <c r="W17" s="201">
        <v>2.1999999999999999E-2</v>
      </c>
      <c r="X17" s="201"/>
      <c r="Y17" s="201">
        <f>SUM(J1)</f>
        <v>1254.5999999999999</v>
      </c>
    </row>
    <row r="18" spans="1:35" ht="40.5" customHeight="1" outlineLevel="1">
      <c r="A18" s="21"/>
      <c r="B18" s="7" t="s">
        <v>14</v>
      </c>
      <c r="C18" s="9">
        <f>SUM(I18*3)</f>
        <v>91.08</v>
      </c>
      <c r="D18" s="9">
        <f>SUM(I18*2+O18)</f>
        <v>91.08</v>
      </c>
      <c r="E18" s="9">
        <f>SUM(O18*2+U18)</f>
        <v>91.08</v>
      </c>
      <c r="F18" s="9">
        <f>SUM(U18*3)</f>
        <v>91.08</v>
      </c>
      <c r="G18" s="66">
        <f>SUM(C18:F18)</f>
        <v>364.32</v>
      </c>
      <c r="H18" s="126" t="s">
        <v>122</v>
      </c>
      <c r="I18" s="201">
        <f>SUM(K18*M18)*1.5</f>
        <v>30.36</v>
      </c>
      <c r="J18" s="201" t="s">
        <v>129</v>
      </c>
      <c r="K18" s="201">
        <v>0.88</v>
      </c>
      <c r="L18" s="201"/>
      <c r="M18" s="201">
        <f>SUM(J4+K4)</f>
        <v>23</v>
      </c>
      <c r="N18" s="203"/>
      <c r="O18" s="201">
        <f>SUM(Q18*S18)*1.5</f>
        <v>30.36</v>
      </c>
      <c r="P18" s="201" t="s">
        <v>129</v>
      </c>
      <c r="Q18" s="201">
        <v>0.88</v>
      </c>
      <c r="R18" s="201"/>
      <c r="S18" s="201">
        <f>SUM(J4+K4)</f>
        <v>23</v>
      </c>
      <c r="T18" s="203"/>
      <c r="U18" s="201">
        <f>SUM(W18*Y18)*1.5</f>
        <v>30.36</v>
      </c>
      <c r="V18" s="201" t="s">
        <v>129</v>
      </c>
      <c r="W18" s="201">
        <v>0.88</v>
      </c>
      <c r="X18" s="201"/>
      <c r="Y18" s="201">
        <f>SUM(J4+K4)</f>
        <v>23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174.42000000000002</v>
      </c>
      <c r="D20" s="15">
        <f t="shared" ref="D20:F20" si="3">SUM(D21:D22)</f>
        <v>174.42000000000002</v>
      </c>
      <c r="E20" s="15">
        <f t="shared" si="3"/>
        <v>174.42000000000002</v>
      </c>
      <c r="F20" s="15">
        <f t="shared" si="3"/>
        <v>174.42000000000002</v>
      </c>
      <c r="G20" s="5">
        <f>SUM(G21:G22)</f>
        <v>697.68000000000006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60.42</v>
      </c>
      <c r="D21" s="8">
        <f>SUM(M21*3)</f>
        <v>60.42</v>
      </c>
      <c r="E21" s="8">
        <f>SUM(M21*3)</f>
        <v>60.42</v>
      </c>
      <c r="F21" s="8">
        <f>SUM(M21*3)</f>
        <v>60.42</v>
      </c>
      <c r="G21" s="66">
        <f>SUM(C21:F21)</f>
        <v>241.68</v>
      </c>
      <c r="H21" s="125" t="s">
        <v>117</v>
      </c>
      <c r="I21" s="94">
        <f>SUM(J5)</f>
        <v>19</v>
      </c>
      <c r="J21" s="95"/>
      <c r="K21" s="95">
        <v>1.06</v>
      </c>
      <c r="L21" s="95"/>
      <c r="M21" s="96">
        <f>I21*K21</f>
        <v>20.14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114</v>
      </c>
      <c r="D22" s="18">
        <f>SUM(M22*3)</f>
        <v>114</v>
      </c>
      <c r="E22" s="18">
        <f>SUM(M22*3)</f>
        <v>114</v>
      </c>
      <c r="F22" s="18">
        <f>SUM(M22*3)</f>
        <v>114</v>
      </c>
      <c r="G22" s="67">
        <f>SUM(C22:F22)</f>
        <v>456</v>
      </c>
      <c r="H22" s="126" t="s">
        <v>124</v>
      </c>
      <c r="I22" s="97">
        <f>SUM(J5)</f>
        <v>19</v>
      </c>
      <c r="J22" s="98"/>
      <c r="K22" s="98">
        <v>2</v>
      </c>
      <c r="L22" s="98"/>
      <c r="M22" s="99">
        <f>I22*K22</f>
        <v>38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3500.3339999999998</v>
      </c>
      <c r="D23" s="15">
        <f t="shared" ref="D23:F23" si="4">SUM(D24:D25)</f>
        <v>3500.3339999999998</v>
      </c>
      <c r="E23" s="15">
        <f t="shared" si="4"/>
        <v>3500.3339999999998</v>
      </c>
      <c r="F23" s="15">
        <f t="shared" si="4"/>
        <v>3500.3339999999998</v>
      </c>
      <c r="G23" s="5">
        <f>SUM(G24:G25)</f>
        <v>14001.335999999999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2333.556</v>
      </c>
      <c r="D24" s="6">
        <f>SUM(M24*3)</f>
        <v>2333.556</v>
      </c>
      <c r="E24" s="6">
        <f>SUM(M24*3)</f>
        <v>2333.556</v>
      </c>
      <c r="F24" s="6">
        <f>SUM(M24*3)</f>
        <v>2333.556</v>
      </c>
      <c r="G24" s="66">
        <f t="shared" ref="G24:G25" si="5">SUM(C24:F24)</f>
        <v>9334.2240000000002</v>
      </c>
      <c r="H24" s="128" t="s">
        <v>126</v>
      </c>
      <c r="I24" s="88">
        <f>SUM(J1)</f>
        <v>1254.5999999999999</v>
      </c>
      <c r="J24" s="89"/>
      <c r="K24" s="95">
        <v>0.62</v>
      </c>
      <c r="L24" s="95"/>
      <c r="M24" s="90">
        <f>SUM(I24*K24)</f>
        <v>777.85199999999998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1166.778</v>
      </c>
      <c r="D25" s="18">
        <f>SUM(M25*3)</f>
        <v>1166.778</v>
      </c>
      <c r="E25" s="18">
        <f>SUM(M25*3)</f>
        <v>1166.778</v>
      </c>
      <c r="F25" s="18">
        <f>SUM(M25*3)</f>
        <v>1166.778</v>
      </c>
      <c r="G25" s="67">
        <f t="shared" si="5"/>
        <v>4667.1120000000001</v>
      </c>
      <c r="H25" s="128" t="s">
        <v>127</v>
      </c>
      <c r="I25" s="91">
        <f>SUM(J1)</f>
        <v>1254.5999999999999</v>
      </c>
      <c r="J25" s="93"/>
      <c r="K25" s="98">
        <v>0.31</v>
      </c>
      <c r="L25" s="98"/>
      <c r="M25" s="92">
        <f>SUM(I25*K25)</f>
        <v>388.92599999999999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6">SUM(D27:D28)</f>
        <v>0</v>
      </c>
      <c r="E26" s="22">
        <f t="shared" si="6"/>
        <v>0</v>
      </c>
      <c r="F26" s="22">
        <f t="shared" si="6"/>
        <v>0</v>
      </c>
      <c r="G26" s="29">
        <f t="shared" ref="G26:G29" si="7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7"/>
        <v>0</v>
      </c>
      <c r="H27" s="178"/>
      <c r="I27" s="204">
        <f>SUM(J5)</f>
        <v>19</v>
      </c>
      <c r="J27" s="205"/>
      <c r="K27" s="206">
        <v>0.28000000000000003</v>
      </c>
      <c r="L27" s="205"/>
      <c r="M27" s="211">
        <f>SUM(I27*K27)</f>
        <v>5.32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7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4976.2136699999992</v>
      </c>
      <c r="D29" s="41">
        <f>D9+D16+D20+D23+D26</f>
        <v>4976.2136699999992</v>
      </c>
      <c r="E29" s="41">
        <f>E9+E16+E20+E23+E26</f>
        <v>4976.2136699999992</v>
      </c>
      <c r="F29" s="41">
        <f>F9+F16+F20+F23+F26</f>
        <v>4976.2136699999992</v>
      </c>
      <c r="G29" s="42">
        <f t="shared" si="7"/>
        <v>19904.854679999997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1074.733918856429</v>
      </c>
      <c r="D31" s="53">
        <f>SUM(D32:D35)</f>
        <v>1074.733918856429</v>
      </c>
      <c r="E31" s="53">
        <f>SUM(E32:E35)</f>
        <v>1074.733918856429</v>
      </c>
      <c r="F31" s="53">
        <f>SUM(F32:F35)</f>
        <v>1074.733918856429</v>
      </c>
      <c r="G31" s="53">
        <f>SUM(G32:G35)</f>
        <v>4298.935675425716</v>
      </c>
      <c r="H31" s="128" t="s">
        <v>253</v>
      </c>
      <c r="I31" s="88">
        <f>SUM(O1)</f>
        <v>1252</v>
      </c>
      <c r="J31" s="89"/>
      <c r="K31" s="95">
        <v>0.62</v>
      </c>
      <c r="L31" s="95"/>
      <c r="M31" s="90">
        <f>SUM(I31*K31)</f>
        <v>776.24</v>
      </c>
    </row>
    <row r="32" spans="1:35" ht="20.100000000000001" customHeight="1" thickBot="1">
      <c r="A32" s="35"/>
      <c r="B32" s="7" t="s">
        <v>3</v>
      </c>
      <c r="C32" s="32">
        <f>C10</f>
        <v>526.17923999999994</v>
      </c>
      <c r="D32" s="32">
        <f>D10</f>
        <v>526.17923999999994</v>
      </c>
      <c r="E32" s="32">
        <f>E10</f>
        <v>526.17923999999994</v>
      </c>
      <c r="F32" s="32">
        <f>F10</f>
        <v>526.17923999999994</v>
      </c>
      <c r="G32" s="62">
        <f>SUM(C32:F32)</f>
        <v>2104.7169599999997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8">C13</f>
        <v>164.47806</v>
      </c>
      <c r="D33" s="32">
        <f t="shared" si="8"/>
        <v>164.47806</v>
      </c>
      <c r="E33" s="32">
        <f t="shared" si="8"/>
        <v>164.47806</v>
      </c>
      <c r="F33" s="32">
        <f t="shared" si="8"/>
        <v>164.47806</v>
      </c>
      <c r="G33" s="62">
        <f>SUM(C33:F33)</f>
        <v>657.91224</v>
      </c>
    </row>
    <row r="34" spans="1:7" ht="57.75" customHeight="1">
      <c r="A34" s="35"/>
      <c r="B34" s="7" t="s">
        <v>41</v>
      </c>
      <c r="C34" s="32">
        <f>Площадь!D6</f>
        <v>384.07661885642898</v>
      </c>
      <c r="D34" s="32">
        <f>C34</f>
        <v>384.07661885642898</v>
      </c>
      <c r="E34" s="32">
        <f>C34</f>
        <v>384.07661885642898</v>
      </c>
      <c r="F34" s="32">
        <f>C34</f>
        <v>384.07661885642898</v>
      </c>
      <c r="G34" s="62">
        <f>SUM(C34:F34)</f>
        <v>1536.3064754257159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9">SUM(D37:D38)</f>
        <v>0</v>
      </c>
      <c r="E36" s="53">
        <f t="shared" si="9"/>
        <v>0</v>
      </c>
      <c r="F36" s="53">
        <f t="shared" si="9"/>
        <v>0</v>
      </c>
      <c r="G36" s="53">
        <f t="shared" si="9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174.42000000000002</v>
      </c>
      <c r="D39" s="53">
        <f t="shared" ref="D39:G39" si="10">SUM(D40:D41)</f>
        <v>174.42000000000002</v>
      </c>
      <c r="E39" s="53">
        <f t="shared" si="10"/>
        <v>174.42000000000002</v>
      </c>
      <c r="F39" s="53">
        <f t="shared" si="10"/>
        <v>174.42000000000002</v>
      </c>
      <c r="G39" s="53">
        <f t="shared" si="10"/>
        <v>697.68000000000006</v>
      </c>
    </row>
    <row r="40" spans="1:7" ht="20.100000000000001" customHeight="1">
      <c r="A40" s="35"/>
      <c r="B40" s="7" t="s">
        <v>40</v>
      </c>
      <c r="C40" s="32">
        <f t="shared" ref="C40:F41" si="11">C21</f>
        <v>60.42</v>
      </c>
      <c r="D40" s="32">
        <f t="shared" si="11"/>
        <v>60.42</v>
      </c>
      <c r="E40" s="32">
        <f t="shared" si="11"/>
        <v>60.42</v>
      </c>
      <c r="F40" s="32">
        <f t="shared" si="11"/>
        <v>60.42</v>
      </c>
      <c r="G40" s="62">
        <f>SUM(C40:F40)</f>
        <v>241.68</v>
      </c>
    </row>
    <row r="41" spans="1:7" s="4" customFormat="1" ht="20.100000000000001" customHeight="1" thickBot="1">
      <c r="A41" s="45"/>
      <c r="B41" s="17" t="s">
        <v>18</v>
      </c>
      <c r="C41" s="46">
        <f t="shared" si="11"/>
        <v>114</v>
      </c>
      <c r="D41" s="46">
        <f t="shared" si="11"/>
        <v>114</v>
      </c>
      <c r="E41" s="46">
        <f t="shared" si="11"/>
        <v>114</v>
      </c>
      <c r="F41" s="46">
        <f t="shared" si="11"/>
        <v>114</v>
      </c>
      <c r="G41" s="62">
        <f>SUM(C41:F41)</f>
        <v>456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2344.6800000000003</v>
      </c>
      <c r="D42" s="53">
        <f>SUM(D43:D58)</f>
        <v>2344.6800000000003</v>
      </c>
      <c r="E42" s="53">
        <f>SUM(E43:E58)</f>
        <v>2344.6800000000003</v>
      </c>
      <c r="F42" s="53">
        <f>SUM(F43:F58)</f>
        <v>2344.6800000000003</v>
      </c>
      <c r="G42" s="55">
        <f t="shared" ref="G42:G51" si="12">SUM(C42:F42)</f>
        <v>9378.7200000000012</v>
      </c>
    </row>
    <row r="43" spans="1:7" ht="20.100000000000001" customHeight="1">
      <c r="A43" s="47"/>
      <c r="B43" s="38" t="s">
        <v>38</v>
      </c>
      <c r="C43" s="32">
        <f>SUM(M31*3)</f>
        <v>2328.7200000000003</v>
      </c>
      <c r="D43" s="32">
        <f>SUM(M31*3)</f>
        <v>2328.7200000000003</v>
      </c>
      <c r="E43" s="32">
        <f>SUM(M31*3)</f>
        <v>2328.7200000000003</v>
      </c>
      <c r="F43" s="32">
        <f>SUM(M31*3)</f>
        <v>2328.7200000000003</v>
      </c>
      <c r="G43" s="62">
        <f t="shared" si="12"/>
        <v>9314.880000000001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2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2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2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2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2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2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15.96</v>
      </c>
      <c r="D51" s="32">
        <f>SUM(M27*3)</f>
        <v>15.96</v>
      </c>
      <c r="E51" s="32">
        <f>SUM(M27*3)</f>
        <v>15.96</v>
      </c>
      <c r="F51" s="32">
        <f>SUM(M27*3)</f>
        <v>15.96</v>
      </c>
      <c r="G51" s="62">
        <f t="shared" si="12"/>
        <v>63.84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3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3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3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3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3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3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4">D27*5/100</f>
        <v>0</v>
      </c>
      <c r="E58" s="46">
        <f t="shared" si="14"/>
        <v>0</v>
      </c>
      <c r="F58" s="46">
        <f t="shared" si="14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3593.8339188564296</v>
      </c>
      <c r="D59" s="30">
        <f>D31+D36+D39+D42</f>
        <v>3593.8339188564296</v>
      </c>
      <c r="E59" s="30">
        <f>E31+E36+E39+E42</f>
        <v>3593.8339188564296</v>
      </c>
      <c r="F59" s="30">
        <f>F31+F36+F39+F42</f>
        <v>3593.8339188564296</v>
      </c>
      <c r="G59" s="31">
        <f>G31+G36+G39+G42</f>
        <v>14375.335675425718</v>
      </c>
    </row>
    <row r="60" spans="1:14" ht="26.1" hidden="1" customHeight="1" outlineLevel="1">
      <c r="A60" s="100"/>
      <c r="B60" s="60"/>
      <c r="C60" s="61">
        <f>C29-C59</f>
        <v>1382.3797511435696</v>
      </c>
      <c r="D60" s="61">
        <f>D29-D59</f>
        <v>1382.3797511435696</v>
      </c>
      <c r="E60" s="61">
        <f>E29-E59</f>
        <v>1382.3797511435696</v>
      </c>
      <c r="F60" s="61">
        <f>F29-F59</f>
        <v>1382.3797511435696</v>
      </c>
      <c r="G60" s="61">
        <f>G29-G59</f>
        <v>5529.5190045742784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2.0866031999999999</v>
      </c>
      <c r="D77" s="56">
        <f>D16*1.2/100</f>
        <v>2.0866031999999999</v>
      </c>
      <c r="E77" s="56">
        <f>E16*1.2/100</f>
        <v>2.0866031999999999</v>
      </c>
      <c r="F77" s="56">
        <f>F16*1.2/100</f>
        <v>2.0866031999999999</v>
      </c>
    </row>
    <row r="78" spans="1:15" hidden="1">
      <c r="A78" s="59"/>
      <c r="C78" s="56">
        <f>(C16-C77)*0.5/100</f>
        <v>0.8589849839999999</v>
      </c>
      <c r="D78" s="56">
        <f>(D16-D77)*0.5/100</f>
        <v>0.8589849839999999</v>
      </c>
      <c r="E78" s="56">
        <f>(E16-E77)*0.5/100</f>
        <v>0.8589849839999999</v>
      </c>
      <c r="F78" s="56">
        <f>(F16-F77)*0.5/100</f>
        <v>0.8589849839999999</v>
      </c>
    </row>
    <row r="79" spans="1:15" hidden="1">
      <c r="C79" s="3">
        <f>C9*1.2/100</f>
        <v>13.530912839999999</v>
      </c>
      <c r="D79" s="3">
        <f>D9*1.2/100</f>
        <v>13.530912839999999</v>
      </c>
      <c r="E79" s="3">
        <f>E9*1.2/100</f>
        <v>13.530912839999999</v>
      </c>
      <c r="F79" s="3">
        <f>F9*1.2/100</f>
        <v>13.530912839999999</v>
      </c>
    </row>
    <row r="80" spans="1:15" s="3" customFormat="1" hidden="1">
      <c r="A80" s="2"/>
      <c r="B80" s="2"/>
      <c r="C80" s="3">
        <f>(C9-C79)*4/100</f>
        <v>44.5618062864</v>
      </c>
      <c r="D80" s="3">
        <f>(D9-D79)*4/100</f>
        <v>44.5618062864</v>
      </c>
      <c r="E80" s="3">
        <f>(E9-E79)*4/100</f>
        <v>44.5618062864</v>
      </c>
      <c r="F80" s="3">
        <f>(F9-F79)*4/100</f>
        <v>44.5618062864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61.0383073104</v>
      </c>
      <c r="D81" s="3">
        <f t="shared" ref="D81:F81" si="15">SUM(D77:D80)</f>
        <v>61.0383073104</v>
      </c>
      <c r="E81" s="3">
        <f t="shared" si="15"/>
        <v>61.0383073104</v>
      </c>
      <c r="F81" s="3">
        <f t="shared" si="15"/>
        <v>61.0383073104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1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C105-0249-4E87-B031-66C0F86CBA28}">
  <sheetPr>
    <tabColor rgb="FFFFC000"/>
    <pageSetUpPr fitToPage="1"/>
  </sheetPr>
  <dimension ref="A1:AI81"/>
  <sheetViews>
    <sheetView showGridLines="0" view="pageBreakPreview" topLeftCell="A55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SUM(Площадь!L18)</f>
        <v>1423.8</v>
      </c>
      <c r="K1" s="4" t="s">
        <v>235</v>
      </c>
      <c r="O1" s="2">
        <f>SUM(Площадь!M18)</f>
        <v>1427.3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SUM(Площадь!R18)</f>
        <v>21</v>
      </c>
      <c r="K4" s="4">
        <f>SUM(Площадь!S18)</f>
        <v>5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SUM(Площадь!Q18)</f>
        <v>18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1274.4438660000001</v>
      </c>
      <c r="D9" s="15">
        <f t="shared" ref="D9:F9" si="0">SUM(D10:D15)</f>
        <v>1274.4438660000001</v>
      </c>
      <c r="E9" s="15">
        <f t="shared" si="0"/>
        <v>1274.4438660000001</v>
      </c>
      <c r="F9" s="15">
        <f t="shared" si="0"/>
        <v>1274.4438660000001</v>
      </c>
      <c r="G9" s="15">
        <f>SUM(G10:G15)</f>
        <v>5097.7754640000003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597.14172000000008</v>
      </c>
      <c r="D10" s="9">
        <f>SUM(I10*2+O10*1)</f>
        <v>597.14172000000008</v>
      </c>
      <c r="E10" s="9">
        <f>SUM(O10*2)+U10*1</f>
        <v>597.14172000000008</v>
      </c>
      <c r="F10" s="9">
        <f>SUM(U10*3)</f>
        <v>597.14172000000008</v>
      </c>
      <c r="G10" s="65">
        <f>SUM(C10:F10)</f>
        <v>2388.5668800000003</v>
      </c>
      <c r="H10" s="125" t="s">
        <v>125</v>
      </c>
      <c r="I10" s="201">
        <f>SUM(M10*K10)</f>
        <v>199.04724000000002</v>
      </c>
      <c r="J10" s="201" t="s">
        <v>238</v>
      </c>
      <c r="K10" s="201">
        <v>0.13980000000000001</v>
      </c>
      <c r="L10" s="201"/>
      <c r="M10" s="207">
        <f>SUM(J1)</f>
        <v>1423.8</v>
      </c>
      <c r="N10" s="202"/>
      <c r="O10" s="201">
        <f>SUM(S10*Q10)</f>
        <v>199.04724000000002</v>
      </c>
      <c r="P10" s="201" t="s">
        <v>238</v>
      </c>
      <c r="Q10" s="201">
        <v>0.13980000000000001</v>
      </c>
      <c r="R10" s="201"/>
      <c r="S10" s="130">
        <f>SUM(J1)</f>
        <v>1423.8</v>
      </c>
      <c r="T10" s="202"/>
      <c r="U10" s="201">
        <f>SUM(Y10*W10)</f>
        <v>199.04724000000002</v>
      </c>
      <c r="V10" s="201" t="s">
        <v>238</v>
      </c>
      <c r="W10" s="201">
        <v>0.13980000000000001</v>
      </c>
      <c r="X10" s="201"/>
      <c r="Y10" s="130">
        <f>SUM(J1)</f>
        <v>1423.8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1423.8</v>
      </c>
      <c r="N11" s="202"/>
      <c r="O11" s="201"/>
      <c r="P11" s="201" t="s">
        <v>238</v>
      </c>
      <c r="Q11" s="201"/>
      <c r="R11" s="201">
        <v>0.15</v>
      </c>
      <c r="S11" s="201">
        <f>SUM(J1)</f>
        <v>1423.8</v>
      </c>
      <c r="T11" s="202"/>
      <c r="U11" s="201"/>
      <c r="V11" s="201" t="s">
        <v>238</v>
      </c>
      <c r="W11" s="201"/>
      <c r="X11" s="201">
        <v>0.15</v>
      </c>
      <c r="Y11" s="130">
        <f>SUM(J1)</f>
        <v>1423.8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186.66018000000003</v>
      </c>
      <c r="D13" s="9">
        <f>SUM(I13*2+O13)</f>
        <v>186.66018000000003</v>
      </c>
      <c r="E13" s="9">
        <f>SUM(O13*2+U13)</f>
        <v>186.66018000000003</v>
      </c>
      <c r="F13" s="9">
        <f>SUM(U13*3)</f>
        <v>186.66018000000003</v>
      </c>
      <c r="G13" s="65">
        <f t="shared" ref="G13:G14" si="1">SUM(C13:F13)</f>
        <v>746.6407200000001</v>
      </c>
      <c r="H13" s="125" t="s">
        <v>120</v>
      </c>
      <c r="I13" s="201">
        <f>SUM(K13*M13)</f>
        <v>62.220060000000004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1423.8</v>
      </c>
      <c r="N13" s="203"/>
      <c r="O13" s="201">
        <f>SUM(Q13*S13)</f>
        <v>62.220060000000004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1423.8</v>
      </c>
      <c r="T13" s="203"/>
      <c r="U13" s="201">
        <f>SUM(W13*Y13)</f>
        <v>62.220060000000004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1423.8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294.51302999999996</v>
      </c>
      <c r="D14" s="9">
        <f>SUM(I14*2+O14)</f>
        <v>294.51302999999996</v>
      </c>
      <c r="E14" s="9">
        <f>SUM(O14*2+U14)</f>
        <v>294.51302999999996</v>
      </c>
      <c r="F14" s="9">
        <f>SUM(U14*3)</f>
        <v>294.51302999999996</v>
      </c>
      <c r="G14" s="65">
        <f t="shared" si="1"/>
        <v>1178.0521199999998</v>
      </c>
      <c r="H14" s="125" t="s">
        <v>11</v>
      </c>
      <c r="I14" s="201">
        <f>SUM(K14+L14)/2*M14</f>
        <v>98.171009999999995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1423.8</v>
      </c>
      <c r="N14" s="203"/>
      <c r="O14" s="201">
        <f>SUM(Q14+R14)/2*S14</f>
        <v>98.171009999999995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1423.8</v>
      </c>
      <c r="T14" s="203"/>
      <c r="U14" s="201">
        <f>SUM(W14+X14)/2*Y14</f>
        <v>98.171009999999995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1423.8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196.12893600000001</v>
      </c>
      <c r="D15" s="6">
        <f>SUM(I15+I16)*2+O15+O16</f>
        <v>196.12893599999998</v>
      </c>
      <c r="E15" s="6">
        <f>SUM(O15+O16)*2+U15+U16</f>
        <v>196.12893599999998</v>
      </c>
      <c r="F15" s="6">
        <f>SUM(U15+U16)*3</f>
        <v>196.12893600000001</v>
      </c>
      <c r="G15" s="65">
        <f t="shared" ref="G15" si="2">SUM(C15:F15)</f>
        <v>784.51574400000004</v>
      </c>
      <c r="H15" s="125" t="s">
        <v>118</v>
      </c>
      <c r="I15" s="201">
        <f>SUM(J15*K15*M15)</f>
        <v>51.333911999999998</v>
      </c>
      <c r="J15" s="201">
        <v>0.24</v>
      </c>
      <c r="K15" s="201">
        <v>10.1853</v>
      </c>
      <c r="L15" s="201"/>
      <c r="M15" s="208">
        <f>SUM(J4)</f>
        <v>21</v>
      </c>
      <c r="N15" s="203"/>
      <c r="O15" s="201">
        <f>SUM(P15*Q15*S15)</f>
        <v>51.333911999999998</v>
      </c>
      <c r="P15" s="201">
        <v>0.24</v>
      </c>
      <c r="Q15" s="201">
        <v>10.1853</v>
      </c>
      <c r="R15" s="201"/>
      <c r="S15" s="201">
        <f>SUM(J4)</f>
        <v>21</v>
      </c>
      <c r="T15" s="203"/>
      <c r="U15" s="201">
        <f>SUM(V15*W15*Y15)</f>
        <v>51.333911999999998</v>
      </c>
      <c r="V15" s="201">
        <v>0.24</v>
      </c>
      <c r="W15" s="201">
        <v>10.1853</v>
      </c>
      <c r="X15" s="201"/>
      <c r="Y15" s="201">
        <f>SUM(J4)</f>
        <v>21</v>
      </c>
    </row>
    <row r="16" spans="1:26" ht="20.100000000000001" customHeight="1">
      <c r="A16" s="102">
        <v>2</v>
      </c>
      <c r="B16" s="20" t="s">
        <v>16</v>
      </c>
      <c r="C16" s="27">
        <f>SUM(C17:C19)</f>
        <v>196.93079999999998</v>
      </c>
      <c r="D16" s="27">
        <f t="shared" ref="D16:F16" si="3">SUM(D17:D19)</f>
        <v>196.93079999999998</v>
      </c>
      <c r="E16" s="27">
        <f t="shared" si="3"/>
        <v>196.93079999999998</v>
      </c>
      <c r="F16" s="27">
        <f t="shared" si="3"/>
        <v>196.93079999999998</v>
      </c>
      <c r="G16" s="27">
        <f t="shared" ref="G16" si="4">SUM(G17:G19)</f>
        <v>787.72319999999991</v>
      </c>
      <c r="H16" s="125"/>
      <c r="I16" s="201">
        <f>SUM(J16*L16*M16)</f>
        <v>14.042399999999999</v>
      </c>
      <c r="J16" s="201">
        <v>0.24</v>
      </c>
      <c r="K16" s="201"/>
      <c r="L16" s="201">
        <v>11.702</v>
      </c>
      <c r="M16" s="201">
        <f>SUM(K4)</f>
        <v>5</v>
      </c>
      <c r="O16" s="201">
        <f>SUM(P16*R16*S16)</f>
        <v>14.042399999999999</v>
      </c>
      <c r="P16" s="201">
        <v>0.24</v>
      </c>
      <c r="Q16" s="201"/>
      <c r="R16" s="201">
        <v>11.702</v>
      </c>
      <c r="S16" s="201">
        <f>SUM(K4)</f>
        <v>5</v>
      </c>
      <c r="U16" s="201">
        <f>SUM(V16*X16*Y16)</f>
        <v>14.042399999999999</v>
      </c>
      <c r="V16" s="201">
        <v>0.24</v>
      </c>
      <c r="W16" s="201"/>
      <c r="X16" s="201">
        <v>11.702</v>
      </c>
      <c r="Y16" s="201">
        <f>SUM(K4)</f>
        <v>5</v>
      </c>
    </row>
    <row r="17" spans="1:35" ht="39" customHeight="1" outlineLevel="1">
      <c r="A17" s="21"/>
      <c r="B17" s="7" t="s">
        <v>20</v>
      </c>
      <c r="C17" s="9">
        <f>$I$17*3</f>
        <v>93.970799999999983</v>
      </c>
      <c r="D17" s="9">
        <f t="shared" ref="D17:F17" si="5">$I$17*3</f>
        <v>93.970799999999983</v>
      </c>
      <c r="E17" s="9">
        <f t="shared" si="5"/>
        <v>93.970799999999983</v>
      </c>
      <c r="F17" s="9">
        <f t="shared" si="5"/>
        <v>93.970799999999983</v>
      </c>
      <c r="G17" s="66">
        <f>SUM(C17:F17)</f>
        <v>375.88319999999993</v>
      </c>
      <c r="H17" s="126" t="s">
        <v>121</v>
      </c>
      <c r="I17" s="201">
        <f>SUM(K17*M17)</f>
        <v>31.323599999999995</v>
      </c>
      <c r="J17" s="201" t="s">
        <v>238</v>
      </c>
      <c r="K17" s="201">
        <v>2.1999999999999999E-2</v>
      </c>
      <c r="L17" s="201"/>
      <c r="M17" s="201">
        <f>SUM(J1)</f>
        <v>1423.8</v>
      </c>
      <c r="N17" s="203"/>
      <c r="O17" s="201">
        <f>SUM(Q17*S17)</f>
        <v>31.323599999999995</v>
      </c>
      <c r="P17" s="201" t="s">
        <v>238</v>
      </c>
      <c r="Q17" s="201">
        <v>2.1999999999999999E-2</v>
      </c>
      <c r="R17" s="201"/>
      <c r="S17" s="201">
        <f>SUM(J1)</f>
        <v>1423.8</v>
      </c>
      <c r="T17" s="203"/>
      <c r="U17" s="201">
        <f>SUM(W17*Y17)</f>
        <v>31.323599999999995</v>
      </c>
      <c r="V17" s="201" t="s">
        <v>238</v>
      </c>
      <c r="W17" s="201">
        <v>2.1999999999999999E-2</v>
      </c>
      <c r="X17" s="201"/>
      <c r="Y17" s="201">
        <f>SUM(J1)</f>
        <v>1423.8</v>
      </c>
    </row>
    <row r="18" spans="1:35" ht="40.5" customHeight="1" outlineLevel="1">
      <c r="A18" s="21"/>
      <c r="B18" s="7" t="s">
        <v>14</v>
      </c>
      <c r="C18" s="6">
        <f>$I$18*3</f>
        <v>102.96000000000001</v>
      </c>
      <c r="D18" s="6">
        <f t="shared" ref="D18:F18" si="6">$I$18*3</f>
        <v>102.96000000000001</v>
      </c>
      <c r="E18" s="6">
        <f t="shared" si="6"/>
        <v>102.96000000000001</v>
      </c>
      <c r="F18" s="6">
        <f t="shared" si="6"/>
        <v>102.96000000000001</v>
      </c>
      <c r="G18" s="66">
        <f>SUM(C18:F18)</f>
        <v>411.84000000000003</v>
      </c>
      <c r="H18" s="126" t="s">
        <v>122</v>
      </c>
      <c r="I18" s="201">
        <f>SUM(K18*M18)*1.5</f>
        <v>34.32</v>
      </c>
      <c r="J18" s="201" t="s">
        <v>129</v>
      </c>
      <c r="K18" s="201">
        <v>0.88</v>
      </c>
      <c r="L18" s="201"/>
      <c r="M18" s="201">
        <f>SUM(J4+K4)</f>
        <v>26</v>
      </c>
      <c r="N18" s="203"/>
      <c r="O18" s="201">
        <f>SUM(Q18*S18)*1.5</f>
        <v>34.32</v>
      </c>
      <c r="P18" s="201" t="s">
        <v>129</v>
      </c>
      <c r="Q18" s="201">
        <v>0.88</v>
      </c>
      <c r="R18" s="201"/>
      <c r="S18" s="201">
        <f>SUM(J4+K4)</f>
        <v>26</v>
      </c>
      <c r="T18" s="203"/>
      <c r="U18" s="201">
        <f>SUM(W18*Y18)*1.5</f>
        <v>34.32</v>
      </c>
      <c r="V18" s="201" t="s">
        <v>129</v>
      </c>
      <c r="W18" s="201">
        <v>0.88</v>
      </c>
      <c r="X18" s="201"/>
      <c r="Y18" s="201">
        <f>SUM(J4+K4)</f>
        <v>26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165.24</v>
      </c>
      <c r="D20" s="15">
        <f t="shared" ref="D20:F20" si="7">SUM(D21:D22)</f>
        <v>165.24</v>
      </c>
      <c r="E20" s="15">
        <f t="shared" si="7"/>
        <v>165.24</v>
      </c>
      <c r="F20" s="15">
        <f t="shared" si="7"/>
        <v>165.24</v>
      </c>
      <c r="G20" s="5">
        <f>SUM(G21:G22)</f>
        <v>660.96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57.240000000000009</v>
      </c>
      <c r="D21" s="8">
        <f>SUM(M21*3)</f>
        <v>57.240000000000009</v>
      </c>
      <c r="E21" s="8">
        <f>SUM(M21*3)</f>
        <v>57.240000000000009</v>
      </c>
      <c r="F21" s="8">
        <f>SUM(M21*3)</f>
        <v>57.240000000000009</v>
      </c>
      <c r="G21" s="66">
        <f>SUM(C21:F21)</f>
        <v>228.96000000000004</v>
      </c>
      <c r="H21" s="125" t="s">
        <v>117</v>
      </c>
      <c r="I21" s="94">
        <f>SUM(J5)</f>
        <v>18</v>
      </c>
      <c r="J21" s="95"/>
      <c r="K21" s="95">
        <v>1.06</v>
      </c>
      <c r="L21" s="95"/>
      <c r="M21" s="96">
        <f>I21*K21</f>
        <v>19.080000000000002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108</v>
      </c>
      <c r="D22" s="18">
        <f>SUM(M22*3)</f>
        <v>108</v>
      </c>
      <c r="E22" s="18">
        <f>SUM(M22*3)</f>
        <v>108</v>
      </c>
      <c r="F22" s="18">
        <f>SUM(M22*3)</f>
        <v>108</v>
      </c>
      <c r="G22" s="67">
        <f>SUM(C22:F22)</f>
        <v>432</v>
      </c>
      <c r="H22" s="126" t="s">
        <v>124</v>
      </c>
      <c r="I22" s="97">
        <f>SUM(J5)</f>
        <v>18</v>
      </c>
      <c r="J22" s="98"/>
      <c r="K22" s="98">
        <v>2</v>
      </c>
      <c r="L22" s="98"/>
      <c r="M22" s="99">
        <f>I22*K22</f>
        <v>36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3972.402</v>
      </c>
      <c r="D23" s="15">
        <f t="shared" ref="D23:F23" si="8">SUM(D24:D25)</f>
        <v>3972.402</v>
      </c>
      <c r="E23" s="15">
        <f t="shared" si="8"/>
        <v>3972.402</v>
      </c>
      <c r="F23" s="15">
        <f t="shared" si="8"/>
        <v>3972.402</v>
      </c>
      <c r="G23" s="5">
        <f>SUM(G24:G25)</f>
        <v>15889.608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2648.268</v>
      </c>
      <c r="D24" s="6">
        <f>SUM(M24*3)</f>
        <v>2648.268</v>
      </c>
      <c r="E24" s="6">
        <f>SUM(M24*3)</f>
        <v>2648.268</v>
      </c>
      <c r="F24" s="6">
        <f>SUM(M24*3)</f>
        <v>2648.268</v>
      </c>
      <c r="G24" s="66">
        <f t="shared" ref="G24:G25" si="9">SUM(C24:F24)</f>
        <v>10593.072</v>
      </c>
      <c r="H24" s="128" t="s">
        <v>126</v>
      </c>
      <c r="I24" s="88">
        <f>SUM(J1)</f>
        <v>1423.8</v>
      </c>
      <c r="J24" s="89"/>
      <c r="K24" s="95">
        <v>0.62</v>
      </c>
      <c r="L24" s="95"/>
      <c r="M24" s="90">
        <f>SUM(I24*K24)</f>
        <v>882.75599999999997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1324.134</v>
      </c>
      <c r="D25" s="18">
        <f>SUM(M25*3)</f>
        <v>1324.134</v>
      </c>
      <c r="E25" s="18">
        <f>SUM(M25*3)</f>
        <v>1324.134</v>
      </c>
      <c r="F25" s="18">
        <f>SUM(M25*3)</f>
        <v>1324.134</v>
      </c>
      <c r="G25" s="67">
        <f t="shared" si="9"/>
        <v>5296.5360000000001</v>
      </c>
      <c r="H25" s="128" t="s">
        <v>127</v>
      </c>
      <c r="I25" s="91">
        <f>SUM(J1)</f>
        <v>1423.8</v>
      </c>
      <c r="J25" s="93"/>
      <c r="K25" s="98">
        <v>0.31</v>
      </c>
      <c r="L25" s="98"/>
      <c r="M25" s="92">
        <f>SUM(I25*K25)</f>
        <v>441.37799999999999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18</v>
      </c>
      <c r="J27" s="205"/>
      <c r="K27" s="206">
        <v>0.28000000000000003</v>
      </c>
      <c r="L27" s="205"/>
      <c r="M27" s="211">
        <f>SUM(I27*K27)</f>
        <v>5.0400000000000009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5609.0166660000004</v>
      </c>
      <c r="D29" s="41">
        <f>D9+D16+D20+D23+D26</f>
        <v>5609.0166660000004</v>
      </c>
      <c r="E29" s="41">
        <f>E9+E16+E20+E23+E26</f>
        <v>5609.0166660000004</v>
      </c>
      <c r="F29" s="41">
        <f>F9+F16+F20+F23+F26</f>
        <v>5609.0166660000004</v>
      </c>
      <c r="G29" s="42">
        <f t="shared" si="11"/>
        <v>22436.066664000002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1219.6765133650438</v>
      </c>
      <c r="D31" s="53">
        <f>SUM(D32:D35)</f>
        <v>1219.6765133650438</v>
      </c>
      <c r="E31" s="53">
        <f>SUM(E32:E35)</f>
        <v>1219.6765133650438</v>
      </c>
      <c r="F31" s="53">
        <f>SUM(F32:F35)</f>
        <v>1219.6765133650438</v>
      </c>
      <c r="G31" s="53">
        <f>SUM(G32:G35)</f>
        <v>4878.7060534601751</v>
      </c>
      <c r="H31" s="128" t="s">
        <v>253</v>
      </c>
      <c r="I31" s="88">
        <f>SUM(O1)</f>
        <v>1427.3</v>
      </c>
      <c r="J31" s="89"/>
      <c r="K31" s="95">
        <v>0.62</v>
      </c>
      <c r="L31" s="95"/>
      <c r="M31" s="90">
        <f>SUM(I31*K31)</f>
        <v>884.92599999999993</v>
      </c>
    </row>
    <row r="32" spans="1:35" ht="20.100000000000001" customHeight="1" thickBot="1">
      <c r="A32" s="35"/>
      <c r="B32" s="7" t="s">
        <v>3</v>
      </c>
      <c r="C32" s="32">
        <f>C10</f>
        <v>597.14172000000008</v>
      </c>
      <c r="D32" s="32">
        <f>D10</f>
        <v>597.14172000000008</v>
      </c>
      <c r="E32" s="32">
        <f>E10</f>
        <v>597.14172000000008</v>
      </c>
      <c r="F32" s="32">
        <f>F10</f>
        <v>597.14172000000008</v>
      </c>
      <c r="G32" s="62">
        <f>SUM(C32:F32)</f>
        <v>2388.5668800000003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186.66018000000003</v>
      </c>
      <c r="D33" s="32">
        <f t="shared" si="12"/>
        <v>186.66018000000003</v>
      </c>
      <c r="E33" s="32">
        <f t="shared" si="12"/>
        <v>186.66018000000003</v>
      </c>
      <c r="F33" s="32">
        <f t="shared" si="12"/>
        <v>186.66018000000003</v>
      </c>
      <c r="G33" s="62">
        <f>SUM(C33:F33)</f>
        <v>746.6407200000001</v>
      </c>
    </row>
    <row r="34" spans="1:7" ht="57.75" customHeight="1">
      <c r="A34" s="35"/>
      <c r="B34" s="7" t="s">
        <v>41</v>
      </c>
      <c r="C34" s="32">
        <f>Площадь!D7</f>
        <v>435.87461336504356</v>
      </c>
      <c r="D34" s="32">
        <f>C34</f>
        <v>435.87461336504356</v>
      </c>
      <c r="E34" s="32">
        <f t="shared" ref="E34:F34" si="13">D34</f>
        <v>435.87461336504356</v>
      </c>
      <c r="F34" s="32">
        <f t="shared" si="13"/>
        <v>435.87461336504356</v>
      </c>
      <c r="G34" s="62">
        <f>SUM(C34:F34)</f>
        <v>1743.4984534601742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165.24</v>
      </c>
      <c r="D39" s="53">
        <f t="shared" ref="D39:G39" si="15">SUM(D40:D41)</f>
        <v>165.24</v>
      </c>
      <c r="E39" s="53">
        <f t="shared" si="15"/>
        <v>165.24</v>
      </c>
      <c r="F39" s="53">
        <f t="shared" si="15"/>
        <v>165.24</v>
      </c>
      <c r="G39" s="53">
        <f t="shared" si="15"/>
        <v>660.96</v>
      </c>
    </row>
    <row r="40" spans="1:7" ht="20.100000000000001" customHeight="1">
      <c r="A40" s="35"/>
      <c r="B40" s="7" t="s">
        <v>40</v>
      </c>
      <c r="C40" s="32">
        <f t="shared" ref="C40:F41" si="16">C21</f>
        <v>57.240000000000009</v>
      </c>
      <c r="D40" s="32">
        <f t="shared" si="16"/>
        <v>57.240000000000009</v>
      </c>
      <c r="E40" s="32">
        <f t="shared" si="16"/>
        <v>57.240000000000009</v>
      </c>
      <c r="F40" s="32">
        <f t="shared" si="16"/>
        <v>57.240000000000009</v>
      </c>
      <c r="G40" s="62">
        <f>SUM(C40:F40)</f>
        <v>228.96000000000004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108</v>
      </c>
      <c r="D41" s="46">
        <f t="shared" si="16"/>
        <v>108</v>
      </c>
      <c r="E41" s="46">
        <f t="shared" si="16"/>
        <v>108</v>
      </c>
      <c r="F41" s="46">
        <f t="shared" si="16"/>
        <v>108</v>
      </c>
      <c r="G41" s="62">
        <f>SUM(C41:F41)</f>
        <v>432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2669.8979999999997</v>
      </c>
      <c r="D42" s="53">
        <f>SUM(D43:D58)</f>
        <v>2669.8979999999997</v>
      </c>
      <c r="E42" s="53">
        <f>SUM(E43:E58)</f>
        <v>2669.8979999999997</v>
      </c>
      <c r="F42" s="53">
        <f>SUM(F43:F58)</f>
        <v>2669.8979999999997</v>
      </c>
      <c r="G42" s="55">
        <f t="shared" ref="G42:G51" si="17">SUM(C42:F42)</f>
        <v>10679.591999999999</v>
      </c>
    </row>
    <row r="43" spans="1:7" ht="20.100000000000001" customHeight="1">
      <c r="A43" s="47"/>
      <c r="B43" s="38" t="s">
        <v>38</v>
      </c>
      <c r="C43" s="32">
        <f>SUM(M31*3)</f>
        <v>2654.7779999999998</v>
      </c>
      <c r="D43" s="32">
        <f>SUM(M31*3)</f>
        <v>2654.7779999999998</v>
      </c>
      <c r="E43" s="32">
        <f>SUM(M31*3)</f>
        <v>2654.7779999999998</v>
      </c>
      <c r="F43" s="32">
        <f>SUM(M31*3)</f>
        <v>2654.7779999999998</v>
      </c>
      <c r="G43" s="62">
        <f t="shared" si="17"/>
        <v>10619.111999999999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15.120000000000003</v>
      </c>
      <c r="D51" s="32">
        <f>SUM(M27*3)</f>
        <v>15.120000000000003</v>
      </c>
      <c r="E51" s="32">
        <f>SUM(M27*3)</f>
        <v>15.120000000000003</v>
      </c>
      <c r="F51" s="32">
        <f>SUM(M27*3)</f>
        <v>15.120000000000003</v>
      </c>
      <c r="G51" s="62">
        <f t="shared" si="17"/>
        <v>60.480000000000011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4054.8145133650432</v>
      </c>
      <c r="D59" s="30">
        <f>D31+D36+D39+D42</f>
        <v>4054.8145133650432</v>
      </c>
      <c r="E59" s="30">
        <f>E31+E36+E39+E42</f>
        <v>4054.8145133650432</v>
      </c>
      <c r="F59" s="30">
        <f>F31+F36+F39+F42</f>
        <v>4054.8145133650432</v>
      </c>
      <c r="G59" s="31">
        <f>G31+G36+G39+G42</f>
        <v>16219.258053460173</v>
      </c>
    </row>
    <row r="60" spans="1:14" ht="26.1" hidden="1" customHeight="1" outlineLevel="1">
      <c r="A60" s="100"/>
      <c r="B60" s="60"/>
      <c r="C60" s="61">
        <f>C29-C59</f>
        <v>1554.2021526349572</v>
      </c>
      <c r="D60" s="61">
        <f>D29-D59</f>
        <v>1554.2021526349572</v>
      </c>
      <c r="E60" s="61">
        <f>E29-E59</f>
        <v>1554.2021526349572</v>
      </c>
      <c r="F60" s="61">
        <f>F29-F59</f>
        <v>1554.2021526349572</v>
      </c>
      <c r="G60" s="61">
        <f>G29-G59</f>
        <v>6216.8086105398288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2.3631695999999995</v>
      </c>
      <c r="D77" s="56">
        <f>D16*1.2/100</f>
        <v>2.3631695999999995</v>
      </c>
      <c r="E77" s="56">
        <f>E16*1.2/100</f>
        <v>2.3631695999999995</v>
      </c>
      <c r="F77" s="56">
        <f>F16*1.2/100</f>
        <v>2.3631695999999995</v>
      </c>
    </row>
    <row r="78" spans="1:15" hidden="1">
      <c r="A78" s="59"/>
      <c r="C78" s="56">
        <f>(C16-C77)*0.5/100</f>
        <v>0.9728381519999999</v>
      </c>
      <c r="D78" s="56">
        <f>(D16-D77)*0.5/100</f>
        <v>0.9728381519999999</v>
      </c>
      <c r="E78" s="56">
        <f>(E16-E77)*0.5/100</f>
        <v>0.9728381519999999</v>
      </c>
      <c r="F78" s="56">
        <f>(F16-F77)*0.5/100</f>
        <v>0.9728381519999999</v>
      </c>
    </row>
    <row r="79" spans="1:15" hidden="1">
      <c r="C79" s="3">
        <f>C9*1.2/100</f>
        <v>15.293326392000001</v>
      </c>
      <c r="D79" s="3">
        <f>D9*1.2/100</f>
        <v>15.293326392000001</v>
      </c>
      <c r="E79" s="3">
        <f>E9*1.2/100</f>
        <v>15.293326392000001</v>
      </c>
      <c r="F79" s="3">
        <f>F9*1.2/100</f>
        <v>15.293326392000001</v>
      </c>
    </row>
    <row r="80" spans="1:15" s="3" customFormat="1" hidden="1">
      <c r="A80" s="2"/>
      <c r="B80" s="2"/>
      <c r="C80" s="3">
        <f>(C9-C79)*4/100</f>
        <v>50.366021584320009</v>
      </c>
      <c r="D80" s="3">
        <f>(D9-D79)*4/100</f>
        <v>50.366021584320009</v>
      </c>
      <c r="E80" s="3">
        <f>(E9-E79)*4/100</f>
        <v>50.366021584320009</v>
      </c>
      <c r="F80" s="3">
        <f>(F9-F79)*4/100</f>
        <v>50.366021584320009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68.995355728320007</v>
      </c>
      <c r="D81" s="3">
        <f t="shared" ref="D81:F81" si="20">SUM(D77:D80)</f>
        <v>68.995355728320007</v>
      </c>
      <c r="E81" s="3">
        <f t="shared" si="20"/>
        <v>68.995355728320007</v>
      </c>
      <c r="F81" s="3">
        <f t="shared" si="20"/>
        <v>68.995355728320007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AE0B-6F85-42E4-9058-A8E7D38C3210}">
  <sheetPr>
    <tabColor rgb="FFFFC000"/>
    <pageSetUpPr fitToPage="1"/>
  </sheetPr>
  <dimension ref="A1:AI81"/>
  <sheetViews>
    <sheetView showGridLines="0" view="pageBreakPreview" zoomScale="60" zoomScaleNormal="70" workbookViewId="0">
      <selection activeCell="C4" sqref="C4:G6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6.85546875" style="2" customWidth="1"/>
    <col min="15" max="16" width="13.42578125" style="2" customWidth="1"/>
    <col min="17" max="16384" width="10.140625" style="2"/>
  </cols>
  <sheetData>
    <row r="1" spans="1:26">
      <c r="A1" s="354"/>
      <c r="B1" s="354"/>
      <c r="C1" s="354"/>
      <c r="D1" s="104"/>
      <c r="E1" s="104"/>
      <c r="F1" s="104"/>
      <c r="G1" s="104"/>
      <c r="I1" s="87" t="s">
        <v>236</v>
      </c>
      <c r="J1" s="86">
        <f>SUM(Площадь!L19)</f>
        <v>1416.9</v>
      </c>
      <c r="K1" s="4" t="s">
        <v>235</v>
      </c>
      <c r="O1" s="2">
        <f>SUM(Площадь!M19)</f>
        <v>1421.7</v>
      </c>
    </row>
    <row r="2" spans="1:26">
      <c r="A2" s="354"/>
      <c r="B2" s="354"/>
      <c r="C2" s="354"/>
      <c r="D2" s="354"/>
      <c r="E2" s="354"/>
      <c r="F2" s="354"/>
      <c r="G2" s="354"/>
      <c r="I2" s="87"/>
      <c r="J2" s="86"/>
      <c r="K2" s="133"/>
    </row>
    <row r="3" spans="1:26" ht="19.5" thickBot="1">
      <c r="A3" s="383"/>
      <c r="B3" s="383"/>
      <c r="C3" s="383"/>
      <c r="D3" s="383"/>
      <c r="E3" s="383"/>
      <c r="F3" s="383"/>
      <c r="G3" s="383"/>
      <c r="I3" s="87"/>
      <c r="J3" s="86"/>
      <c r="K3" s="133"/>
    </row>
    <row r="4" spans="1:26">
      <c r="A4" s="384" t="s">
        <v>0</v>
      </c>
      <c r="B4" s="386" t="s">
        <v>1</v>
      </c>
      <c r="C4" s="352" t="s">
        <v>296</v>
      </c>
      <c r="D4" s="352" t="s">
        <v>297</v>
      </c>
      <c r="E4" s="352" t="s">
        <v>298</v>
      </c>
      <c r="F4" s="352" t="s">
        <v>299</v>
      </c>
      <c r="G4" s="352" t="s">
        <v>300</v>
      </c>
      <c r="I4" s="4" t="s">
        <v>242</v>
      </c>
      <c r="J4" s="4">
        <f>SUM(Площадь!R19)</f>
        <v>25</v>
      </c>
      <c r="K4" s="4">
        <f>SUM(Площадь!S19)</f>
        <v>3</v>
      </c>
    </row>
    <row r="5" spans="1:26" ht="18" customHeight="1">
      <c r="A5" s="385"/>
      <c r="B5" s="387"/>
      <c r="C5" s="353"/>
      <c r="D5" s="353"/>
      <c r="E5" s="353"/>
      <c r="F5" s="353"/>
      <c r="G5" s="353"/>
      <c r="I5" s="4" t="s">
        <v>61</v>
      </c>
      <c r="J5" s="4">
        <f>SUM(Площадь!Q19)</f>
        <v>17</v>
      </c>
    </row>
    <row r="6" spans="1:26">
      <c r="A6" s="385"/>
      <c r="B6" s="387"/>
      <c r="C6" s="353"/>
      <c r="D6" s="353"/>
      <c r="E6" s="353"/>
      <c r="F6" s="353"/>
      <c r="G6" s="353"/>
      <c r="I6" s="4"/>
      <c r="J6" s="4"/>
    </row>
    <row r="7" spans="1:26" ht="19.5" thickBot="1">
      <c r="A7" s="105">
        <v>1</v>
      </c>
      <c r="B7" s="10">
        <v>2</v>
      </c>
      <c r="C7" s="11">
        <v>3</v>
      </c>
      <c r="D7" s="11">
        <v>4</v>
      </c>
      <c r="E7" s="11">
        <v>5</v>
      </c>
      <c r="F7" s="11">
        <v>5</v>
      </c>
      <c r="G7" s="12">
        <v>7</v>
      </c>
      <c r="I7" s="2" t="s">
        <v>237</v>
      </c>
    </row>
    <row r="8" spans="1:26" ht="26.1" customHeight="1" thickBot="1">
      <c r="A8" s="380" t="s">
        <v>2</v>
      </c>
      <c r="B8" s="380"/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I8" s="372" t="s">
        <v>113</v>
      </c>
      <c r="J8" s="372"/>
      <c r="K8" s="372"/>
      <c r="L8" s="372"/>
      <c r="M8" s="372"/>
      <c r="O8" s="372" t="s">
        <v>123</v>
      </c>
      <c r="P8" s="372"/>
      <c r="Q8" s="372"/>
      <c r="R8" s="372"/>
      <c r="S8" s="372"/>
      <c r="U8" s="372" t="s">
        <v>114</v>
      </c>
      <c r="V8" s="372"/>
      <c r="W8" s="372"/>
      <c r="X8" s="372"/>
      <c r="Y8" s="372"/>
    </row>
    <row r="9" spans="1:26" ht="20.100000000000001" customHeight="1">
      <c r="A9" s="102">
        <v>1</v>
      </c>
      <c r="B9" s="14" t="s">
        <v>15</v>
      </c>
      <c r="C9" s="15">
        <f>SUM(C10:C15)</f>
        <v>1281.7009350000003</v>
      </c>
      <c r="D9" s="15">
        <f t="shared" ref="D9:F9" si="0">SUM(D10:D15)</f>
        <v>1281.7009350000003</v>
      </c>
      <c r="E9" s="15">
        <f t="shared" si="0"/>
        <v>1281.7009350000003</v>
      </c>
      <c r="F9" s="15">
        <f t="shared" si="0"/>
        <v>1281.7009350000003</v>
      </c>
      <c r="G9" s="15">
        <f>SUM(G10:G15)</f>
        <v>5126.8037400000012</v>
      </c>
      <c r="I9" s="134" t="s">
        <v>115</v>
      </c>
      <c r="J9" s="134" t="s">
        <v>128</v>
      </c>
      <c r="K9" s="124" t="s">
        <v>119</v>
      </c>
      <c r="L9" s="124" t="s">
        <v>116</v>
      </c>
      <c r="M9" s="124" t="s">
        <v>60</v>
      </c>
      <c r="N9" s="134"/>
      <c r="O9" s="134" t="s">
        <v>63</v>
      </c>
      <c r="P9" s="134" t="s">
        <v>128</v>
      </c>
      <c r="Q9" s="134" t="s">
        <v>59</v>
      </c>
      <c r="R9" s="134" t="s">
        <v>116</v>
      </c>
      <c r="S9" s="124" t="s">
        <v>60</v>
      </c>
      <c r="T9" s="134"/>
      <c r="U9" s="134" t="s">
        <v>63</v>
      </c>
      <c r="V9" s="134" t="s">
        <v>128</v>
      </c>
      <c r="W9" s="134" t="s">
        <v>59</v>
      </c>
      <c r="X9" s="134" t="s">
        <v>116</v>
      </c>
      <c r="Y9" s="124" t="s">
        <v>60</v>
      </c>
    </row>
    <row r="10" spans="1:26" ht="20.100000000000001" customHeight="1">
      <c r="A10" s="103"/>
      <c r="B10" s="7" t="s">
        <v>3</v>
      </c>
      <c r="C10" s="9">
        <f>SUM(I10*3)</f>
        <v>594.24786000000006</v>
      </c>
      <c r="D10" s="9">
        <f>SUM(I10*2+O10*1)</f>
        <v>594.24786000000006</v>
      </c>
      <c r="E10" s="9">
        <f>SUM(O10*2)+U10*1</f>
        <v>594.24786000000006</v>
      </c>
      <c r="F10" s="9">
        <f>SUM(U10*3)</f>
        <v>594.24786000000006</v>
      </c>
      <c r="G10" s="65">
        <f>SUM(C10:F10)</f>
        <v>2376.9914400000002</v>
      </c>
      <c r="H10" s="125" t="s">
        <v>125</v>
      </c>
      <c r="I10" s="201">
        <f>SUM(M10*K10)</f>
        <v>198.08262000000002</v>
      </c>
      <c r="J10" s="201" t="s">
        <v>238</v>
      </c>
      <c r="K10" s="201">
        <v>0.13980000000000001</v>
      </c>
      <c r="L10" s="201"/>
      <c r="M10" s="207">
        <f>SUM(J1)</f>
        <v>1416.9</v>
      </c>
      <c r="N10" s="202"/>
      <c r="O10" s="201">
        <f>SUM(S10*Q10)</f>
        <v>198.08262000000002</v>
      </c>
      <c r="P10" s="201" t="s">
        <v>238</v>
      </c>
      <c r="Q10" s="201">
        <v>0.13980000000000001</v>
      </c>
      <c r="R10" s="201"/>
      <c r="S10" s="130">
        <f>SUM(J1)</f>
        <v>1416.9</v>
      </c>
      <c r="T10" s="202"/>
      <c r="U10" s="201">
        <f>SUM(Y10*W10)</f>
        <v>198.08262000000002</v>
      </c>
      <c r="V10" s="201" t="s">
        <v>238</v>
      </c>
      <c r="W10" s="201">
        <v>0.13980000000000001</v>
      </c>
      <c r="X10" s="201"/>
      <c r="Y10" s="130">
        <f>SUM(J1)</f>
        <v>1416.9</v>
      </c>
      <c r="Z10" s="373"/>
    </row>
    <row r="11" spans="1:26" ht="20.100000000000001" customHeight="1">
      <c r="A11" s="103"/>
      <c r="B11" s="7" t="s">
        <v>3</v>
      </c>
      <c r="C11" s="9"/>
      <c r="D11" s="9"/>
      <c r="E11" s="9"/>
      <c r="F11" s="9"/>
      <c r="G11" s="65"/>
      <c r="H11" s="125" t="s">
        <v>130</v>
      </c>
      <c r="I11" s="201"/>
      <c r="J11" s="201" t="s">
        <v>238</v>
      </c>
      <c r="K11" s="201"/>
      <c r="L11" s="201">
        <v>0.15</v>
      </c>
      <c r="M11" s="208">
        <f>SUM(J1)</f>
        <v>1416.9</v>
      </c>
      <c r="N11" s="202"/>
      <c r="O11" s="201"/>
      <c r="P11" s="201" t="s">
        <v>238</v>
      </c>
      <c r="Q11" s="201"/>
      <c r="R11" s="201">
        <v>0.15</v>
      </c>
      <c r="S11" s="201">
        <f>SUM(J1)</f>
        <v>1416.9</v>
      </c>
      <c r="T11" s="202"/>
      <c r="U11" s="201"/>
      <c r="V11" s="201" t="s">
        <v>238</v>
      </c>
      <c r="W11" s="201"/>
      <c r="X11" s="201">
        <v>0.15</v>
      </c>
      <c r="Y11" s="130">
        <f>SUM(J1)</f>
        <v>1416.9</v>
      </c>
      <c r="Z11" s="373"/>
    </row>
    <row r="12" spans="1:26" ht="20.100000000000001" customHeight="1">
      <c r="A12" s="103"/>
      <c r="B12" s="7" t="s">
        <v>58</v>
      </c>
      <c r="C12" s="9"/>
      <c r="D12" s="9"/>
      <c r="E12" s="9"/>
      <c r="F12" s="9"/>
      <c r="G12" s="65"/>
      <c r="H12" s="125"/>
      <c r="I12" s="201"/>
      <c r="J12" s="201"/>
      <c r="K12" s="201"/>
      <c r="L12" s="201"/>
      <c r="M12" s="208"/>
      <c r="N12" s="202"/>
      <c r="O12" s="201"/>
      <c r="P12" s="201"/>
      <c r="Q12" s="201"/>
      <c r="R12" s="201"/>
      <c r="S12" s="201"/>
      <c r="T12" s="202"/>
      <c r="U12" s="201"/>
      <c r="V12" s="201"/>
      <c r="W12" s="201"/>
      <c r="X12" s="201"/>
      <c r="Y12" s="201"/>
      <c r="Z12" s="373"/>
    </row>
    <row r="13" spans="1:26" ht="20.100000000000001" customHeight="1">
      <c r="A13" s="103"/>
      <c r="B13" s="7" t="s">
        <v>10</v>
      </c>
      <c r="C13" s="9">
        <f>SUM(I13*3)</f>
        <v>185.75559000000004</v>
      </c>
      <c r="D13" s="9">
        <f>SUM(I13*2+O13)</f>
        <v>185.75559000000004</v>
      </c>
      <c r="E13" s="9">
        <f>SUM(O13*2+U13)</f>
        <v>185.75559000000004</v>
      </c>
      <c r="F13" s="9">
        <f>SUM(U13*3)</f>
        <v>185.75559000000004</v>
      </c>
      <c r="G13" s="65">
        <f t="shared" ref="G13:G14" si="1">SUM(C13:F13)</f>
        <v>743.02236000000016</v>
      </c>
      <c r="H13" s="125" t="s">
        <v>120</v>
      </c>
      <c r="I13" s="201">
        <f>SUM(K13*M13)</f>
        <v>61.918530000000011</v>
      </c>
      <c r="J13" s="201" t="s">
        <v>238</v>
      </c>
      <c r="K13" s="201">
        <v>4.3700000000000003E-2</v>
      </c>
      <c r="L13" s="201">
        <v>4.3700000000000003E-2</v>
      </c>
      <c r="M13" s="207">
        <f>SUM(J1)</f>
        <v>1416.9</v>
      </c>
      <c r="N13" s="203"/>
      <c r="O13" s="201">
        <f>SUM(Q13*S13)</f>
        <v>61.918530000000011</v>
      </c>
      <c r="P13" s="201" t="s">
        <v>238</v>
      </c>
      <c r="Q13" s="201">
        <v>4.3700000000000003E-2</v>
      </c>
      <c r="R13" s="201">
        <v>4.3700000000000003E-2</v>
      </c>
      <c r="S13" s="201">
        <f>SUM(J1)</f>
        <v>1416.9</v>
      </c>
      <c r="T13" s="203"/>
      <c r="U13" s="201">
        <f>SUM(W13*Y13)</f>
        <v>61.918530000000011</v>
      </c>
      <c r="V13" s="201" t="s">
        <v>238</v>
      </c>
      <c r="W13" s="201">
        <v>4.3700000000000003E-2</v>
      </c>
      <c r="X13" s="201">
        <v>4.3700000000000003E-2</v>
      </c>
      <c r="Y13" s="130">
        <f>SUM(J1)</f>
        <v>1416.9</v>
      </c>
      <c r="Z13" s="3"/>
    </row>
    <row r="14" spans="1:26" ht="20.100000000000001" customHeight="1" outlineLevel="1">
      <c r="A14" s="16"/>
      <c r="B14" s="7" t="s">
        <v>11</v>
      </c>
      <c r="C14" s="9">
        <f>SUM(I14*3)</f>
        <v>293.08576500000004</v>
      </c>
      <c r="D14" s="9">
        <f>SUM(I14*2+O14)</f>
        <v>293.08576500000004</v>
      </c>
      <c r="E14" s="9">
        <f>SUM(O14*2+U14)</f>
        <v>293.08576500000004</v>
      </c>
      <c r="F14" s="9">
        <f>SUM(U14*3)</f>
        <v>293.08576500000004</v>
      </c>
      <c r="G14" s="65">
        <f t="shared" si="1"/>
        <v>1172.3430600000002</v>
      </c>
      <c r="H14" s="125" t="s">
        <v>11</v>
      </c>
      <c r="I14" s="201">
        <f>SUM(K14+L14)/2*M14</f>
        <v>97.695255000000003</v>
      </c>
      <c r="J14" s="201" t="s">
        <v>238</v>
      </c>
      <c r="K14" s="201">
        <v>6.4199999999999993E-2</v>
      </c>
      <c r="L14" s="201">
        <v>7.3700000000000002E-2</v>
      </c>
      <c r="M14" s="208">
        <f>SUM(J1)</f>
        <v>1416.9</v>
      </c>
      <c r="N14" s="203"/>
      <c r="O14" s="201">
        <f>SUM(Q14+R14)/2*S14</f>
        <v>97.695255000000003</v>
      </c>
      <c r="P14" s="201" t="s">
        <v>238</v>
      </c>
      <c r="Q14" s="201">
        <v>6.4199999999999993E-2</v>
      </c>
      <c r="R14" s="201">
        <v>7.3700000000000002E-2</v>
      </c>
      <c r="S14" s="201">
        <f>SUM(J1)</f>
        <v>1416.9</v>
      </c>
      <c r="T14" s="203"/>
      <c r="U14" s="201">
        <f>SUM(W14+X14)/2*Y14</f>
        <v>97.695255000000003</v>
      </c>
      <c r="V14" s="201" t="s">
        <v>238</v>
      </c>
      <c r="W14" s="201">
        <v>6.4199999999999993E-2</v>
      </c>
      <c r="X14" s="201">
        <v>7.3700000000000002E-2</v>
      </c>
      <c r="Y14" s="201">
        <f>SUM(J1)</f>
        <v>1416.9</v>
      </c>
      <c r="Z14" s="3"/>
    </row>
    <row r="15" spans="1:26" ht="20.100000000000001" customHeight="1" outlineLevel="1" thickBot="1">
      <c r="A15" s="16"/>
      <c r="B15" s="7" t="s">
        <v>12</v>
      </c>
      <c r="C15" s="6">
        <f>SUM(I15+I16)*3</f>
        <v>208.61171999999999</v>
      </c>
      <c r="D15" s="6">
        <f>SUM(I15+I16)*2+O15+O16</f>
        <v>208.61171999999999</v>
      </c>
      <c r="E15" s="6">
        <f>SUM(O15+O16)*2+U15+U16</f>
        <v>208.61171999999999</v>
      </c>
      <c r="F15" s="6">
        <f>SUM(U15+U16)*3</f>
        <v>208.61171999999999</v>
      </c>
      <c r="G15" s="65">
        <f t="shared" ref="G15" si="2">SUM(C15:F15)</f>
        <v>834.44687999999996</v>
      </c>
      <c r="H15" s="125" t="s">
        <v>118</v>
      </c>
      <c r="I15" s="201">
        <f>SUM(J15*K15*M15)</f>
        <v>61.111799999999995</v>
      </c>
      <c r="J15" s="201">
        <v>0.24</v>
      </c>
      <c r="K15" s="201">
        <v>10.1853</v>
      </c>
      <c r="L15" s="201"/>
      <c r="M15" s="208">
        <f>SUM(J4)</f>
        <v>25</v>
      </c>
      <c r="N15" s="203"/>
      <c r="O15" s="201">
        <f>SUM(P15*Q15*S15)</f>
        <v>61.111799999999995</v>
      </c>
      <c r="P15" s="201">
        <v>0.24</v>
      </c>
      <c r="Q15" s="201">
        <v>10.1853</v>
      </c>
      <c r="R15" s="201"/>
      <c r="S15" s="201">
        <f>SUM(J4)</f>
        <v>25</v>
      </c>
      <c r="T15" s="203"/>
      <c r="U15" s="201">
        <f>SUM(V15*W15*Y15)</f>
        <v>61.111799999999995</v>
      </c>
      <c r="V15" s="201">
        <v>0.24</v>
      </c>
      <c r="W15" s="201">
        <v>10.1853</v>
      </c>
      <c r="X15" s="201"/>
      <c r="Y15" s="201">
        <f>SUM(J4)</f>
        <v>25</v>
      </c>
    </row>
    <row r="16" spans="1:26" ht="20.100000000000001" customHeight="1">
      <c r="A16" s="102">
        <v>2</v>
      </c>
      <c r="B16" s="20" t="s">
        <v>16</v>
      </c>
      <c r="C16" s="27">
        <f>SUM(C17:C19)</f>
        <v>204.3954</v>
      </c>
      <c r="D16" s="27">
        <f t="shared" ref="D16:F16" si="3">SUM(D17:D19)</f>
        <v>204.3954</v>
      </c>
      <c r="E16" s="27">
        <f t="shared" si="3"/>
        <v>204.3954</v>
      </c>
      <c r="F16" s="27">
        <f t="shared" si="3"/>
        <v>204.3954</v>
      </c>
      <c r="G16" s="27">
        <f t="shared" ref="G16" si="4">SUM(G17:G19)</f>
        <v>817.58159999999998</v>
      </c>
      <c r="H16" s="125"/>
      <c r="I16" s="201">
        <f>SUM(J16*L16*M16)</f>
        <v>8.42544</v>
      </c>
      <c r="J16" s="201">
        <v>0.24</v>
      </c>
      <c r="K16" s="201"/>
      <c r="L16" s="201">
        <v>11.702</v>
      </c>
      <c r="M16" s="201">
        <f>SUM(K4)</f>
        <v>3</v>
      </c>
      <c r="O16" s="201">
        <f>SUM(P16*R16*S16)</f>
        <v>8.42544</v>
      </c>
      <c r="P16" s="201">
        <v>0.24</v>
      </c>
      <c r="Q16" s="201"/>
      <c r="R16" s="201">
        <v>11.702</v>
      </c>
      <c r="S16" s="201">
        <f>SUM(K4)</f>
        <v>3</v>
      </c>
      <c r="U16" s="201">
        <f>SUM(V16*X16*Y16)</f>
        <v>8.42544</v>
      </c>
      <c r="V16" s="201">
        <v>0.24</v>
      </c>
      <c r="W16" s="201"/>
      <c r="X16" s="201">
        <v>11.702</v>
      </c>
      <c r="Y16" s="201">
        <f>SUM(K4)</f>
        <v>3</v>
      </c>
    </row>
    <row r="17" spans="1:35" ht="39" customHeight="1" outlineLevel="1">
      <c r="A17" s="21"/>
      <c r="B17" s="7" t="s">
        <v>20</v>
      </c>
      <c r="C17" s="9">
        <f>$I$17*3</f>
        <v>93.5154</v>
      </c>
      <c r="D17" s="9">
        <f t="shared" ref="D17:F17" si="5">$I$17*3</f>
        <v>93.5154</v>
      </c>
      <c r="E17" s="9">
        <f t="shared" si="5"/>
        <v>93.5154</v>
      </c>
      <c r="F17" s="9">
        <f t="shared" si="5"/>
        <v>93.5154</v>
      </c>
      <c r="G17" s="66">
        <f>SUM(C17:F17)</f>
        <v>374.0616</v>
      </c>
      <c r="H17" s="126" t="s">
        <v>121</v>
      </c>
      <c r="I17" s="201">
        <f>SUM(K17*M17)</f>
        <v>31.171800000000001</v>
      </c>
      <c r="J17" s="201" t="s">
        <v>238</v>
      </c>
      <c r="K17" s="201">
        <v>2.1999999999999999E-2</v>
      </c>
      <c r="L17" s="201"/>
      <c r="M17" s="201">
        <f>SUM(J1)</f>
        <v>1416.9</v>
      </c>
      <c r="N17" s="203"/>
      <c r="O17" s="201">
        <f>SUM(Q17*S17)</f>
        <v>31.171800000000001</v>
      </c>
      <c r="P17" s="201" t="s">
        <v>238</v>
      </c>
      <c r="Q17" s="201">
        <v>2.1999999999999999E-2</v>
      </c>
      <c r="R17" s="201"/>
      <c r="S17" s="201">
        <f>SUM(J1)</f>
        <v>1416.9</v>
      </c>
      <c r="T17" s="203"/>
      <c r="U17" s="201">
        <f>SUM(W17*Y17)</f>
        <v>31.171800000000001</v>
      </c>
      <c r="V17" s="201" t="s">
        <v>238</v>
      </c>
      <c r="W17" s="201">
        <v>2.1999999999999999E-2</v>
      </c>
      <c r="X17" s="201"/>
      <c r="Y17" s="201">
        <f>SUM(J1)</f>
        <v>1416.9</v>
      </c>
    </row>
    <row r="18" spans="1:35" ht="40.5" customHeight="1" outlineLevel="1">
      <c r="A18" s="21"/>
      <c r="B18" s="7" t="s">
        <v>14</v>
      </c>
      <c r="C18" s="6">
        <f>$I$18*3</f>
        <v>110.88</v>
      </c>
      <c r="D18" s="6">
        <f t="shared" ref="D18:F18" si="6">$I$18*3</f>
        <v>110.88</v>
      </c>
      <c r="E18" s="6">
        <f t="shared" si="6"/>
        <v>110.88</v>
      </c>
      <c r="F18" s="6">
        <f t="shared" si="6"/>
        <v>110.88</v>
      </c>
      <c r="G18" s="66">
        <f>SUM(C18:F18)</f>
        <v>443.52</v>
      </c>
      <c r="H18" s="126" t="s">
        <v>122</v>
      </c>
      <c r="I18" s="201">
        <f>SUM(K18*M18)*1.5</f>
        <v>36.96</v>
      </c>
      <c r="J18" s="201" t="s">
        <v>129</v>
      </c>
      <c r="K18" s="201">
        <v>0.88</v>
      </c>
      <c r="L18" s="201"/>
      <c r="M18" s="201">
        <f>SUM(J4+K4)</f>
        <v>28</v>
      </c>
      <c r="N18" s="203"/>
      <c r="O18" s="201">
        <f>SUM(Q18*S18)*1.5</f>
        <v>36.96</v>
      </c>
      <c r="P18" s="201" t="s">
        <v>129</v>
      </c>
      <c r="Q18" s="201">
        <v>0.88</v>
      </c>
      <c r="R18" s="201"/>
      <c r="S18" s="201">
        <f>SUM(J4+K4)</f>
        <v>28</v>
      </c>
      <c r="T18" s="203"/>
      <c r="U18" s="201">
        <f>SUM(W18*Y18)*1.5</f>
        <v>36.96</v>
      </c>
      <c r="V18" s="201" t="s">
        <v>129</v>
      </c>
      <c r="W18" s="201">
        <v>0.88</v>
      </c>
      <c r="X18" s="201"/>
      <c r="Y18" s="201">
        <f>SUM(J4+K4)</f>
        <v>28</v>
      </c>
    </row>
    <row r="19" spans="1:35" ht="40.5" customHeight="1" outlineLevel="1" thickBot="1">
      <c r="A19" s="107"/>
      <c r="B19" s="108" t="s">
        <v>66</v>
      </c>
      <c r="C19" s="109"/>
      <c r="D19" s="109"/>
      <c r="E19" s="109"/>
      <c r="F19" s="109"/>
      <c r="G19" s="110"/>
      <c r="H19" s="125"/>
      <c r="I19" s="202"/>
      <c r="J19" s="202"/>
      <c r="K19" s="202"/>
      <c r="L19" s="202"/>
      <c r="M19" s="203"/>
      <c r="N19" s="203"/>
      <c r="O19" s="202"/>
      <c r="P19" s="202"/>
      <c r="Q19" s="202"/>
      <c r="R19" s="202"/>
      <c r="S19" s="203"/>
      <c r="T19" s="203"/>
      <c r="U19" s="202"/>
      <c r="V19" s="202"/>
      <c r="W19" s="202"/>
      <c r="X19" s="202"/>
      <c r="Y19" s="203"/>
    </row>
    <row r="20" spans="1:35" ht="20.100000000000001" customHeight="1" outlineLevel="1" thickBot="1">
      <c r="A20" s="102">
        <v>3</v>
      </c>
      <c r="B20" s="20" t="s">
        <v>17</v>
      </c>
      <c r="C20" s="15">
        <f>SUM(C21:C22)</f>
        <v>156.06</v>
      </c>
      <c r="D20" s="15">
        <f t="shared" ref="D20:F20" si="7">SUM(D21:D22)</f>
        <v>156.06</v>
      </c>
      <c r="E20" s="15">
        <f t="shared" si="7"/>
        <v>156.06</v>
      </c>
      <c r="F20" s="15">
        <f t="shared" si="7"/>
        <v>156.06</v>
      </c>
      <c r="G20" s="5">
        <f>SUM(G21:G22)</f>
        <v>624.24</v>
      </c>
      <c r="H20" s="125"/>
      <c r="I20" s="134" t="s">
        <v>62</v>
      </c>
      <c r="J20" s="134"/>
      <c r="K20" s="134" t="s">
        <v>59</v>
      </c>
      <c r="L20" s="134"/>
      <c r="M20" s="134" t="s">
        <v>63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</row>
    <row r="21" spans="1:35" ht="20.100000000000001" customHeight="1" outlineLevel="1">
      <c r="A21" s="21"/>
      <c r="B21" s="7" t="s">
        <v>40</v>
      </c>
      <c r="C21" s="8">
        <f>SUM(M21)*3</f>
        <v>54.06</v>
      </c>
      <c r="D21" s="8">
        <f>SUM(M21*3)</f>
        <v>54.06</v>
      </c>
      <c r="E21" s="8">
        <f>SUM(M21*3)</f>
        <v>54.06</v>
      </c>
      <c r="F21" s="8">
        <f>SUM(M21*3)</f>
        <v>54.06</v>
      </c>
      <c r="G21" s="66">
        <f>SUM(C21:F21)</f>
        <v>216.24</v>
      </c>
      <c r="H21" s="125" t="s">
        <v>117</v>
      </c>
      <c r="I21" s="94">
        <f>SUM(J5)</f>
        <v>17</v>
      </c>
      <c r="J21" s="95"/>
      <c r="K21" s="95">
        <v>1.06</v>
      </c>
      <c r="L21" s="95"/>
      <c r="M21" s="96">
        <f>I21*K21</f>
        <v>18.02</v>
      </c>
      <c r="N21" s="134"/>
      <c r="O21" s="94"/>
      <c r="P21" s="95"/>
      <c r="Q21" s="95"/>
      <c r="R21" s="95"/>
      <c r="S21" s="96"/>
      <c r="T21" s="134"/>
      <c r="U21" s="94"/>
      <c r="V21" s="95"/>
      <c r="W21" s="95"/>
      <c r="X21" s="95"/>
      <c r="Y21" s="96"/>
    </row>
    <row r="22" spans="1:35" ht="20.100000000000001" customHeight="1" outlineLevel="1" thickBot="1">
      <c r="A22" s="19"/>
      <c r="B22" s="17" t="s">
        <v>18</v>
      </c>
      <c r="C22" s="18">
        <f>SUM(M22)*3</f>
        <v>102</v>
      </c>
      <c r="D22" s="18">
        <f>SUM(M22*3)</f>
        <v>102</v>
      </c>
      <c r="E22" s="18">
        <f>SUM(M22*3)</f>
        <v>102</v>
      </c>
      <c r="F22" s="18">
        <f>SUM(M22*3)</f>
        <v>102</v>
      </c>
      <c r="G22" s="67">
        <f>SUM(C22:F22)</f>
        <v>408</v>
      </c>
      <c r="H22" s="126" t="s">
        <v>124</v>
      </c>
      <c r="I22" s="97">
        <f>SUM(J5)</f>
        <v>17</v>
      </c>
      <c r="J22" s="98"/>
      <c r="K22" s="98">
        <v>2</v>
      </c>
      <c r="L22" s="98"/>
      <c r="M22" s="99">
        <f>I22*K22</f>
        <v>34</v>
      </c>
      <c r="N22" s="134"/>
      <c r="O22" s="97"/>
      <c r="P22" s="98"/>
      <c r="Q22" s="98"/>
      <c r="R22" s="98"/>
      <c r="S22" s="99"/>
      <c r="T22" s="134"/>
      <c r="U22" s="97"/>
      <c r="V22" s="98"/>
      <c r="W22" s="98"/>
      <c r="X22" s="98"/>
      <c r="Y22" s="99"/>
    </row>
    <row r="23" spans="1:35" ht="20.100000000000001" customHeight="1" thickBot="1">
      <c r="A23" s="23" t="s">
        <v>9</v>
      </c>
      <c r="B23" s="20" t="s">
        <v>22</v>
      </c>
      <c r="C23" s="15">
        <f>SUM(C24:C25)</f>
        <v>3953.1510000000003</v>
      </c>
      <c r="D23" s="15">
        <f t="shared" ref="D23:F23" si="8">SUM(D24:D25)</f>
        <v>3953.1510000000003</v>
      </c>
      <c r="E23" s="15">
        <f t="shared" si="8"/>
        <v>3953.1510000000003</v>
      </c>
      <c r="F23" s="15">
        <f t="shared" si="8"/>
        <v>3953.1510000000003</v>
      </c>
      <c r="G23" s="5">
        <f>SUM(G24:G25)</f>
        <v>15812.604000000001</v>
      </c>
      <c r="H23" s="127"/>
      <c r="I23" s="134" t="s">
        <v>64</v>
      </c>
      <c r="J23" s="134"/>
      <c r="K23" s="134" t="s">
        <v>59</v>
      </c>
      <c r="L23" s="134"/>
      <c r="M23" s="134" t="s">
        <v>63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35" ht="20.100000000000001" customHeight="1" outlineLevel="1">
      <c r="A24" s="24"/>
      <c r="B24" s="7" t="s">
        <v>21</v>
      </c>
      <c r="C24" s="6">
        <f>SUM(M24)*3</f>
        <v>2635.4340000000002</v>
      </c>
      <c r="D24" s="6">
        <f>SUM(M24*3)</f>
        <v>2635.4340000000002</v>
      </c>
      <c r="E24" s="6">
        <f>SUM(M24*3)</f>
        <v>2635.4340000000002</v>
      </c>
      <c r="F24" s="6">
        <f>SUM(M24*3)</f>
        <v>2635.4340000000002</v>
      </c>
      <c r="G24" s="66">
        <f t="shared" ref="G24:G25" si="9">SUM(C24:F24)</f>
        <v>10541.736000000001</v>
      </c>
      <c r="H24" s="128" t="s">
        <v>126</v>
      </c>
      <c r="I24" s="88">
        <f>SUM(J1)</f>
        <v>1416.9</v>
      </c>
      <c r="J24" s="89"/>
      <c r="K24" s="95">
        <v>0.62</v>
      </c>
      <c r="L24" s="95"/>
      <c r="M24" s="90">
        <f>SUM(I24*K24)</f>
        <v>878.47800000000007</v>
      </c>
      <c r="N24" s="202"/>
      <c r="O24" s="88"/>
      <c r="P24" s="89"/>
      <c r="Q24" s="95"/>
      <c r="R24" s="95"/>
      <c r="S24" s="90"/>
      <c r="T24" s="202"/>
      <c r="U24" s="88"/>
      <c r="V24" s="89"/>
      <c r="W24" s="95"/>
      <c r="X24" s="95"/>
      <c r="Y24" s="90"/>
    </row>
    <row r="25" spans="1:35" ht="20.100000000000001" customHeight="1" outlineLevel="1" thickBot="1">
      <c r="A25" s="25"/>
      <c r="B25" s="17" t="s">
        <v>55</v>
      </c>
      <c r="C25" s="18">
        <f>SUM(M25)*3</f>
        <v>1317.7170000000001</v>
      </c>
      <c r="D25" s="18">
        <f>SUM(M25*3)</f>
        <v>1317.7170000000001</v>
      </c>
      <c r="E25" s="18">
        <f>SUM(M25*3)</f>
        <v>1317.7170000000001</v>
      </c>
      <c r="F25" s="18">
        <f>SUM(M25*3)</f>
        <v>1317.7170000000001</v>
      </c>
      <c r="G25" s="67">
        <f t="shared" si="9"/>
        <v>5270.8680000000004</v>
      </c>
      <c r="H25" s="128" t="s">
        <v>127</v>
      </c>
      <c r="I25" s="91">
        <f>SUM(J1)</f>
        <v>1416.9</v>
      </c>
      <c r="J25" s="93"/>
      <c r="K25" s="98">
        <v>0.31</v>
      </c>
      <c r="L25" s="98"/>
      <c r="M25" s="92">
        <f>SUM(I25*K25)</f>
        <v>439.23900000000003</v>
      </c>
      <c r="N25" s="202"/>
      <c r="O25" s="91"/>
      <c r="P25" s="93"/>
      <c r="Q25" s="98"/>
      <c r="R25" s="98"/>
      <c r="S25" s="92"/>
      <c r="T25" s="202"/>
      <c r="U25" s="91"/>
      <c r="V25" s="93"/>
      <c r="W25" s="98"/>
      <c r="X25" s="98"/>
      <c r="Y25" s="92"/>
    </row>
    <row r="26" spans="1:35" ht="20.100000000000001" customHeight="1" outlineLevel="1">
      <c r="A26" s="26" t="s">
        <v>7</v>
      </c>
      <c r="B26" s="28" t="s">
        <v>4</v>
      </c>
      <c r="C26" s="22">
        <f>SUM(C27:C28)</f>
        <v>0</v>
      </c>
      <c r="D26" s="22">
        <f t="shared" ref="D26:F26" si="10">SUM(D27:D28)</f>
        <v>0</v>
      </c>
      <c r="E26" s="22">
        <f t="shared" si="10"/>
        <v>0</v>
      </c>
      <c r="F26" s="22">
        <f t="shared" si="10"/>
        <v>0</v>
      </c>
      <c r="G26" s="29">
        <f t="shared" ref="G26:G29" si="11">SUM(C26:F26)</f>
        <v>0</v>
      </c>
      <c r="I26" s="209" t="s">
        <v>62</v>
      </c>
      <c r="M26" s="210"/>
    </row>
    <row r="27" spans="1:35" s="1" customFormat="1" ht="20.100000000000001" customHeight="1" outlineLevel="1" thickBot="1">
      <c r="A27" s="24"/>
      <c r="B27" s="7" t="s">
        <v>5</v>
      </c>
      <c r="C27" s="6"/>
      <c r="D27" s="6"/>
      <c r="E27" s="6"/>
      <c r="F27" s="6"/>
      <c r="G27" s="66">
        <f t="shared" si="11"/>
        <v>0</v>
      </c>
      <c r="H27" s="178"/>
      <c r="I27" s="204">
        <f>SUM(J5)</f>
        <v>17</v>
      </c>
      <c r="J27" s="205"/>
      <c r="K27" s="206">
        <v>0.28000000000000003</v>
      </c>
      <c r="L27" s="205"/>
      <c r="M27" s="211">
        <f>SUM(I27*K27)</f>
        <v>4.7600000000000007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1" customFormat="1" ht="20.100000000000001" customHeight="1" outlineLevel="1" thickBot="1">
      <c r="A28" s="25"/>
      <c r="B28" s="17" t="s">
        <v>19</v>
      </c>
      <c r="C28" s="18"/>
      <c r="D28" s="18"/>
      <c r="E28" s="18"/>
      <c r="F28" s="18"/>
      <c r="G28" s="67">
        <f t="shared" si="11"/>
        <v>0</v>
      </c>
      <c r="H28" s="374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178"/>
      <c r="AC28" s="178"/>
      <c r="AD28" s="178"/>
      <c r="AE28" s="178"/>
      <c r="AF28" s="178"/>
      <c r="AG28" s="178"/>
      <c r="AH28" s="178"/>
      <c r="AI28" s="178"/>
    </row>
    <row r="29" spans="1:35" ht="26.1" customHeight="1" outlineLevel="1" thickBot="1">
      <c r="A29" s="381" t="s">
        <v>6</v>
      </c>
      <c r="B29" s="382"/>
      <c r="C29" s="41">
        <f>C9+C16+C20+C23+C26</f>
        <v>5595.3073350000004</v>
      </c>
      <c r="D29" s="41">
        <f>D9+D16+D20+D23+D26</f>
        <v>5595.3073350000004</v>
      </c>
      <c r="E29" s="41">
        <f>E9+E16+E20+E23+E26</f>
        <v>5595.3073350000004</v>
      </c>
      <c r="F29" s="41">
        <f>F9+F16+F20+F23+F26</f>
        <v>5595.3073350000004</v>
      </c>
      <c r="G29" s="42">
        <f t="shared" si="11"/>
        <v>22381.229340000002</v>
      </c>
    </row>
    <row r="30" spans="1:35" ht="26.1" customHeight="1" thickBot="1">
      <c r="A30" s="376" t="s">
        <v>34</v>
      </c>
      <c r="B30" s="377"/>
      <c r="C30" s="43" t="s">
        <v>8</v>
      </c>
      <c r="D30" s="43" t="s">
        <v>8</v>
      </c>
      <c r="E30" s="43" t="s">
        <v>8</v>
      </c>
      <c r="F30" s="43" t="s">
        <v>8</v>
      </c>
      <c r="G30" s="44" t="s">
        <v>8</v>
      </c>
    </row>
    <row r="31" spans="1:35" ht="20.100000000000001" customHeight="1">
      <c r="A31" s="102">
        <v>1</v>
      </c>
      <c r="B31" s="14" t="s">
        <v>15</v>
      </c>
      <c r="C31" s="53">
        <f>SUM(C32:C35)</f>
        <v>1213.7657338017491</v>
      </c>
      <c r="D31" s="53">
        <f>SUM(D32:D35)</f>
        <v>1213.7657338017491</v>
      </c>
      <c r="E31" s="53">
        <f>SUM(E32:E35)</f>
        <v>1213.7657338017491</v>
      </c>
      <c r="F31" s="53">
        <f>SUM(F32:F35)</f>
        <v>1213.7657338017491</v>
      </c>
      <c r="G31" s="53">
        <f>SUM(G32:G35)</f>
        <v>4855.0629352069964</v>
      </c>
      <c r="H31" s="128" t="s">
        <v>253</v>
      </c>
      <c r="I31" s="88">
        <f>SUM(O1)</f>
        <v>1421.7</v>
      </c>
      <c r="J31" s="89"/>
      <c r="K31" s="95">
        <v>0.62</v>
      </c>
      <c r="L31" s="95"/>
      <c r="M31" s="90">
        <f>SUM(I31*K31)</f>
        <v>881.45400000000006</v>
      </c>
    </row>
    <row r="32" spans="1:35" ht="20.100000000000001" customHeight="1" thickBot="1">
      <c r="A32" s="35"/>
      <c r="B32" s="7" t="s">
        <v>3</v>
      </c>
      <c r="C32" s="32">
        <f>C10</f>
        <v>594.24786000000006</v>
      </c>
      <c r="D32" s="32">
        <f>D10</f>
        <v>594.24786000000006</v>
      </c>
      <c r="E32" s="32">
        <f>E10</f>
        <v>594.24786000000006</v>
      </c>
      <c r="F32" s="32">
        <f>F10</f>
        <v>594.24786000000006</v>
      </c>
      <c r="G32" s="62">
        <f>SUM(C32:F32)</f>
        <v>2376.9914400000002</v>
      </c>
      <c r="H32" s="128"/>
      <c r="I32" s="91"/>
      <c r="J32" s="93"/>
      <c r="K32" s="98"/>
      <c r="L32" s="98"/>
      <c r="M32" s="92"/>
    </row>
    <row r="33" spans="1:7" ht="20.100000000000001" customHeight="1">
      <c r="A33" s="35"/>
      <c r="B33" s="7" t="s">
        <v>10</v>
      </c>
      <c r="C33" s="32">
        <f t="shared" ref="C33:F33" si="12">C13</f>
        <v>185.75559000000004</v>
      </c>
      <c r="D33" s="32">
        <f t="shared" si="12"/>
        <v>185.75559000000004</v>
      </c>
      <c r="E33" s="32">
        <f t="shared" si="12"/>
        <v>185.75559000000004</v>
      </c>
      <c r="F33" s="32">
        <f t="shared" si="12"/>
        <v>185.75559000000004</v>
      </c>
      <c r="G33" s="62">
        <f>SUM(C33:F33)</f>
        <v>743.02236000000016</v>
      </c>
    </row>
    <row r="34" spans="1:7" ht="57.75" customHeight="1">
      <c r="A34" s="35"/>
      <c r="B34" s="7" t="s">
        <v>41</v>
      </c>
      <c r="C34" s="32">
        <f>Площадь!D8</f>
        <v>433.76228380174899</v>
      </c>
      <c r="D34" s="32">
        <f>C34</f>
        <v>433.76228380174899</v>
      </c>
      <c r="E34" s="32">
        <f t="shared" ref="E34:F34" si="13">D34</f>
        <v>433.76228380174899</v>
      </c>
      <c r="F34" s="32">
        <f t="shared" si="13"/>
        <v>433.76228380174899</v>
      </c>
      <c r="G34" s="62">
        <f>SUM(C34:F34)</f>
        <v>1735.049135206996</v>
      </c>
    </row>
    <row r="35" spans="1:7" ht="20.100000000000001" customHeight="1" thickBot="1">
      <c r="A35" s="35"/>
      <c r="B35" s="7" t="s">
        <v>12</v>
      </c>
      <c r="C35" s="32"/>
      <c r="D35" s="32"/>
      <c r="E35" s="32"/>
      <c r="F35" s="32"/>
      <c r="G35" s="62">
        <f>SUM(C35:F35)</f>
        <v>0</v>
      </c>
    </row>
    <row r="36" spans="1:7" ht="20.100000000000001" customHeight="1">
      <c r="A36" s="102">
        <v>2</v>
      </c>
      <c r="B36" s="20" t="s">
        <v>16</v>
      </c>
      <c r="C36" s="53">
        <f>SUM(C37:C38)</f>
        <v>0</v>
      </c>
      <c r="D36" s="53">
        <f t="shared" ref="D36:G36" si="14">SUM(D37:D38)</f>
        <v>0</v>
      </c>
      <c r="E36" s="53">
        <f t="shared" si="14"/>
        <v>0</v>
      </c>
      <c r="F36" s="53">
        <f t="shared" si="14"/>
        <v>0</v>
      </c>
      <c r="G36" s="53">
        <f t="shared" si="14"/>
        <v>0</v>
      </c>
    </row>
    <row r="37" spans="1:7" ht="39.950000000000003" customHeight="1">
      <c r="A37" s="21"/>
      <c r="B37" s="7" t="s">
        <v>20</v>
      </c>
      <c r="C37" s="32"/>
      <c r="D37" s="32"/>
      <c r="E37" s="32"/>
      <c r="F37" s="32"/>
      <c r="G37" s="62">
        <f>SUM(C37:F37)</f>
        <v>0</v>
      </c>
    </row>
    <row r="38" spans="1:7" ht="39.950000000000003" customHeight="1" thickBot="1">
      <c r="A38" s="19"/>
      <c r="B38" s="17" t="s">
        <v>14</v>
      </c>
      <c r="C38" s="32"/>
      <c r="D38" s="32"/>
      <c r="E38" s="32"/>
      <c r="F38" s="32"/>
      <c r="G38" s="62">
        <f>SUM(C38:F38)</f>
        <v>0</v>
      </c>
    </row>
    <row r="39" spans="1:7" ht="20.100000000000001" customHeight="1">
      <c r="A39" s="102" t="s">
        <v>28</v>
      </c>
      <c r="B39" s="20" t="s">
        <v>17</v>
      </c>
      <c r="C39" s="53">
        <f>SUM(C40:C41)</f>
        <v>156.06</v>
      </c>
      <c r="D39" s="53">
        <f t="shared" ref="D39:G39" si="15">SUM(D40:D41)</f>
        <v>156.06</v>
      </c>
      <c r="E39" s="53">
        <f t="shared" si="15"/>
        <v>156.06</v>
      </c>
      <c r="F39" s="53">
        <f t="shared" si="15"/>
        <v>156.06</v>
      </c>
      <c r="G39" s="53">
        <f t="shared" si="15"/>
        <v>624.24</v>
      </c>
    </row>
    <row r="40" spans="1:7" ht="20.100000000000001" customHeight="1">
      <c r="A40" s="35"/>
      <c r="B40" s="7" t="s">
        <v>40</v>
      </c>
      <c r="C40" s="32">
        <f t="shared" ref="C40:F41" si="16">C21</f>
        <v>54.06</v>
      </c>
      <c r="D40" s="32">
        <f t="shared" si="16"/>
        <v>54.06</v>
      </c>
      <c r="E40" s="32">
        <f t="shared" si="16"/>
        <v>54.06</v>
      </c>
      <c r="F40" s="32">
        <f t="shared" si="16"/>
        <v>54.06</v>
      </c>
      <c r="G40" s="62">
        <f>SUM(C40:F40)</f>
        <v>216.24</v>
      </c>
    </row>
    <row r="41" spans="1:7" s="4" customFormat="1" ht="20.100000000000001" customHeight="1" thickBot="1">
      <c r="A41" s="45"/>
      <c r="B41" s="17" t="s">
        <v>18</v>
      </c>
      <c r="C41" s="46">
        <f t="shared" si="16"/>
        <v>102</v>
      </c>
      <c r="D41" s="46">
        <f t="shared" si="16"/>
        <v>102</v>
      </c>
      <c r="E41" s="46">
        <f t="shared" si="16"/>
        <v>102</v>
      </c>
      <c r="F41" s="46">
        <f t="shared" si="16"/>
        <v>102</v>
      </c>
      <c r="G41" s="62">
        <f>SUM(C41:F41)</f>
        <v>408</v>
      </c>
    </row>
    <row r="42" spans="1:7" ht="20.100000000000001" customHeight="1">
      <c r="A42" s="102" t="s">
        <v>9</v>
      </c>
      <c r="B42" s="20" t="s">
        <v>33</v>
      </c>
      <c r="C42" s="53">
        <f>SUM(C43:C58)</f>
        <v>2658.6420000000003</v>
      </c>
      <c r="D42" s="53">
        <f>SUM(D43:D58)</f>
        <v>2658.6420000000003</v>
      </c>
      <c r="E42" s="53">
        <f>SUM(E43:E58)</f>
        <v>2658.6420000000003</v>
      </c>
      <c r="F42" s="53">
        <f>SUM(F43:F58)</f>
        <v>2658.6420000000003</v>
      </c>
      <c r="G42" s="55">
        <f t="shared" ref="G42:G51" si="17">SUM(C42:F42)</f>
        <v>10634.568000000001</v>
      </c>
    </row>
    <row r="43" spans="1:7" ht="20.100000000000001" customHeight="1">
      <c r="A43" s="47"/>
      <c r="B43" s="38" t="s">
        <v>38</v>
      </c>
      <c r="C43" s="32">
        <f>SUM(M31*3)</f>
        <v>2644.3620000000001</v>
      </c>
      <c r="D43" s="32">
        <f>SUM(M31*3)</f>
        <v>2644.3620000000001</v>
      </c>
      <c r="E43" s="32">
        <f>SUM(M31*3)</f>
        <v>2644.3620000000001</v>
      </c>
      <c r="F43" s="32">
        <f>SUM(M31*3)</f>
        <v>2644.3620000000001</v>
      </c>
      <c r="G43" s="62">
        <f t="shared" si="17"/>
        <v>10577.448</v>
      </c>
    </row>
    <row r="44" spans="1:7" ht="20.100000000000001" customHeight="1">
      <c r="A44" s="36"/>
      <c r="B44" s="38" t="s">
        <v>23</v>
      </c>
      <c r="C44" s="32"/>
      <c r="D44" s="32"/>
      <c r="E44" s="32"/>
      <c r="F44" s="32"/>
      <c r="G44" s="62">
        <f>SUM(C44:F44)</f>
        <v>0</v>
      </c>
    </row>
    <row r="45" spans="1:7" ht="20.100000000000001" customHeight="1">
      <c r="A45" s="36"/>
      <c r="B45" s="38" t="s">
        <v>31</v>
      </c>
      <c r="C45" s="32"/>
      <c r="D45" s="32"/>
      <c r="E45" s="32"/>
      <c r="F45" s="32"/>
      <c r="G45" s="62">
        <f t="shared" si="17"/>
        <v>0</v>
      </c>
    </row>
    <row r="46" spans="1:7" ht="20.100000000000001" customHeight="1">
      <c r="A46" s="36"/>
      <c r="B46" s="38" t="s">
        <v>29</v>
      </c>
      <c r="C46" s="32"/>
      <c r="D46" s="32"/>
      <c r="E46" s="32"/>
      <c r="F46" s="32"/>
      <c r="G46" s="62">
        <f t="shared" si="17"/>
        <v>0</v>
      </c>
    </row>
    <row r="47" spans="1:7" ht="20.100000000000001" customHeight="1">
      <c r="A47" s="35"/>
      <c r="B47" s="38" t="s">
        <v>30</v>
      </c>
      <c r="C47" s="32"/>
      <c r="D47" s="32"/>
      <c r="E47" s="32"/>
      <c r="F47" s="32"/>
      <c r="G47" s="62">
        <f t="shared" si="17"/>
        <v>0</v>
      </c>
    </row>
    <row r="48" spans="1:7" ht="20.100000000000001" customHeight="1">
      <c r="A48" s="47"/>
      <c r="B48" s="7" t="s">
        <v>57</v>
      </c>
      <c r="C48" s="32"/>
      <c r="D48" s="32"/>
      <c r="E48" s="32"/>
      <c r="F48" s="32"/>
      <c r="G48" s="62">
        <f t="shared" si="17"/>
        <v>0</v>
      </c>
    </row>
    <row r="49" spans="1:14" ht="39" customHeight="1">
      <c r="A49" s="47"/>
      <c r="B49" s="38" t="s">
        <v>32</v>
      </c>
      <c r="C49" s="32"/>
      <c r="D49" s="32"/>
      <c r="E49" s="32"/>
      <c r="F49" s="32"/>
      <c r="G49" s="62">
        <f t="shared" si="17"/>
        <v>0</v>
      </c>
      <c r="H49" s="54"/>
    </row>
    <row r="50" spans="1:14" ht="20.100000000000001" customHeight="1">
      <c r="A50" s="35"/>
      <c r="B50" s="38" t="s">
        <v>24</v>
      </c>
      <c r="C50" s="32"/>
      <c r="D50" s="32"/>
      <c r="E50" s="32"/>
      <c r="F50" s="32"/>
      <c r="G50" s="62">
        <f t="shared" si="17"/>
        <v>0</v>
      </c>
    </row>
    <row r="51" spans="1:14" s="4" customFormat="1" ht="20.100000000000001" customHeight="1">
      <c r="A51" s="37"/>
      <c r="B51" s="38" t="s">
        <v>35</v>
      </c>
      <c r="C51" s="32">
        <f>SUM(M27*3)</f>
        <v>14.280000000000001</v>
      </c>
      <c r="D51" s="32">
        <f>SUM(M27*3)</f>
        <v>14.280000000000001</v>
      </c>
      <c r="E51" s="32">
        <f>SUM(M27*3)</f>
        <v>14.280000000000001</v>
      </c>
      <c r="F51" s="32">
        <f>SUM(M27*3)</f>
        <v>14.280000000000001</v>
      </c>
      <c r="G51" s="62">
        <f t="shared" si="17"/>
        <v>57.120000000000005</v>
      </c>
    </row>
    <row r="52" spans="1:14" ht="20.100000000000001" customHeight="1">
      <c r="A52" s="48"/>
      <c r="B52" s="38" t="s">
        <v>36</v>
      </c>
      <c r="C52" s="57"/>
      <c r="D52" s="57"/>
      <c r="E52" s="57"/>
      <c r="F52" s="57"/>
      <c r="G52" s="6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0"/>
      <c r="B53" s="40" t="s">
        <v>39</v>
      </c>
      <c r="C53" s="32"/>
      <c r="D53" s="32"/>
      <c r="E53" s="32"/>
      <c r="F53" s="32"/>
      <c r="G53" s="62">
        <f t="shared" si="18"/>
        <v>0</v>
      </c>
    </row>
    <row r="54" spans="1:14" ht="20.100000000000001" customHeight="1">
      <c r="A54" s="50"/>
      <c r="B54" s="38" t="s">
        <v>25</v>
      </c>
      <c r="C54" s="32"/>
      <c r="D54" s="32"/>
      <c r="E54" s="32"/>
      <c r="F54" s="32"/>
      <c r="G54" s="62">
        <f t="shared" si="18"/>
        <v>0</v>
      </c>
    </row>
    <row r="55" spans="1:14" ht="41.25" customHeight="1">
      <c r="A55" s="50"/>
      <c r="B55" s="38" t="s">
        <v>26</v>
      </c>
      <c r="C55" s="32"/>
      <c r="D55" s="32"/>
      <c r="E55" s="32"/>
      <c r="F55" s="32"/>
      <c r="G55" s="62">
        <f t="shared" si="18"/>
        <v>0</v>
      </c>
    </row>
    <row r="56" spans="1:14" ht="39" customHeight="1">
      <c r="A56" s="51"/>
      <c r="B56" s="69" t="s">
        <v>45</v>
      </c>
      <c r="C56" s="57"/>
      <c r="D56" s="57"/>
      <c r="E56" s="57"/>
      <c r="F56" s="57"/>
      <c r="G56" s="70">
        <f t="shared" si="18"/>
        <v>0</v>
      </c>
    </row>
    <row r="57" spans="1:14" ht="60" customHeight="1">
      <c r="A57" s="49"/>
      <c r="B57" s="40" t="s">
        <v>48</v>
      </c>
      <c r="C57" s="57"/>
      <c r="D57" s="57"/>
      <c r="E57" s="57"/>
      <c r="F57" s="57"/>
      <c r="G57" s="70">
        <f t="shared" si="18"/>
        <v>0</v>
      </c>
    </row>
    <row r="58" spans="1:14" ht="20.100000000000001" customHeight="1" thickBot="1">
      <c r="A58" s="52"/>
      <c r="B58" s="39" t="s">
        <v>27</v>
      </c>
      <c r="C58" s="46">
        <f>C27*5/100</f>
        <v>0</v>
      </c>
      <c r="D58" s="46">
        <f t="shared" ref="D58:F58" si="19">D27*5/100</f>
        <v>0</v>
      </c>
      <c r="E58" s="46">
        <f t="shared" si="19"/>
        <v>0</v>
      </c>
      <c r="F58" s="46">
        <f t="shared" si="19"/>
        <v>0</v>
      </c>
      <c r="G58" s="64">
        <f>SUM(C58:F58)</f>
        <v>0</v>
      </c>
    </row>
    <row r="59" spans="1:14" ht="20.100000000000001" customHeight="1" outlineLevel="1" thickBot="1">
      <c r="A59" s="378" t="s">
        <v>37</v>
      </c>
      <c r="B59" s="379"/>
      <c r="C59" s="30">
        <f>C31+C36+C39+C42</f>
        <v>4028.4677338017491</v>
      </c>
      <c r="D59" s="30">
        <f>D31+D36+D39+D42</f>
        <v>4028.4677338017491</v>
      </c>
      <c r="E59" s="30">
        <f>E31+E36+E39+E42</f>
        <v>4028.4677338017491</v>
      </c>
      <c r="F59" s="30">
        <f>F31+F36+F39+F42</f>
        <v>4028.4677338017491</v>
      </c>
      <c r="G59" s="31">
        <f>G31+G36+G39+G42</f>
        <v>16113.870935206996</v>
      </c>
    </row>
    <row r="60" spans="1:14" ht="26.1" hidden="1" customHeight="1" outlineLevel="1">
      <c r="A60" s="100"/>
      <c r="B60" s="60"/>
      <c r="C60" s="61">
        <f>C29-C59</f>
        <v>1566.8396011982513</v>
      </c>
      <c r="D60" s="61">
        <f>D29-D59</f>
        <v>1566.8396011982513</v>
      </c>
      <c r="E60" s="61">
        <f>E29-E59</f>
        <v>1566.8396011982513</v>
      </c>
      <c r="F60" s="61">
        <f>F29-F59</f>
        <v>1566.8396011982513</v>
      </c>
      <c r="G60" s="61">
        <f>G29-G59</f>
        <v>6267.3584047930053</v>
      </c>
    </row>
    <row r="61" spans="1:14" ht="26.1" hidden="1" customHeight="1" outlineLevel="1">
      <c r="A61" s="100"/>
      <c r="B61" s="60"/>
      <c r="C61" s="61"/>
      <c r="D61" s="61"/>
      <c r="E61" s="61"/>
      <c r="F61" s="61"/>
      <c r="G61" s="68" t="e">
        <f>G60/#REF!/12</f>
        <v>#REF!</v>
      </c>
    </row>
    <row r="62" spans="1:14" ht="37.5">
      <c r="A62" s="58"/>
      <c r="B62" s="38" t="s">
        <v>42</v>
      </c>
      <c r="C62" s="388" t="s">
        <v>46</v>
      </c>
      <c r="D62" s="389"/>
      <c r="E62" s="389"/>
      <c r="F62" s="389"/>
      <c r="G62" s="390"/>
      <c r="H62" s="2">
        <v>236.16</v>
      </c>
    </row>
    <row r="63" spans="1:14" ht="39.75" customHeight="1">
      <c r="A63" s="58"/>
      <c r="B63" s="38" t="s">
        <v>43</v>
      </c>
      <c r="C63" s="388" t="s">
        <v>47</v>
      </c>
      <c r="D63" s="389"/>
      <c r="E63" s="389"/>
      <c r="F63" s="389"/>
      <c r="G63" s="390"/>
      <c r="H63" s="2">
        <v>389.19</v>
      </c>
    </row>
    <row r="64" spans="1:14">
      <c r="A64" s="58"/>
      <c r="B64" s="38" t="s">
        <v>13</v>
      </c>
      <c r="C64" s="388" t="s">
        <v>54</v>
      </c>
      <c r="D64" s="389"/>
      <c r="E64" s="389"/>
      <c r="F64" s="389"/>
      <c r="G64" s="390"/>
    </row>
    <row r="65" spans="1:15">
      <c r="A65" s="58"/>
      <c r="B65" s="38" t="s">
        <v>44</v>
      </c>
      <c r="C65" s="388" t="s">
        <v>49</v>
      </c>
      <c r="D65" s="389"/>
      <c r="E65" s="389"/>
      <c r="F65" s="389"/>
      <c r="G65" s="389"/>
      <c r="H65" s="391"/>
      <c r="I65" s="391"/>
      <c r="J65" s="391"/>
      <c r="K65" s="391"/>
      <c r="L65" s="391"/>
    </row>
    <row r="66" spans="1:15">
      <c r="A66" s="58"/>
      <c r="B66" s="7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1:15">
      <c r="A67" s="58"/>
      <c r="B67" s="74" t="s">
        <v>51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1:15">
      <c r="A68" s="58"/>
      <c r="B68" s="71" t="s">
        <v>52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5">
      <c r="A69" s="58"/>
      <c r="B69" s="71" t="s">
        <v>53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5">
      <c r="A70" s="58"/>
      <c r="B70" s="71"/>
      <c r="C70" s="77">
        <v>2019</v>
      </c>
      <c r="D70" s="77">
        <v>2020</v>
      </c>
      <c r="E70" s="101"/>
      <c r="F70" s="101"/>
      <c r="G70" s="101"/>
      <c r="H70" s="101"/>
      <c r="I70" s="101"/>
      <c r="J70" s="101"/>
      <c r="K70" s="101"/>
      <c r="L70" s="101"/>
    </row>
    <row r="71" spans="1:15" ht="19.5" customHeight="1">
      <c r="A71" s="58"/>
      <c r="B71" s="75" t="s">
        <v>50</v>
      </c>
      <c r="C71" s="76">
        <f>C72+C73</f>
        <v>0.34</v>
      </c>
      <c r="D71" s="76">
        <f>D72+D73</f>
        <v>0.39</v>
      </c>
      <c r="E71" s="101"/>
      <c r="F71" s="101"/>
      <c r="G71" s="101"/>
      <c r="H71" s="101"/>
      <c r="I71" s="101"/>
      <c r="J71" s="101"/>
      <c r="K71" s="101"/>
      <c r="L71" s="101"/>
    </row>
    <row r="72" spans="1:15" ht="19.5" customHeight="1">
      <c r="A72" s="58"/>
      <c r="B72" s="7" t="s">
        <v>21</v>
      </c>
      <c r="C72" s="106">
        <v>0.26</v>
      </c>
      <c r="D72" s="106">
        <v>0.28999999999999998</v>
      </c>
      <c r="E72" s="101"/>
      <c r="F72" s="101"/>
      <c r="G72" s="101"/>
      <c r="H72" s="101"/>
      <c r="I72" s="101"/>
      <c r="J72" s="101"/>
      <c r="K72" s="101"/>
      <c r="L72" s="101"/>
    </row>
    <row r="73" spans="1:15" ht="19.5" customHeight="1" thickBot="1">
      <c r="A73" s="58"/>
      <c r="B73" s="17" t="s">
        <v>55</v>
      </c>
      <c r="C73" s="106">
        <v>0.08</v>
      </c>
      <c r="D73" s="106">
        <v>0.1</v>
      </c>
      <c r="E73" s="101"/>
      <c r="F73" s="101"/>
      <c r="G73" s="101"/>
      <c r="H73" s="101"/>
      <c r="I73" s="101"/>
      <c r="J73" s="101"/>
      <c r="K73" s="101"/>
      <c r="L73" s="101"/>
    </row>
    <row r="74" spans="1:15" ht="19.5" customHeight="1">
      <c r="A74" s="58"/>
      <c r="B74" s="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1:15" ht="19.5" customHeight="1">
      <c r="A75" s="58"/>
      <c r="B75" s="356" t="s">
        <v>56</v>
      </c>
      <c r="C75" s="356"/>
      <c r="D75" s="356"/>
      <c r="E75" s="356"/>
      <c r="F75" s="356"/>
      <c r="G75" s="356"/>
      <c r="H75" s="101"/>
      <c r="I75" s="101"/>
      <c r="J75" s="101"/>
      <c r="K75" s="101"/>
      <c r="L75" s="101"/>
    </row>
    <row r="76" spans="1:15" ht="39.75" hidden="1" customHeight="1">
      <c r="A76" s="58"/>
      <c r="B76" s="7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1:15" hidden="1">
      <c r="A77" s="58"/>
      <c r="C77" s="56">
        <f>C16*1.2/100</f>
        <v>2.4527447999999996</v>
      </c>
      <c r="D77" s="56">
        <f>D16*1.2/100</f>
        <v>2.4527447999999996</v>
      </c>
      <c r="E77" s="56">
        <f>E16*1.2/100</f>
        <v>2.4527447999999996</v>
      </c>
      <c r="F77" s="56">
        <f>F16*1.2/100</f>
        <v>2.4527447999999996</v>
      </c>
    </row>
    <row r="78" spans="1:15" hidden="1">
      <c r="A78" s="59"/>
      <c r="C78" s="56">
        <f>(C16-C77)*0.5/100</f>
        <v>1.009713276</v>
      </c>
      <c r="D78" s="56">
        <f>(D16-D77)*0.5/100</f>
        <v>1.009713276</v>
      </c>
      <c r="E78" s="56">
        <f>(E16-E77)*0.5/100</f>
        <v>1.009713276</v>
      </c>
      <c r="F78" s="56">
        <f>(F16-F77)*0.5/100</f>
        <v>1.009713276</v>
      </c>
    </row>
    <row r="79" spans="1:15" hidden="1">
      <c r="C79" s="3">
        <f>C9*1.2/100</f>
        <v>15.380411220000003</v>
      </c>
      <c r="D79" s="3">
        <f>D9*1.2/100</f>
        <v>15.380411220000003</v>
      </c>
      <c r="E79" s="3">
        <f>E9*1.2/100</f>
        <v>15.380411220000003</v>
      </c>
      <c r="F79" s="3">
        <f>F9*1.2/100</f>
        <v>15.380411220000003</v>
      </c>
    </row>
    <row r="80" spans="1:15" s="3" customFormat="1" hidden="1">
      <c r="A80" s="2"/>
      <c r="B80" s="2"/>
      <c r="C80" s="3">
        <f>(C9-C79)*4/100</f>
        <v>50.652820951200013</v>
      </c>
      <c r="D80" s="3">
        <f>(D9-D79)*4/100</f>
        <v>50.652820951200013</v>
      </c>
      <c r="E80" s="3">
        <f>(E9-E79)*4/100</f>
        <v>50.652820951200013</v>
      </c>
      <c r="F80" s="3">
        <f>(F9-F79)*4/100</f>
        <v>50.652820951200013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69.495690247200017</v>
      </c>
      <c r="D81" s="3">
        <f t="shared" ref="D81:F81" si="20">SUM(D77:D80)</f>
        <v>69.495690247200017</v>
      </c>
      <c r="E81" s="3">
        <f t="shared" si="20"/>
        <v>69.495690247200017</v>
      </c>
      <c r="F81" s="3">
        <f t="shared" si="20"/>
        <v>69.495690247200017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4:C6"/>
    <mergeCell ref="D4:D6"/>
    <mergeCell ref="E4:E6"/>
    <mergeCell ref="F4:F6"/>
    <mergeCell ref="G4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17</vt:i4>
      </vt:variant>
    </vt:vector>
  </HeadingPairs>
  <TitlesOfParts>
    <vt:vector size="40" baseType="lpstr">
      <vt:lpstr>ПИРС-1</vt:lpstr>
      <vt:lpstr>ПИРС-1 1 кв 2023</vt:lpstr>
      <vt:lpstr>тх2</vt:lpstr>
      <vt:lpstr>тх4</vt:lpstr>
      <vt:lpstr>тх6</vt:lpstr>
      <vt:lpstr>КТ</vt:lpstr>
      <vt:lpstr>УВ1</vt:lpstr>
      <vt:lpstr>УВ3</vt:lpstr>
      <vt:lpstr>УВ5</vt:lpstr>
      <vt:lpstr>УВ7</vt:lpstr>
      <vt:lpstr>УВ9</vt:lpstr>
      <vt:lpstr>УВ11</vt:lpstr>
      <vt:lpstr>УВ13</vt:lpstr>
      <vt:lpstr>УВ15</vt:lpstr>
      <vt:lpstr>УВ17</vt:lpstr>
      <vt:lpstr>УВ19</vt:lpstr>
      <vt:lpstr>УВ21</vt:lpstr>
      <vt:lpstr>Площадь</vt:lpstr>
      <vt:lpstr>материалы, информ. от инженера</vt:lpstr>
      <vt:lpstr>ШНО</vt:lpstr>
      <vt:lpstr>МОП, лифт доход</vt:lpstr>
      <vt:lpstr>МОП, ЛИФТ РАСХОД</vt:lpstr>
      <vt:lpstr>Лист1</vt:lpstr>
      <vt:lpstr>КТ!Область_печати</vt:lpstr>
      <vt:lpstr>'ПИРС-1'!Область_печати</vt:lpstr>
      <vt:lpstr>'ПИРС-1 1 кв 2023'!Область_печати</vt:lpstr>
      <vt:lpstr>тх2!Область_печати</vt:lpstr>
      <vt:lpstr>тх4!Область_печати</vt:lpstr>
      <vt:lpstr>тх6!Область_печати</vt:lpstr>
      <vt:lpstr>УВ1!Область_печати</vt:lpstr>
      <vt:lpstr>УВ11!Область_печати</vt:lpstr>
      <vt:lpstr>УВ13!Область_печати</vt:lpstr>
      <vt:lpstr>УВ15!Область_печати</vt:lpstr>
      <vt:lpstr>УВ17!Область_печати</vt:lpstr>
      <vt:lpstr>УВ19!Область_печати</vt:lpstr>
      <vt:lpstr>УВ21!Область_печати</vt:lpstr>
      <vt:lpstr>УВ3!Область_печати</vt:lpstr>
      <vt:lpstr>УВ5!Область_печати</vt:lpstr>
      <vt:lpstr>УВ7!Область_печати</vt:lpstr>
      <vt:lpstr>УВ9!Область_печати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2022-03-10T11:13:35Z</dcterms:modified>
</cp:coreProperties>
</file>