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69089928-2384-4D61-A14F-77726B67B6DD}" xr6:coauthVersionLast="47" xr6:coauthVersionMax="47" xr10:uidLastSave="{00000000-0000-0000-0000-000000000000}"/>
  <bookViews>
    <workbookView xWindow="-120" yWindow="-120" windowWidth="20730" windowHeight="11160" tabRatio="838" xr2:uid="{00000000-000D-0000-FFFF-FFFF00000000}"/>
  </bookViews>
  <sheets>
    <sheet name="ПИРС-2" sheetId="4" r:id="rId1"/>
    <sheet name="ПИРС-2 1 кв 2023" sheetId="82" r:id="rId2"/>
    <sheet name="мр1" sheetId="47" r:id="rId3"/>
    <sheet name="мр1-1" sheetId="61" r:id="rId4"/>
    <sheet name="мр1-2" sheetId="62" r:id="rId5"/>
    <sheet name="мр2" sheetId="63" r:id="rId6"/>
    <sheet name="мр3" sheetId="64" r:id="rId7"/>
    <sheet name="мр4" sheetId="65" r:id="rId8"/>
    <sheet name="мр5" sheetId="66" r:id="rId9"/>
    <sheet name="мр1-3" sheetId="77" r:id="rId10"/>
    <sheet name="материалы информ. от инженера" sheetId="79" r:id="rId11"/>
    <sheet name="Площадь" sheetId="75" r:id="rId12"/>
    <sheet name="РАСЧЕТ ШНО" sheetId="80" r:id="rId13"/>
    <sheet name="ээ" sheetId="81" r:id="rId14"/>
  </sheets>
  <externalReferences>
    <externalReference r:id="rId15"/>
  </externalReferences>
  <definedNames>
    <definedName name="_xlnm.Print_Area" localSheetId="2">мр1!$A$1:$G$61</definedName>
    <definedName name="_xlnm.Print_Area" localSheetId="3">'мр1-1'!$A$1:$G$60</definedName>
    <definedName name="_xlnm.Print_Area" localSheetId="4">'мр1-2'!$A$1:$G$60</definedName>
    <definedName name="_xlnm.Print_Area" localSheetId="9">'мр1-3'!$A$1:$G$61</definedName>
    <definedName name="_xlnm.Print_Area" localSheetId="5">мр2!$A$1:$G$60</definedName>
    <definedName name="_xlnm.Print_Area" localSheetId="6">мр3!$A$1:$G$66</definedName>
    <definedName name="_xlnm.Print_Area" localSheetId="7">мр4!$A$1:$G$66</definedName>
    <definedName name="_xlnm.Print_Area" localSheetId="8">мр5!$A$1:$G$61</definedName>
    <definedName name="_xlnm.Print_Area" localSheetId="0">'ПИРС-2'!$A$1:$G$89</definedName>
    <definedName name="_xlnm.Print_Area" localSheetId="1">'ПИРС-2 1 кв 2023'!$A$1:$C$89</definedName>
    <definedName name="чел" localSheetId="2">мр1!#REF!</definedName>
    <definedName name="чел" localSheetId="3">'мр1-1'!#REF!</definedName>
    <definedName name="чел" localSheetId="4">'мр1-2'!#REF!</definedName>
    <definedName name="чел" localSheetId="9">'мр1-3'!#REF!</definedName>
    <definedName name="чел" localSheetId="5">мр2!#REF!</definedName>
    <definedName name="чел" localSheetId="6">мр3!#REF!</definedName>
    <definedName name="чел" localSheetId="7">мр4!#REF!</definedName>
    <definedName name="чел" localSheetId="8">мр5!#REF!</definedName>
    <definedName name="чел" localSheetId="0">'ПИРС-2'!#REF!</definedName>
    <definedName name="чел" localSheetId="1">'ПИРС-2 1 кв 2023'!#REF!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4" l="1"/>
  <c r="N6" i="80"/>
  <c r="M6" i="80"/>
  <c r="L6" i="80"/>
  <c r="L8" i="80" s="1"/>
  <c r="K6" i="80"/>
  <c r="J6" i="80"/>
  <c r="I6" i="80"/>
  <c r="I8" i="80" s="1"/>
  <c r="H6" i="80"/>
  <c r="G6" i="80"/>
  <c r="F6" i="80"/>
  <c r="F8" i="80" s="1"/>
  <c r="E6" i="80"/>
  <c r="D6" i="80"/>
  <c r="C6" i="80"/>
  <c r="C8" i="80" s="1"/>
  <c r="C57" i="4"/>
  <c r="C58" i="4"/>
  <c r="C14" i="80" l="1"/>
  <c r="C13" i="80"/>
  <c r="E14" i="80"/>
  <c r="E13" i="80"/>
  <c r="D14" i="80"/>
  <c r="D13" i="80"/>
  <c r="F14" i="80"/>
  <c r="F13" i="80"/>
  <c r="C37" i="82"/>
  <c r="C36" i="82"/>
  <c r="D19" i="82"/>
  <c r="C17" i="82"/>
  <c r="C38" i="82" s="1"/>
  <c r="C16" i="82"/>
  <c r="C15" i="82"/>
  <c r="C13" i="82"/>
  <c r="C12" i="82"/>
  <c r="C11" i="82"/>
  <c r="C32" i="82" s="1"/>
  <c r="C10" i="82"/>
  <c r="C31" i="82" s="1"/>
  <c r="C78" i="82"/>
  <c r="E43" i="82"/>
  <c r="F43" i="82" s="1"/>
  <c r="D42" i="82"/>
  <c r="C39" i="82"/>
  <c r="C24" i="82"/>
  <c r="C21" i="82"/>
  <c r="C18" i="82"/>
  <c r="D4" i="82"/>
  <c r="D3" i="82"/>
  <c r="D65" i="82" s="1"/>
  <c r="D2" i="82"/>
  <c r="D1" i="82"/>
  <c r="C88" i="82" s="1"/>
  <c r="G55" i="4"/>
  <c r="C9" i="82" l="1"/>
  <c r="C86" i="82"/>
  <c r="C87" i="82" s="1"/>
  <c r="C14" i="82"/>
  <c r="C28" i="82" s="1"/>
  <c r="C84" i="82"/>
  <c r="C30" i="82"/>
  <c r="C35" i="82"/>
  <c r="C85" i="82" l="1"/>
  <c r="C89" i="82" s="1"/>
  <c r="G51" i="4"/>
  <c r="F37" i="4"/>
  <c r="E37" i="4"/>
  <c r="D37" i="4"/>
  <c r="C37" i="4"/>
  <c r="F36" i="4"/>
  <c r="E36" i="4"/>
  <c r="D36" i="4"/>
  <c r="C36" i="4"/>
  <c r="C41" i="82" l="1"/>
  <c r="U15" i="66"/>
  <c r="O15" i="66"/>
  <c r="I15" i="66"/>
  <c r="U15" i="65"/>
  <c r="O15" i="65"/>
  <c r="I15" i="65"/>
  <c r="U15" i="64"/>
  <c r="O15" i="64"/>
  <c r="I15" i="64"/>
  <c r="U15" i="63"/>
  <c r="O15" i="63"/>
  <c r="I15" i="63"/>
  <c r="U15" i="62"/>
  <c r="O15" i="62"/>
  <c r="I15" i="62"/>
  <c r="U15" i="61"/>
  <c r="O15" i="61"/>
  <c r="I15" i="61"/>
  <c r="U15" i="47"/>
  <c r="O15" i="47"/>
  <c r="I15" i="47"/>
  <c r="C62" i="82" l="1"/>
  <c r="C63" i="82" s="1"/>
  <c r="I31" i="66"/>
  <c r="M31" i="66" s="1"/>
  <c r="I31" i="65"/>
  <c r="M31" i="65" s="1"/>
  <c r="I31" i="64"/>
  <c r="M31" i="64" s="1"/>
  <c r="I31" i="63"/>
  <c r="M31" i="63" s="1"/>
  <c r="I31" i="62"/>
  <c r="M31" i="62" s="1"/>
  <c r="I31" i="61"/>
  <c r="M31" i="61" s="1"/>
  <c r="I31" i="47"/>
  <c r="M31" i="47" s="1"/>
  <c r="A61" i="79" l="1"/>
  <c r="D56" i="79"/>
  <c r="E56" i="79" s="1"/>
  <c r="H56" i="79" s="1"/>
  <c r="J56" i="79" s="1"/>
  <c r="C56" i="79"/>
  <c r="D55" i="79"/>
  <c r="C55" i="79"/>
  <c r="E55" i="79" s="1"/>
  <c r="H55" i="79" s="1"/>
  <c r="J55" i="79" s="1"/>
  <c r="D54" i="79"/>
  <c r="E54" i="79" s="1"/>
  <c r="H54" i="79" s="1"/>
  <c r="J54" i="79" s="1"/>
  <c r="C54" i="79"/>
  <c r="D53" i="79"/>
  <c r="C53" i="79"/>
  <c r="E53" i="79" s="1"/>
  <c r="H53" i="79" s="1"/>
  <c r="J53" i="79" s="1"/>
  <c r="D52" i="79"/>
  <c r="E52" i="79" s="1"/>
  <c r="H52" i="79" s="1"/>
  <c r="J52" i="79" s="1"/>
  <c r="C52" i="79"/>
  <c r="I51" i="79"/>
  <c r="D51" i="79"/>
  <c r="E51" i="79" s="1"/>
  <c r="H51" i="79" s="1"/>
  <c r="J51" i="79" s="1"/>
  <c r="C51" i="79"/>
  <c r="I50" i="79"/>
  <c r="D50" i="79"/>
  <c r="E50" i="79" s="1"/>
  <c r="H50" i="79" s="1"/>
  <c r="J50" i="79" s="1"/>
  <c r="C50" i="79"/>
  <c r="I49" i="79"/>
  <c r="D49" i="79"/>
  <c r="E49" i="79" s="1"/>
  <c r="H49" i="79" s="1"/>
  <c r="J49" i="79" s="1"/>
  <c r="C49" i="79"/>
  <c r="I48" i="79"/>
  <c r="D48" i="79"/>
  <c r="E48" i="79" s="1"/>
  <c r="H48" i="79" s="1"/>
  <c r="J48" i="79" s="1"/>
  <c r="C48" i="79"/>
  <c r="I47" i="79"/>
  <c r="D47" i="79"/>
  <c r="E47" i="79" s="1"/>
  <c r="H47" i="79" s="1"/>
  <c r="J47" i="79" s="1"/>
  <c r="C47" i="79"/>
  <c r="I46" i="79"/>
  <c r="D46" i="79"/>
  <c r="E46" i="79" s="1"/>
  <c r="H46" i="79" s="1"/>
  <c r="J46" i="79" s="1"/>
  <c r="C46" i="79"/>
  <c r="D45" i="79"/>
  <c r="C45" i="79"/>
  <c r="E45" i="79" s="1"/>
  <c r="H45" i="79" s="1"/>
  <c r="J45" i="79" s="1"/>
  <c r="I44" i="79"/>
  <c r="D44" i="79"/>
  <c r="C44" i="79"/>
  <c r="E44" i="79" s="1"/>
  <c r="H44" i="79" s="1"/>
  <c r="J44" i="79" s="1"/>
  <c r="I43" i="79"/>
  <c r="D43" i="79"/>
  <c r="C43" i="79"/>
  <c r="E43" i="79" s="1"/>
  <c r="H43" i="79" s="1"/>
  <c r="J43" i="79" s="1"/>
  <c r="I42" i="79"/>
  <c r="D42" i="79"/>
  <c r="C42" i="79"/>
  <c r="E42" i="79" s="1"/>
  <c r="H42" i="79" s="1"/>
  <c r="J42" i="79" s="1"/>
  <c r="D41" i="79"/>
  <c r="E41" i="79" s="1"/>
  <c r="H41" i="79" s="1"/>
  <c r="J41" i="79" s="1"/>
  <c r="C41" i="79"/>
  <c r="J40" i="79"/>
  <c r="E40" i="79"/>
  <c r="H40" i="79" s="1"/>
  <c r="C40" i="79"/>
  <c r="I39" i="79"/>
  <c r="D39" i="79"/>
  <c r="E39" i="79" s="1"/>
  <c r="H39" i="79" s="1"/>
  <c r="J39" i="79" s="1"/>
  <c r="C39" i="79"/>
  <c r="D38" i="79"/>
  <c r="C38" i="79"/>
  <c r="E38" i="79" s="1"/>
  <c r="H38" i="79" s="1"/>
  <c r="J38" i="79" s="1"/>
  <c r="H37" i="79"/>
  <c r="J37" i="79" s="1"/>
  <c r="D37" i="79"/>
  <c r="E37" i="79" s="1"/>
  <c r="C37" i="79"/>
  <c r="I36" i="79"/>
  <c r="D36" i="79"/>
  <c r="E36" i="79" s="1"/>
  <c r="H36" i="79" s="1"/>
  <c r="J36" i="79" s="1"/>
  <c r="C36" i="79"/>
  <c r="I35" i="79"/>
  <c r="H35" i="79"/>
  <c r="J35" i="79" s="1"/>
  <c r="D35" i="79"/>
  <c r="E35" i="79" s="1"/>
  <c r="C35" i="79"/>
  <c r="I34" i="79"/>
  <c r="H34" i="79"/>
  <c r="J34" i="79" s="1"/>
  <c r="D34" i="79"/>
  <c r="E34" i="79" s="1"/>
  <c r="I33" i="79"/>
  <c r="D33" i="79"/>
  <c r="C33" i="79"/>
  <c r="E33" i="79" s="1"/>
  <c r="H33" i="79" s="1"/>
  <c r="J33" i="79" s="1"/>
  <c r="I32" i="79"/>
  <c r="E32" i="79"/>
  <c r="H32" i="79" s="1"/>
  <c r="J32" i="79" s="1"/>
  <c r="D32" i="79"/>
  <c r="D31" i="79"/>
  <c r="C31" i="79"/>
  <c r="E31" i="79" s="1"/>
  <c r="H31" i="79" s="1"/>
  <c r="G29" i="79"/>
  <c r="F29" i="79"/>
  <c r="D28" i="79"/>
  <c r="C28" i="79"/>
  <c r="E28" i="79" s="1"/>
  <c r="H28" i="79" s="1"/>
  <c r="D27" i="79"/>
  <c r="C27" i="79"/>
  <c r="E27" i="79" s="1"/>
  <c r="H27" i="79" s="1"/>
  <c r="D26" i="79"/>
  <c r="C26" i="79"/>
  <c r="E26" i="79" s="1"/>
  <c r="H26" i="79" s="1"/>
  <c r="D25" i="79"/>
  <c r="C25" i="79"/>
  <c r="E25" i="79" s="1"/>
  <c r="H25" i="79" s="1"/>
  <c r="D24" i="79"/>
  <c r="C24" i="79"/>
  <c r="E24" i="79" s="1"/>
  <c r="H24" i="79" s="1"/>
  <c r="D23" i="79"/>
  <c r="C23" i="79"/>
  <c r="E23" i="79" s="1"/>
  <c r="H23" i="79" s="1"/>
  <c r="D22" i="79"/>
  <c r="C22" i="79"/>
  <c r="E22" i="79" s="1"/>
  <c r="H22" i="79" s="1"/>
  <c r="D21" i="79"/>
  <c r="C21" i="79"/>
  <c r="E21" i="79" s="1"/>
  <c r="H21" i="79" s="1"/>
  <c r="E20" i="79"/>
  <c r="H20" i="79" s="1"/>
  <c r="D20" i="79"/>
  <c r="D19" i="79"/>
  <c r="E19" i="79" s="1"/>
  <c r="H19" i="79" s="1"/>
  <c r="C19" i="79"/>
  <c r="H18" i="79"/>
  <c r="D18" i="79"/>
  <c r="E18" i="79" s="1"/>
  <c r="C18" i="79"/>
  <c r="D17" i="79"/>
  <c r="E17" i="79" s="1"/>
  <c r="H17" i="79" s="1"/>
  <c r="D16" i="79"/>
  <c r="C16" i="79"/>
  <c r="E16" i="79" s="1"/>
  <c r="H16" i="79" s="1"/>
  <c r="D15" i="79"/>
  <c r="C15" i="79"/>
  <c r="E15" i="79" s="1"/>
  <c r="H15" i="79" s="1"/>
  <c r="D14" i="79"/>
  <c r="C14" i="79"/>
  <c r="E14" i="79" s="1"/>
  <c r="H14" i="79" s="1"/>
  <c r="E13" i="79"/>
  <c r="H13" i="79" s="1"/>
  <c r="D13" i="79"/>
  <c r="H12" i="79"/>
  <c r="D12" i="79"/>
  <c r="E12" i="79" s="1"/>
  <c r="C12" i="79"/>
  <c r="D11" i="79"/>
  <c r="E11" i="79" s="1"/>
  <c r="H11" i="79" s="1"/>
  <c r="C11" i="79"/>
  <c r="H10" i="79"/>
  <c r="D10" i="79"/>
  <c r="E10" i="79" s="1"/>
  <c r="C10" i="79"/>
  <c r="D9" i="79"/>
  <c r="E9" i="79" s="1"/>
  <c r="H9" i="79" s="1"/>
  <c r="C9" i="79"/>
  <c r="H8" i="79"/>
  <c r="D8" i="79"/>
  <c r="E8" i="79" s="1"/>
  <c r="C8" i="79"/>
  <c r="D7" i="79"/>
  <c r="E7" i="79" s="1"/>
  <c r="H7" i="79" s="1"/>
  <c r="C7" i="79"/>
  <c r="H6" i="79"/>
  <c r="E6" i="79"/>
  <c r="H5" i="79"/>
  <c r="D5" i="79"/>
  <c r="E5" i="79" s="1"/>
  <c r="C5" i="79"/>
  <c r="D4" i="79"/>
  <c r="E4" i="79" s="1"/>
  <c r="C4" i="79"/>
  <c r="H3" i="79"/>
  <c r="E3" i="79"/>
  <c r="H58" i="79" l="1"/>
  <c r="J31" i="79"/>
  <c r="J58" i="79" s="1"/>
  <c r="E29" i="79"/>
  <c r="H4" i="79"/>
  <c r="H29" i="79" s="1"/>
  <c r="H42" i="4" l="1"/>
  <c r="F24" i="77"/>
  <c r="E24" i="77"/>
  <c r="D24" i="77"/>
  <c r="C24" i="77"/>
  <c r="F24" i="66"/>
  <c r="E24" i="66"/>
  <c r="D24" i="66"/>
  <c r="C24" i="66"/>
  <c r="F24" i="65"/>
  <c r="E24" i="65"/>
  <c r="D24" i="65"/>
  <c r="C24" i="65"/>
  <c r="F24" i="64"/>
  <c r="E24" i="64"/>
  <c r="D24" i="64"/>
  <c r="C24" i="64"/>
  <c r="F24" i="63"/>
  <c r="E24" i="63"/>
  <c r="D24" i="63"/>
  <c r="C24" i="63"/>
  <c r="F24" i="62"/>
  <c r="E24" i="62"/>
  <c r="D24" i="62"/>
  <c r="C24" i="62"/>
  <c r="F24" i="61"/>
  <c r="E24" i="61"/>
  <c r="D24" i="61"/>
  <c r="C24" i="61"/>
  <c r="F24" i="47"/>
  <c r="E24" i="47"/>
  <c r="D24" i="47"/>
  <c r="C24" i="47" l="1"/>
  <c r="F23" i="4"/>
  <c r="E23" i="4"/>
  <c r="D23" i="4"/>
  <c r="C25" i="47"/>
  <c r="I25" i="77"/>
  <c r="I24" i="77"/>
  <c r="I25" i="66"/>
  <c r="I24" i="66"/>
  <c r="I25" i="65"/>
  <c r="I24" i="65"/>
  <c r="I25" i="64"/>
  <c r="I24" i="64"/>
  <c r="I25" i="63"/>
  <c r="I24" i="63"/>
  <c r="I25" i="62"/>
  <c r="I24" i="62"/>
  <c r="I25" i="61"/>
  <c r="I24" i="61"/>
  <c r="I25" i="47"/>
  <c r="I24" i="47"/>
  <c r="F19" i="4"/>
  <c r="E19" i="4"/>
  <c r="D19" i="4"/>
  <c r="C19" i="4"/>
  <c r="G33" i="4"/>
  <c r="E78" i="4" l="1"/>
  <c r="C15" i="4"/>
  <c r="C16" i="4"/>
  <c r="C12" i="4"/>
  <c r="F38" i="4" l="1"/>
  <c r="E38" i="4"/>
  <c r="D38" i="4"/>
  <c r="C38" i="4"/>
  <c r="I27" i="66"/>
  <c r="M27" i="66" s="1"/>
  <c r="M25" i="66"/>
  <c r="M24" i="66"/>
  <c r="I22" i="66"/>
  <c r="M22" i="66" s="1"/>
  <c r="I21" i="66"/>
  <c r="M21" i="66" s="1"/>
  <c r="Y18" i="66"/>
  <c r="U18" i="66"/>
  <c r="S18" i="66"/>
  <c r="O18" i="66"/>
  <c r="M18" i="66"/>
  <c r="I18" i="66"/>
  <c r="Y17" i="66"/>
  <c r="U17" i="66"/>
  <c r="S17" i="66"/>
  <c r="O17" i="66"/>
  <c r="M17" i="66"/>
  <c r="I17" i="66"/>
  <c r="Y15" i="66"/>
  <c r="S15" i="66"/>
  <c r="M15" i="66"/>
  <c r="Y14" i="66"/>
  <c r="U14" i="66"/>
  <c r="S14" i="66"/>
  <c r="O14" i="66"/>
  <c r="M14" i="66"/>
  <c r="I14" i="66"/>
  <c r="Y13" i="66"/>
  <c r="U13" i="66"/>
  <c r="S13" i="66"/>
  <c r="O13" i="66"/>
  <c r="M13" i="66"/>
  <c r="I13" i="66"/>
  <c r="Y11" i="66"/>
  <c r="S11" i="66"/>
  <c r="M11" i="66"/>
  <c r="Y10" i="66"/>
  <c r="U10" i="66" s="1"/>
  <c r="S10" i="66"/>
  <c r="O10" i="66" s="1"/>
  <c r="M10" i="66"/>
  <c r="I10" i="66" s="1"/>
  <c r="I27" i="65"/>
  <c r="M27" i="65" s="1"/>
  <c r="M25" i="65"/>
  <c r="M24" i="65"/>
  <c r="I22" i="65"/>
  <c r="M22" i="65" s="1"/>
  <c r="I21" i="65"/>
  <c r="M21" i="65" s="1"/>
  <c r="Y18" i="65"/>
  <c r="U18" i="65"/>
  <c r="S18" i="65"/>
  <c r="O18" i="65"/>
  <c r="M18" i="65"/>
  <c r="I18" i="65"/>
  <c r="Y17" i="65"/>
  <c r="U17" i="65"/>
  <c r="S17" i="65"/>
  <c r="O17" i="65"/>
  <c r="M17" i="65"/>
  <c r="I17" i="65"/>
  <c r="Y15" i="65"/>
  <c r="S15" i="65"/>
  <c r="M15" i="65"/>
  <c r="Y14" i="65"/>
  <c r="U14" i="65"/>
  <c r="S14" i="65"/>
  <c r="O14" i="65"/>
  <c r="M14" i="65"/>
  <c r="I14" i="65"/>
  <c r="Y13" i="65"/>
  <c r="U13" i="65"/>
  <c r="S13" i="65"/>
  <c r="O13" i="65"/>
  <c r="M13" i="65"/>
  <c r="I13" i="65"/>
  <c r="Y11" i="65"/>
  <c r="S11" i="65"/>
  <c r="M11" i="65"/>
  <c r="Y10" i="65"/>
  <c r="U10" i="65" s="1"/>
  <c r="S10" i="65"/>
  <c r="O10" i="65" s="1"/>
  <c r="M10" i="65"/>
  <c r="I10" i="65" s="1"/>
  <c r="I27" i="64"/>
  <c r="M27" i="64" s="1"/>
  <c r="M25" i="64"/>
  <c r="M24" i="64"/>
  <c r="I22" i="64"/>
  <c r="M22" i="64" s="1"/>
  <c r="I21" i="64"/>
  <c r="M21" i="64" s="1"/>
  <c r="Y18" i="64"/>
  <c r="U18" i="64"/>
  <c r="S18" i="64"/>
  <c r="O18" i="64"/>
  <c r="M18" i="64"/>
  <c r="I18" i="64"/>
  <c r="Y17" i="64"/>
  <c r="U17" i="64"/>
  <c r="S17" i="64"/>
  <c r="O17" i="64"/>
  <c r="M17" i="64"/>
  <c r="I17" i="64"/>
  <c r="Y15" i="64"/>
  <c r="S15" i="64"/>
  <c r="M15" i="64"/>
  <c r="Y14" i="64"/>
  <c r="U14" i="64"/>
  <c r="S14" i="64"/>
  <c r="O14" i="64"/>
  <c r="M14" i="64"/>
  <c r="I14" i="64"/>
  <c r="Y13" i="64"/>
  <c r="U13" i="64"/>
  <c r="S13" i="64"/>
  <c r="O13" i="64"/>
  <c r="M13" i="64"/>
  <c r="I13" i="64"/>
  <c r="Y11" i="64"/>
  <c r="S11" i="64"/>
  <c r="M11" i="64"/>
  <c r="Y10" i="64"/>
  <c r="U10" i="64" s="1"/>
  <c r="S10" i="64"/>
  <c r="O10" i="64" s="1"/>
  <c r="M10" i="64"/>
  <c r="I10" i="64" s="1"/>
  <c r="I27" i="63"/>
  <c r="M27" i="63" s="1"/>
  <c r="M25" i="63"/>
  <c r="M24" i="63"/>
  <c r="I22" i="63"/>
  <c r="M22" i="63" s="1"/>
  <c r="I21" i="63"/>
  <c r="M21" i="63" s="1"/>
  <c r="Y18" i="63"/>
  <c r="U18" i="63"/>
  <c r="S18" i="63"/>
  <c r="O18" i="63"/>
  <c r="M18" i="63"/>
  <c r="I18" i="63"/>
  <c r="Y17" i="63"/>
  <c r="U17" i="63"/>
  <c r="S17" i="63"/>
  <c r="O17" i="63"/>
  <c r="M17" i="63"/>
  <c r="I17" i="63"/>
  <c r="Y15" i="63"/>
  <c r="S15" i="63"/>
  <c r="M15" i="63"/>
  <c r="Y14" i="63"/>
  <c r="U14" i="63"/>
  <c r="S14" i="63"/>
  <c r="O14" i="63"/>
  <c r="M14" i="63"/>
  <c r="I14" i="63"/>
  <c r="Y13" i="63"/>
  <c r="U13" i="63"/>
  <c r="S13" i="63"/>
  <c r="O13" i="63"/>
  <c r="M13" i="63"/>
  <c r="I13" i="63"/>
  <c r="Y11" i="63"/>
  <c r="S11" i="63"/>
  <c r="M11" i="63"/>
  <c r="Y10" i="63"/>
  <c r="U10" i="63" s="1"/>
  <c r="S10" i="63"/>
  <c r="O10" i="63" s="1"/>
  <c r="M10" i="63"/>
  <c r="I10" i="63" s="1"/>
  <c r="I27" i="62"/>
  <c r="M27" i="62" s="1"/>
  <c r="M25" i="62"/>
  <c r="M24" i="62"/>
  <c r="I22" i="62"/>
  <c r="M22" i="62" s="1"/>
  <c r="I21" i="62"/>
  <c r="M21" i="62" s="1"/>
  <c r="Y18" i="62"/>
  <c r="U18" i="62"/>
  <c r="S18" i="62"/>
  <c r="O18" i="62"/>
  <c r="M18" i="62"/>
  <c r="I18" i="62"/>
  <c r="Y17" i="62"/>
  <c r="U17" i="62"/>
  <c r="S17" i="62"/>
  <c r="O17" i="62"/>
  <c r="M17" i="62"/>
  <c r="I17" i="62"/>
  <c r="Y15" i="62"/>
  <c r="S15" i="62"/>
  <c r="M15" i="62"/>
  <c r="Y14" i="62"/>
  <c r="U14" i="62"/>
  <c r="S14" i="62"/>
  <c r="O14" i="62"/>
  <c r="M14" i="62"/>
  <c r="I14" i="62"/>
  <c r="Y13" i="62"/>
  <c r="U13" i="62"/>
  <c r="S13" i="62"/>
  <c r="O13" i="62"/>
  <c r="M13" i="62"/>
  <c r="I13" i="62"/>
  <c r="Y11" i="62"/>
  <c r="S11" i="62"/>
  <c r="M11" i="62"/>
  <c r="Y10" i="62"/>
  <c r="U10" i="62" s="1"/>
  <c r="S10" i="62"/>
  <c r="O10" i="62" s="1"/>
  <c r="M10" i="62"/>
  <c r="I10" i="62" s="1"/>
  <c r="I27" i="61"/>
  <c r="M27" i="61" s="1"/>
  <c r="M25" i="61"/>
  <c r="M24" i="61"/>
  <c r="I22" i="61"/>
  <c r="M22" i="61" s="1"/>
  <c r="I21" i="61"/>
  <c r="M21" i="61" s="1"/>
  <c r="Y18" i="61"/>
  <c r="U18" i="61"/>
  <c r="S18" i="61"/>
  <c r="O18" i="61"/>
  <c r="M18" i="61"/>
  <c r="I18" i="61"/>
  <c r="Y17" i="61"/>
  <c r="U17" i="61"/>
  <c r="S17" i="61"/>
  <c r="O17" i="61"/>
  <c r="M17" i="61"/>
  <c r="I17" i="61"/>
  <c r="Y15" i="61"/>
  <c r="S15" i="61"/>
  <c r="M15" i="61"/>
  <c r="Y14" i="61"/>
  <c r="U14" i="61"/>
  <c r="S14" i="61"/>
  <c r="O14" i="61"/>
  <c r="M14" i="61"/>
  <c r="I14" i="61"/>
  <c r="Y13" i="61"/>
  <c r="U13" i="61"/>
  <c r="S13" i="61"/>
  <c r="O13" i="61"/>
  <c r="M13" i="61"/>
  <c r="I13" i="61"/>
  <c r="Y11" i="61"/>
  <c r="S11" i="61"/>
  <c r="M11" i="61"/>
  <c r="Y10" i="61"/>
  <c r="U10" i="61" s="1"/>
  <c r="S10" i="61"/>
  <c r="O10" i="61" s="1"/>
  <c r="M10" i="61"/>
  <c r="I10" i="61" s="1"/>
  <c r="U18" i="47"/>
  <c r="U17" i="47"/>
  <c r="U14" i="47"/>
  <c r="E14" i="47" s="1"/>
  <c r="U13" i="47"/>
  <c r="U10" i="47"/>
  <c r="Y11" i="47"/>
  <c r="O17" i="47"/>
  <c r="O14" i="47"/>
  <c r="O13" i="47"/>
  <c r="D13" i="47"/>
  <c r="D10" i="47"/>
  <c r="C10" i="47"/>
  <c r="I17" i="47"/>
  <c r="S17" i="47"/>
  <c r="S14" i="47"/>
  <c r="S13" i="47"/>
  <c r="S11" i="47"/>
  <c r="S10" i="47"/>
  <c r="O10" i="47"/>
  <c r="S15" i="47"/>
  <c r="S18" i="47"/>
  <c r="O18" i="47" s="1"/>
  <c r="I14" i="47"/>
  <c r="M14" i="47"/>
  <c r="I13" i="47"/>
  <c r="M17" i="47"/>
  <c r="M13" i="47"/>
  <c r="M11" i="47"/>
  <c r="E43" i="4"/>
  <c r="D43" i="4"/>
  <c r="C43" i="4"/>
  <c r="H4" i="4"/>
  <c r="H2" i="4"/>
  <c r="H3" i="4"/>
  <c r="H65" i="4" s="1"/>
  <c r="H1" i="4"/>
  <c r="B8" i="75"/>
  <c r="B7" i="75"/>
  <c r="B5" i="75"/>
  <c r="B6" i="75"/>
  <c r="B4" i="75"/>
  <c r="B3" i="75"/>
  <c r="B2" i="75"/>
  <c r="B1" i="75"/>
  <c r="I27" i="77"/>
  <c r="M27" i="77" s="1"/>
  <c r="I27" i="47"/>
  <c r="M27" i="47" s="1"/>
  <c r="F24" i="4"/>
  <c r="E24" i="4"/>
  <c r="D24" i="4"/>
  <c r="C24" i="4"/>
  <c r="G27" i="4"/>
  <c r="F43" i="66" l="1"/>
  <c r="D43" i="66"/>
  <c r="E43" i="66"/>
  <c r="C43" i="66"/>
  <c r="F43" i="65"/>
  <c r="D43" i="65"/>
  <c r="E43" i="65"/>
  <c r="C43" i="65"/>
  <c r="F43" i="64"/>
  <c r="D43" i="64"/>
  <c r="E43" i="64"/>
  <c r="C43" i="64"/>
  <c r="E43" i="61"/>
  <c r="C43" i="61"/>
  <c r="F43" i="61"/>
  <c r="D43" i="61"/>
  <c r="E43" i="63"/>
  <c r="C43" i="63"/>
  <c r="F43" i="63"/>
  <c r="D43" i="63"/>
  <c r="E43" i="62"/>
  <c r="C43" i="62"/>
  <c r="F43" i="62"/>
  <c r="D43" i="62"/>
  <c r="F35" i="4"/>
  <c r="E35" i="4"/>
  <c r="D35" i="4"/>
  <c r="G53" i="4" l="1"/>
  <c r="G54" i="4"/>
  <c r="G48" i="4" l="1"/>
  <c r="C39" i="4"/>
  <c r="G38" i="4"/>
  <c r="C35" i="4"/>
  <c r="C18" i="4"/>
  <c r="C14" i="4"/>
  <c r="B9" i="75"/>
  <c r="G58" i="77"/>
  <c r="G57" i="77"/>
  <c r="G56" i="77"/>
  <c r="G55" i="77"/>
  <c r="G54" i="77"/>
  <c r="G53" i="77"/>
  <c r="G52" i="77"/>
  <c r="G51" i="77"/>
  <c r="G50" i="77"/>
  <c r="G49" i="77"/>
  <c r="G48" i="77"/>
  <c r="G47" i="77"/>
  <c r="G46" i="77"/>
  <c r="G45" i="77"/>
  <c r="G44" i="77"/>
  <c r="G38" i="77"/>
  <c r="G37" i="77"/>
  <c r="G36" i="77"/>
  <c r="F36" i="77"/>
  <c r="E36" i="77"/>
  <c r="D36" i="77"/>
  <c r="C36" i="77"/>
  <c r="G35" i="77"/>
  <c r="C34" i="77"/>
  <c r="G28" i="77"/>
  <c r="G27" i="77"/>
  <c r="F26" i="77"/>
  <c r="E26" i="77"/>
  <c r="D26" i="77"/>
  <c r="C26" i="77"/>
  <c r="G26" i="77" s="1"/>
  <c r="M25" i="77"/>
  <c r="C25" i="77" s="1"/>
  <c r="M24" i="77"/>
  <c r="I22" i="77"/>
  <c r="M22" i="77" s="1"/>
  <c r="D41" i="77" s="1"/>
  <c r="M21" i="77"/>
  <c r="I21" i="77"/>
  <c r="Y18" i="77"/>
  <c r="U18" i="77" s="1"/>
  <c r="S18" i="77"/>
  <c r="O18" i="77" s="1"/>
  <c r="M18" i="77"/>
  <c r="I18" i="77" s="1"/>
  <c r="Y17" i="77"/>
  <c r="U17" i="77" s="1"/>
  <c r="F16" i="77" s="1"/>
  <c r="S17" i="77"/>
  <c r="O17" i="77"/>
  <c r="M17" i="77"/>
  <c r="I17" i="77"/>
  <c r="Y15" i="77"/>
  <c r="U15" i="77" s="1"/>
  <c r="S15" i="77"/>
  <c r="O15" i="77" s="1"/>
  <c r="M15" i="77"/>
  <c r="I15" i="77" s="1"/>
  <c r="Y14" i="77"/>
  <c r="U14" i="77" s="1"/>
  <c r="O14" i="77"/>
  <c r="I14" i="77"/>
  <c r="Y13" i="77"/>
  <c r="U13" i="77" s="1"/>
  <c r="O13" i="77"/>
  <c r="I13" i="77"/>
  <c r="D33" i="77"/>
  <c r="G12" i="77"/>
  <c r="G11" i="77"/>
  <c r="Y10" i="77"/>
  <c r="U10" i="77" s="1"/>
  <c r="F32" i="77" s="1"/>
  <c r="S10" i="77"/>
  <c r="O10" i="77" s="1"/>
  <c r="M10" i="77"/>
  <c r="I10" i="77" s="1"/>
  <c r="M25" i="47"/>
  <c r="M24" i="47"/>
  <c r="I22" i="47"/>
  <c r="M22" i="47" s="1"/>
  <c r="I21" i="47"/>
  <c r="M21" i="47" s="1"/>
  <c r="Y18" i="47"/>
  <c r="M18" i="47"/>
  <c r="I18" i="47"/>
  <c r="Y17" i="47"/>
  <c r="Y15" i="47"/>
  <c r="M15" i="47"/>
  <c r="Y14" i="47"/>
  <c r="Y13" i="47"/>
  <c r="Y10" i="47"/>
  <c r="M10" i="47"/>
  <c r="I10" i="47"/>
  <c r="F43" i="47" l="1"/>
  <c r="D43" i="47"/>
  <c r="E43" i="47"/>
  <c r="C43" i="47"/>
  <c r="C9" i="77"/>
  <c r="E33" i="77"/>
  <c r="E16" i="77"/>
  <c r="E25" i="77"/>
  <c r="E32" i="77"/>
  <c r="C33" i="77"/>
  <c r="G15" i="77"/>
  <c r="E20" i="77"/>
  <c r="E41" i="77"/>
  <c r="D43" i="77"/>
  <c r="F34" i="77"/>
  <c r="D34" i="77"/>
  <c r="E40" i="77"/>
  <c r="E39" i="77" s="1"/>
  <c r="G10" i="77"/>
  <c r="G14" i="77"/>
  <c r="D16" i="77"/>
  <c r="G17" i="77"/>
  <c r="F41" i="77"/>
  <c r="F25" i="77"/>
  <c r="D25" i="77"/>
  <c r="D23" i="77" s="1"/>
  <c r="C32" i="77"/>
  <c r="E34" i="77"/>
  <c r="C40" i="77"/>
  <c r="D42" i="77" l="1"/>
  <c r="D42" i="4"/>
  <c r="G34" i="77"/>
  <c r="E9" i="77"/>
  <c r="F23" i="77"/>
  <c r="F43" i="77"/>
  <c r="D40" i="77"/>
  <c r="D39" i="77" s="1"/>
  <c r="D20" i="77"/>
  <c r="G21" i="77"/>
  <c r="G18" i="77"/>
  <c r="C16" i="77"/>
  <c r="F33" i="77"/>
  <c r="F31" i="77" s="1"/>
  <c r="F9" i="77"/>
  <c r="C43" i="77"/>
  <c r="C42" i="4" s="1"/>
  <c r="G24" i="77"/>
  <c r="C23" i="77"/>
  <c r="C41" i="77"/>
  <c r="G41" i="77" s="1"/>
  <c r="G22" i="77"/>
  <c r="G13" i="77"/>
  <c r="G9" i="77" s="1"/>
  <c r="G25" i="77"/>
  <c r="C39" i="77"/>
  <c r="C31" i="77"/>
  <c r="F40" i="77"/>
  <c r="F39" i="77" s="1"/>
  <c r="F20" i="77"/>
  <c r="C20" i="77"/>
  <c r="G16" i="77"/>
  <c r="D32" i="77"/>
  <c r="D31" i="77" s="1"/>
  <c r="D59" i="77" s="1"/>
  <c r="D9" i="77"/>
  <c r="D29" i="77" s="1"/>
  <c r="E43" i="77"/>
  <c r="E23" i="77"/>
  <c r="E31" i="77"/>
  <c r="F42" i="77" l="1"/>
  <c r="F42" i="4"/>
  <c r="E42" i="77"/>
  <c r="E59" i="77" s="1"/>
  <c r="E42" i="4"/>
  <c r="G40" i="77"/>
  <c r="G39" i="77" s="1"/>
  <c r="F59" i="77"/>
  <c r="E29" i="77"/>
  <c r="D60" i="77"/>
  <c r="G32" i="77"/>
  <c r="G43" i="77"/>
  <c r="C42" i="77"/>
  <c r="G42" i="77" s="1"/>
  <c r="G33" i="77"/>
  <c r="C59" i="77"/>
  <c r="G23" i="77"/>
  <c r="F29" i="77"/>
  <c r="C29" i="77"/>
  <c r="G20" i="77"/>
  <c r="E60" i="77" l="1"/>
  <c r="F60" i="77"/>
  <c r="G31" i="77"/>
  <c r="G59" i="77" s="1"/>
  <c r="C60" i="77"/>
  <c r="G29" i="77"/>
  <c r="G60" i="77" l="1"/>
  <c r="G61" i="77" s="1"/>
  <c r="F36" i="66"/>
  <c r="E36" i="66"/>
  <c r="D36" i="66"/>
  <c r="C36" i="66"/>
  <c r="C34" i="66"/>
  <c r="F34" i="66" s="1"/>
  <c r="F26" i="66"/>
  <c r="E26" i="66"/>
  <c r="D26" i="66"/>
  <c r="C26" i="66"/>
  <c r="F22" i="66"/>
  <c r="F41" i="66" s="1"/>
  <c r="E22" i="66"/>
  <c r="E41" i="66" s="1"/>
  <c r="D22" i="66"/>
  <c r="D41" i="66" s="1"/>
  <c r="C22" i="66"/>
  <c r="C41" i="66" s="1"/>
  <c r="F18" i="66"/>
  <c r="E18" i="66"/>
  <c r="D18" i="66"/>
  <c r="C18" i="66"/>
  <c r="D17" i="66"/>
  <c r="C17" i="66"/>
  <c r="D16" i="66"/>
  <c r="C16" i="66"/>
  <c r="F15" i="66"/>
  <c r="E15" i="66"/>
  <c r="D15" i="66"/>
  <c r="C15" i="66"/>
  <c r="D14" i="66"/>
  <c r="C14" i="66"/>
  <c r="D13" i="66"/>
  <c r="D33" i="66" s="1"/>
  <c r="C13" i="66"/>
  <c r="C33" i="66" s="1"/>
  <c r="F36" i="65"/>
  <c r="E36" i="65"/>
  <c r="D36" i="65"/>
  <c r="C36" i="65"/>
  <c r="C34" i="65"/>
  <c r="F34" i="65" s="1"/>
  <c r="F26" i="65"/>
  <c r="E26" i="65"/>
  <c r="D26" i="65"/>
  <c r="C26" i="65"/>
  <c r="F22" i="65"/>
  <c r="F41" i="65" s="1"/>
  <c r="E22" i="65"/>
  <c r="E41" i="65" s="1"/>
  <c r="D22" i="65"/>
  <c r="D41" i="65" s="1"/>
  <c r="C22" i="65"/>
  <c r="C41" i="65" s="1"/>
  <c r="F18" i="65"/>
  <c r="E18" i="65"/>
  <c r="D18" i="65"/>
  <c r="C18" i="65"/>
  <c r="D17" i="65"/>
  <c r="C17" i="65"/>
  <c r="D16" i="65"/>
  <c r="C16" i="65"/>
  <c r="F15" i="65"/>
  <c r="E15" i="65"/>
  <c r="D15" i="65"/>
  <c r="C15" i="65"/>
  <c r="D14" i="65"/>
  <c r="C14" i="65"/>
  <c r="D13" i="65"/>
  <c r="D33" i="65" s="1"/>
  <c r="C13" i="65"/>
  <c r="C33" i="65" s="1"/>
  <c r="F36" i="64"/>
  <c r="E36" i="64"/>
  <c r="D36" i="64"/>
  <c r="C36" i="64"/>
  <c r="C34" i="64"/>
  <c r="F34" i="64" s="1"/>
  <c r="F26" i="64"/>
  <c r="E26" i="64"/>
  <c r="D26" i="64"/>
  <c r="C26" i="64"/>
  <c r="F22" i="64"/>
  <c r="F41" i="64" s="1"/>
  <c r="E22" i="64"/>
  <c r="E41" i="64" s="1"/>
  <c r="D22" i="64"/>
  <c r="D41" i="64" s="1"/>
  <c r="C22" i="64"/>
  <c r="C41" i="64" s="1"/>
  <c r="E21" i="64"/>
  <c r="E40" i="64" s="1"/>
  <c r="E20" i="64"/>
  <c r="F18" i="64"/>
  <c r="E18" i="64"/>
  <c r="D18" i="64"/>
  <c r="C18" i="64"/>
  <c r="D17" i="64"/>
  <c r="C17" i="64"/>
  <c r="D16" i="64"/>
  <c r="C16" i="64"/>
  <c r="F15" i="64"/>
  <c r="E15" i="64"/>
  <c r="D15" i="64"/>
  <c r="C15" i="64"/>
  <c r="D14" i="64"/>
  <c r="C14" i="64"/>
  <c r="D13" i="64"/>
  <c r="D33" i="64" s="1"/>
  <c r="C13" i="64"/>
  <c r="C33" i="64" s="1"/>
  <c r="F36" i="63"/>
  <c r="E36" i="63"/>
  <c r="D36" i="63"/>
  <c r="C36" i="63"/>
  <c r="C34" i="63"/>
  <c r="F34" i="63" s="1"/>
  <c r="F26" i="63"/>
  <c r="E26" i="63"/>
  <c r="D26" i="63"/>
  <c r="C26" i="63"/>
  <c r="F22" i="63"/>
  <c r="F41" i="63" s="1"/>
  <c r="E22" i="63"/>
  <c r="E41" i="63" s="1"/>
  <c r="D22" i="63"/>
  <c r="D41" i="63" s="1"/>
  <c r="C22" i="63"/>
  <c r="C41" i="63" s="1"/>
  <c r="F18" i="63"/>
  <c r="E18" i="63"/>
  <c r="D18" i="63"/>
  <c r="C18" i="63"/>
  <c r="D17" i="63"/>
  <c r="C17" i="63"/>
  <c r="D16" i="63"/>
  <c r="C16" i="63"/>
  <c r="F15" i="63"/>
  <c r="E15" i="63"/>
  <c r="D15" i="63"/>
  <c r="C15" i="63"/>
  <c r="D14" i="63"/>
  <c r="C14" i="63"/>
  <c r="D13" i="63"/>
  <c r="D33" i="63" s="1"/>
  <c r="C13" i="63"/>
  <c r="C33" i="63" s="1"/>
  <c r="F36" i="62"/>
  <c r="E36" i="62"/>
  <c r="D36" i="62"/>
  <c r="C36" i="62"/>
  <c r="C34" i="62"/>
  <c r="F34" i="62" s="1"/>
  <c r="F26" i="62"/>
  <c r="E26" i="62"/>
  <c r="D26" i="62"/>
  <c r="C26" i="62"/>
  <c r="F22" i="62"/>
  <c r="F41" i="62" s="1"/>
  <c r="E22" i="62"/>
  <c r="E41" i="62" s="1"/>
  <c r="D22" i="62"/>
  <c r="D41" i="62" s="1"/>
  <c r="C22" i="62"/>
  <c r="C41" i="62" s="1"/>
  <c r="D21" i="62"/>
  <c r="D40" i="62" s="1"/>
  <c r="D39" i="62" s="1"/>
  <c r="F18" i="62"/>
  <c r="E18" i="62"/>
  <c r="D18" i="62"/>
  <c r="C18" i="62"/>
  <c r="F17" i="62"/>
  <c r="E17" i="62"/>
  <c r="D17" i="62"/>
  <c r="C17" i="62"/>
  <c r="F16" i="62"/>
  <c r="E16" i="62"/>
  <c r="D16" i="62"/>
  <c r="C16" i="62"/>
  <c r="F15" i="62"/>
  <c r="E15" i="62"/>
  <c r="D15" i="62"/>
  <c r="C15" i="62"/>
  <c r="F14" i="62"/>
  <c r="E14" i="62"/>
  <c r="D14" i="62"/>
  <c r="C14" i="62"/>
  <c r="F13" i="62"/>
  <c r="F33" i="62" s="1"/>
  <c r="E13" i="62"/>
  <c r="E33" i="62" s="1"/>
  <c r="D13" i="62"/>
  <c r="D33" i="62" s="1"/>
  <c r="C13" i="62"/>
  <c r="C33" i="62" s="1"/>
  <c r="F10" i="62"/>
  <c r="F32" i="62" s="1"/>
  <c r="E10" i="62"/>
  <c r="E32" i="62" s="1"/>
  <c r="D10" i="62"/>
  <c r="D32" i="62" s="1"/>
  <c r="C10" i="62"/>
  <c r="C32" i="62" s="1"/>
  <c r="F36" i="61"/>
  <c r="E36" i="61"/>
  <c r="D36" i="61"/>
  <c r="C36" i="61"/>
  <c r="C34" i="61"/>
  <c r="F34" i="61" s="1"/>
  <c r="F26" i="61"/>
  <c r="E26" i="61"/>
  <c r="D26" i="61"/>
  <c r="C26" i="61"/>
  <c r="F22" i="61"/>
  <c r="F41" i="61" s="1"/>
  <c r="E22" i="61"/>
  <c r="E41" i="61" s="1"/>
  <c r="D22" i="61"/>
  <c r="D41" i="61" s="1"/>
  <c r="C22" i="61"/>
  <c r="C41" i="61" s="1"/>
  <c r="F18" i="61"/>
  <c r="E18" i="61"/>
  <c r="D18" i="61"/>
  <c r="C18" i="61"/>
  <c r="F17" i="61"/>
  <c r="E17" i="61"/>
  <c r="D17" i="61"/>
  <c r="C17" i="61"/>
  <c r="F16" i="61"/>
  <c r="E16" i="61"/>
  <c r="D16" i="61"/>
  <c r="C16" i="61"/>
  <c r="F15" i="61"/>
  <c r="E15" i="61"/>
  <c r="D15" i="61"/>
  <c r="C15" i="61"/>
  <c r="F14" i="61"/>
  <c r="E14" i="61"/>
  <c r="D14" i="61"/>
  <c r="C14" i="61"/>
  <c r="F13" i="61"/>
  <c r="F33" i="61" s="1"/>
  <c r="E13" i="61"/>
  <c r="E33" i="61" s="1"/>
  <c r="D13" i="61"/>
  <c r="D33" i="61" s="1"/>
  <c r="C13" i="61"/>
  <c r="F10" i="61"/>
  <c r="F32" i="61" s="1"/>
  <c r="E10" i="61"/>
  <c r="E32" i="61" s="1"/>
  <c r="D10" i="61"/>
  <c r="D32" i="61" s="1"/>
  <c r="C10" i="61"/>
  <c r="C34" i="47"/>
  <c r="F34" i="47" s="1"/>
  <c r="F25" i="47"/>
  <c r="E25" i="47"/>
  <c r="D25" i="47"/>
  <c r="F22" i="47"/>
  <c r="F41" i="47" s="1"/>
  <c r="E22" i="47"/>
  <c r="E41" i="47" s="1"/>
  <c r="D22" i="47"/>
  <c r="D41" i="47" s="1"/>
  <c r="C22" i="47"/>
  <c r="C41" i="47" s="1"/>
  <c r="F21" i="47"/>
  <c r="F40" i="47" s="1"/>
  <c r="E21" i="47"/>
  <c r="E40" i="47" s="1"/>
  <c r="D21" i="47"/>
  <c r="D40" i="47" s="1"/>
  <c r="C21" i="47"/>
  <c r="C40" i="47" s="1"/>
  <c r="F18" i="47"/>
  <c r="F16" i="4" s="1"/>
  <c r="E18" i="47"/>
  <c r="D18" i="47"/>
  <c r="D16" i="4" s="1"/>
  <c r="C18" i="47"/>
  <c r="F17" i="47"/>
  <c r="E17" i="47"/>
  <c r="D17" i="47"/>
  <c r="D15" i="4" s="1"/>
  <c r="C17" i="47"/>
  <c r="F15" i="47"/>
  <c r="E15" i="47"/>
  <c r="D15" i="47"/>
  <c r="C15" i="47"/>
  <c r="F14" i="47"/>
  <c r="D14" i="47"/>
  <c r="C14" i="47"/>
  <c r="F13" i="47"/>
  <c r="F33" i="47" s="1"/>
  <c r="E13" i="47"/>
  <c r="E33" i="47" s="1"/>
  <c r="D33" i="47"/>
  <c r="C13" i="47"/>
  <c r="C33" i="47" s="1"/>
  <c r="F10" i="47"/>
  <c r="E10" i="47"/>
  <c r="E32" i="47" s="1"/>
  <c r="C32" i="47"/>
  <c r="E25" i="66"/>
  <c r="D21" i="66"/>
  <c r="F17" i="66"/>
  <c r="F16" i="66" s="1"/>
  <c r="F14" i="66"/>
  <c r="F13" i="66"/>
  <c r="F33" i="66" s="1"/>
  <c r="F10" i="66"/>
  <c r="F32" i="66" s="1"/>
  <c r="E10" i="66"/>
  <c r="E32" i="66" s="1"/>
  <c r="D10" i="66"/>
  <c r="D32" i="66" s="1"/>
  <c r="F25" i="65"/>
  <c r="E21" i="65"/>
  <c r="E17" i="65"/>
  <c r="E16" i="65" s="1"/>
  <c r="E14" i="65"/>
  <c r="E13" i="65"/>
  <c r="E33" i="65" s="1"/>
  <c r="F10" i="65"/>
  <c r="F32" i="65" s="1"/>
  <c r="E10" i="65"/>
  <c r="E32" i="65" s="1"/>
  <c r="C10" i="65"/>
  <c r="C32" i="65" s="1"/>
  <c r="E25" i="64"/>
  <c r="F21" i="64"/>
  <c r="F14" i="64"/>
  <c r="F13" i="64"/>
  <c r="F33" i="64" s="1"/>
  <c r="F10" i="64"/>
  <c r="F32" i="64" s="1"/>
  <c r="E10" i="64"/>
  <c r="E32" i="64" s="1"/>
  <c r="D10" i="64"/>
  <c r="D32" i="64" s="1"/>
  <c r="F25" i="63"/>
  <c r="E21" i="63"/>
  <c r="F10" i="63"/>
  <c r="F32" i="63" s="1"/>
  <c r="E10" i="63"/>
  <c r="E32" i="63" s="1"/>
  <c r="E25" i="62"/>
  <c r="F21" i="62"/>
  <c r="F25" i="61"/>
  <c r="F21" i="61"/>
  <c r="C13" i="4" l="1"/>
  <c r="C32" i="61"/>
  <c r="C33" i="61"/>
  <c r="C11" i="4"/>
  <c r="C32" i="4" s="1"/>
  <c r="E39" i="64"/>
  <c r="E16" i="4"/>
  <c r="C10" i="66"/>
  <c r="C32" i="66" s="1"/>
  <c r="E13" i="66"/>
  <c r="E33" i="66" s="1"/>
  <c r="E14" i="66"/>
  <c r="E17" i="66"/>
  <c r="E16" i="66" s="1"/>
  <c r="D42" i="66"/>
  <c r="F42" i="66"/>
  <c r="D10" i="65"/>
  <c r="D32" i="65" s="1"/>
  <c r="F13" i="65"/>
  <c r="F33" i="65" s="1"/>
  <c r="F14" i="65"/>
  <c r="F17" i="65"/>
  <c r="F16" i="65" s="1"/>
  <c r="F17" i="64"/>
  <c r="F16" i="64" s="1"/>
  <c r="E17" i="64"/>
  <c r="E16" i="64" s="1"/>
  <c r="C10" i="64"/>
  <c r="C32" i="64" s="1"/>
  <c r="E13" i="64"/>
  <c r="E33" i="64" s="1"/>
  <c r="E14" i="64"/>
  <c r="D42" i="64"/>
  <c r="F42" i="64"/>
  <c r="E13" i="63"/>
  <c r="E33" i="63" s="1"/>
  <c r="F13" i="63"/>
  <c r="F33" i="63" s="1"/>
  <c r="E17" i="63"/>
  <c r="E16" i="63" s="1"/>
  <c r="F17" i="63"/>
  <c r="F16" i="63" s="1"/>
  <c r="C10" i="63"/>
  <c r="C32" i="63" s="1"/>
  <c r="D10" i="63"/>
  <c r="D32" i="63" s="1"/>
  <c r="E14" i="63"/>
  <c r="F14" i="63"/>
  <c r="E42" i="63"/>
  <c r="C42" i="63"/>
  <c r="D21" i="65"/>
  <c r="D40" i="65" s="1"/>
  <c r="D39" i="65" s="1"/>
  <c r="D21" i="64"/>
  <c r="D40" i="64" s="1"/>
  <c r="D39" i="64" s="1"/>
  <c r="C21" i="62"/>
  <c r="C40" i="62" s="1"/>
  <c r="C39" i="62" s="1"/>
  <c r="D32" i="47"/>
  <c r="F32" i="47"/>
  <c r="F10" i="4"/>
  <c r="D40" i="66"/>
  <c r="D39" i="66" s="1"/>
  <c r="D20" i="66"/>
  <c r="E21" i="66"/>
  <c r="F21" i="66"/>
  <c r="C21" i="66"/>
  <c r="E40" i="65"/>
  <c r="E39" i="65" s="1"/>
  <c r="E20" i="65"/>
  <c r="F21" i="65"/>
  <c r="C21" i="65"/>
  <c r="F40" i="64"/>
  <c r="F39" i="64" s="1"/>
  <c r="F20" i="64"/>
  <c r="C21" i="64"/>
  <c r="E40" i="63"/>
  <c r="E39" i="63" s="1"/>
  <c r="E20" i="63"/>
  <c r="F21" i="63"/>
  <c r="C21" i="63"/>
  <c r="D21" i="63"/>
  <c r="F40" i="62"/>
  <c r="F39" i="62" s="1"/>
  <c r="F20" i="62"/>
  <c r="E21" i="62"/>
  <c r="D20" i="62"/>
  <c r="F40" i="61"/>
  <c r="F39" i="61" s="1"/>
  <c r="F20" i="61"/>
  <c r="C21" i="61"/>
  <c r="D21" i="61"/>
  <c r="E21" i="61"/>
  <c r="C31" i="65"/>
  <c r="F31" i="65"/>
  <c r="F31" i="61"/>
  <c r="C31" i="61"/>
  <c r="F31" i="66"/>
  <c r="C31" i="66"/>
  <c r="C31" i="62"/>
  <c r="C31" i="63"/>
  <c r="F31" i="64"/>
  <c r="F31" i="62"/>
  <c r="F31" i="63"/>
  <c r="C31" i="64"/>
  <c r="E42" i="66"/>
  <c r="E23" i="66"/>
  <c r="D25" i="66"/>
  <c r="F25" i="66"/>
  <c r="C25" i="66"/>
  <c r="F42" i="65"/>
  <c r="F23" i="65"/>
  <c r="C25" i="65"/>
  <c r="E25" i="65"/>
  <c r="D25" i="65"/>
  <c r="E42" i="64"/>
  <c r="E23" i="64"/>
  <c r="D25" i="64"/>
  <c r="F25" i="64"/>
  <c r="F23" i="64" s="1"/>
  <c r="C25" i="64"/>
  <c r="F42" i="63"/>
  <c r="F23" i="63"/>
  <c r="C25" i="63"/>
  <c r="E25" i="63"/>
  <c r="D25" i="63"/>
  <c r="E42" i="62"/>
  <c r="E23" i="62"/>
  <c r="D25" i="62"/>
  <c r="F25" i="62"/>
  <c r="C25" i="62"/>
  <c r="F42" i="61"/>
  <c r="F23" i="61"/>
  <c r="E22" i="4"/>
  <c r="C25" i="61"/>
  <c r="E25" i="61"/>
  <c r="D25" i="61"/>
  <c r="E34" i="66"/>
  <c r="E31" i="66" s="1"/>
  <c r="D34" i="66"/>
  <c r="D31" i="66" s="1"/>
  <c r="E34" i="65"/>
  <c r="E31" i="65" s="1"/>
  <c r="D34" i="65"/>
  <c r="D31" i="65" s="1"/>
  <c r="E34" i="64"/>
  <c r="D34" i="64"/>
  <c r="D31" i="64" s="1"/>
  <c r="E34" i="63"/>
  <c r="D34" i="63"/>
  <c r="E34" i="62"/>
  <c r="E31" i="62" s="1"/>
  <c r="D34" i="62"/>
  <c r="D31" i="62" s="1"/>
  <c r="E34" i="61"/>
  <c r="E31" i="61" s="1"/>
  <c r="D34" i="61"/>
  <c r="D31" i="61" s="1"/>
  <c r="E34" i="47"/>
  <c r="D34" i="47"/>
  <c r="C23" i="4" l="1"/>
  <c r="C22" i="4"/>
  <c r="D22" i="4"/>
  <c r="F22" i="4"/>
  <c r="F23" i="66"/>
  <c r="C23" i="63"/>
  <c r="D23" i="66"/>
  <c r="D20" i="65"/>
  <c r="C10" i="4"/>
  <c r="E31" i="63"/>
  <c r="C20" i="62"/>
  <c r="E31" i="64"/>
  <c r="D23" i="64"/>
  <c r="E15" i="4"/>
  <c r="D31" i="63"/>
  <c r="E23" i="63"/>
  <c r="D10" i="4"/>
  <c r="F15" i="4"/>
  <c r="D20" i="64"/>
  <c r="E40" i="66"/>
  <c r="E39" i="66" s="1"/>
  <c r="E20" i="66"/>
  <c r="C40" i="66"/>
  <c r="C39" i="66" s="1"/>
  <c r="C20" i="66"/>
  <c r="F40" i="66"/>
  <c r="F39" i="66" s="1"/>
  <c r="F20" i="66"/>
  <c r="C40" i="65"/>
  <c r="C39" i="65" s="1"/>
  <c r="C20" i="65"/>
  <c r="F40" i="65"/>
  <c r="F39" i="65" s="1"/>
  <c r="F20" i="65"/>
  <c r="C40" i="64"/>
  <c r="C39" i="64" s="1"/>
  <c r="C20" i="64"/>
  <c r="D40" i="63"/>
  <c r="D39" i="63" s="1"/>
  <c r="D20" i="63"/>
  <c r="C40" i="63"/>
  <c r="C39" i="63" s="1"/>
  <c r="C20" i="63"/>
  <c r="F40" i="63"/>
  <c r="F39" i="63" s="1"/>
  <c r="F20" i="63"/>
  <c r="E40" i="62"/>
  <c r="E39" i="62" s="1"/>
  <c r="E20" i="62"/>
  <c r="E40" i="61"/>
  <c r="E39" i="61" s="1"/>
  <c r="E20" i="61"/>
  <c r="D40" i="61"/>
  <c r="D39" i="61" s="1"/>
  <c r="D20" i="61"/>
  <c r="C40" i="61"/>
  <c r="C39" i="61" s="1"/>
  <c r="C20" i="61"/>
  <c r="C42" i="66"/>
  <c r="C23" i="66"/>
  <c r="E42" i="65"/>
  <c r="E23" i="65"/>
  <c r="D42" i="65"/>
  <c r="D23" i="65"/>
  <c r="C42" i="65"/>
  <c r="C23" i="65"/>
  <c r="C42" i="64"/>
  <c r="C23" i="64"/>
  <c r="D42" i="63"/>
  <c r="D23" i="63"/>
  <c r="F42" i="62"/>
  <c r="F23" i="62"/>
  <c r="C42" i="62"/>
  <c r="C23" i="62"/>
  <c r="D42" i="62"/>
  <c r="D23" i="62"/>
  <c r="E42" i="61"/>
  <c r="E23" i="61"/>
  <c r="D42" i="61"/>
  <c r="D23" i="61"/>
  <c r="C42" i="61"/>
  <c r="C23" i="61"/>
  <c r="I43" i="4"/>
  <c r="J43" i="4" s="1"/>
  <c r="C9" i="4" l="1"/>
  <c r="C31" i="4"/>
  <c r="C30" i="4" s="1"/>
  <c r="C21" i="4"/>
  <c r="G12" i="66"/>
  <c r="G11" i="66"/>
  <c r="G12" i="65"/>
  <c r="G11" i="65"/>
  <c r="G12" i="64"/>
  <c r="G11" i="64"/>
  <c r="G12" i="63"/>
  <c r="G11" i="63"/>
  <c r="G12" i="62"/>
  <c r="G11" i="62"/>
  <c r="G12" i="61"/>
  <c r="G11" i="61"/>
  <c r="G11" i="47"/>
  <c r="G12" i="47"/>
  <c r="D16" i="47"/>
  <c r="G15" i="64"/>
  <c r="G13" i="64"/>
  <c r="G18" i="65"/>
  <c r="G14" i="65"/>
  <c r="G13" i="65"/>
  <c r="G18" i="64" l="1"/>
  <c r="G13" i="63"/>
  <c r="G14" i="63"/>
  <c r="G15" i="63"/>
  <c r="G17" i="62"/>
  <c r="G14" i="47"/>
  <c r="G15" i="65"/>
  <c r="G14" i="64"/>
  <c r="G18" i="63"/>
  <c r="G13" i="62"/>
  <c r="G14" i="62"/>
  <c r="G15" i="62"/>
  <c r="G18" i="62"/>
  <c r="G14" i="61"/>
  <c r="G15" i="61"/>
  <c r="F16" i="47"/>
  <c r="G13" i="47"/>
  <c r="G18" i="47"/>
  <c r="E16" i="47"/>
  <c r="C16" i="47"/>
  <c r="G17" i="47"/>
  <c r="G13" i="61"/>
  <c r="G18" i="61"/>
  <c r="G17" i="61"/>
  <c r="G16" i="62"/>
  <c r="G17" i="63"/>
  <c r="G17" i="64"/>
  <c r="G16" i="64" s="1"/>
  <c r="G17" i="65"/>
  <c r="G16" i="65" s="1"/>
  <c r="G18" i="66"/>
  <c r="G13" i="66"/>
  <c r="G14" i="66"/>
  <c r="G15" i="66"/>
  <c r="G17" i="66"/>
  <c r="G16" i="66" s="1"/>
  <c r="G16" i="63" l="1"/>
  <c r="G16" i="47"/>
  <c r="G16" i="61"/>
  <c r="F43" i="4"/>
  <c r="C88" i="4" l="1"/>
  <c r="G10" i="63"/>
  <c r="G9" i="63" s="1"/>
  <c r="G17" i="4"/>
  <c r="G10" i="62" l="1"/>
  <c r="G9" i="62" s="1"/>
  <c r="F88" i="4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38" i="66"/>
  <c r="G37" i="66"/>
  <c r="G36" i="66" s="1"/>
  <c r="G35" i="66"/>
  <c r="G28" i="66"/>
  <c r="G27" i="66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38" i="65"/>
  <c r="G37" i="65"/>
  <c r="G36" i="65" s="1"/>
  <c r="G35" i="65"/>
  <c r="G28" i="65"/>
  <c r="G27" i="65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38" i="64"/>
  <c r="G37" i="64"/>
  <c r="G35" i="64"/>
  <c r="G34" i="64"/>
  <c r="G28" i="64"/>
  <c r="G27" i="64"/>
  <c r="G26" i="64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38" i="63"/>
  <c r="G37" i="63"/>
  <c r="G35" i="63"/>
  <c r="G34" i="63"/>
  <c r="G28" i="63"/>
  <c r="G27" i="63"/>
  <c r="G58" i="62"/>
  <c r="G57" i="62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36" i="62"/>
  <c r="G35" i="62"/>
  <c r="G28" i="62"/>
  <c r="G27" i="62"/>
  <c r="G57" i="61"/>
  <c r="G56" i="61"/>
  <c r="G55" i="61"/>
  <c r="G54" i="61"/>
  <c r="G53" i="61"/>
  <c r="G52" i="61"/>
  <c r="G51" i="61"/>
  <c r="G50" i="61"/>
  <c r="G49" i="61"/>
  <c r="G48" i="61"/>
  <c r="G47" i="61"/>
  <c r="G46" i="61"/>
  <c r="G45" i="61"/>
  <c r="G44" i="61"/>
  <c r="G38" i="61"/>
  <c r="G37" i="61"/>
  <c r="G35" i="61"/>
  <c r="G34" i="61"/>
  <c r="G28" i="61"/>
  <c r="G27" i="61"/>
  <c r="G36" i="63" l="1"/>
  <c r="D9" i="61"/>
  <c r="D29" i="61" s="1"/>
  <c r="E9" i="61"/>
  <c r="E29" i="61" s="1"/>
  <c r="G58" i="61"/>
  <c r="G26" i="61"/>
  <c r="I58" i="61" s="1"/>
  <c r="J58" i="61" s="1"/>
  <c r="G26" i="62"/>
  <c r="G26" i="63"/>
  <c r="G58" i="63"/>
  <c r="D9" i="64"/>
  <c r="D29" i="64" s="1"/>
  <c r="E9" i="64"/>
  <c r="E29" i="64" s="1"/>
  <c r="G36" i="64"/>
  <c r="G58" i="64"/>
  <c r="G58" i="65"/>
  <c r="G26" i="65"/>
  <c r="G34" i="66"/>
  <c r="G58" i="66"/>
  <c r="G26" i="66"/>
  <c r="C63" i="65"/>
  <c r="C64" i="65" s="1"/>
  <c r="E63" i="65"/>
  <c r="D14" i="4"/>
  <c r="E14" i="4"/>
  <c r="E63" i="64"/>
  <c r="E64" i="64" s="1"/>
  <c r="E12" i="4"/>
  <c r="F12" i="4"/>
  <c r="D12" i="4"/>
  <c r="D11" i="4"/>
  <c r="E11" i="4"/>
  <c r="F11" i="4"/>
  <c r="D88" i="4"/>
  <c r="E88" i="4"/>
  <c r="G21" i="66"/>
  <c r="E9" i="63"/>
  <c r="E29" i="63" s="1"/>
  <c r="C9" i="63"/>
  <c r="C29" i="63" s="1"/>
  <c r="G25" i="61"/>
  <c r="G36" i="61"/>
  <c r="G25" i="62"/>
  <c r="E9" i="66"/>
  <c r="E29" i="66" s="1"/>
  <c r="G40" i="66"/>
  <c r="G43" i="66"/>
  <c r="G33" i="66"/>
  <c r="G24" i="66"/>
  <c r="D63" i="65"/>
  <c r="E9" i="65"/>
  <c r="E29" i="65" s="1"/>
  <c r="F63" i="65"/>
  <c r="F64" i="65" s="1"/>
  <c r="E64" i="65"/>
  <c r="G24" i="65"/>
  <c r="F63" i="64"/>
  <c r="F64" i="64" s="1"/>
  <c r="D63" i="64"/>
  <c r="D64" i="64" s="1"/>
  <c r="G41" i="64"/>
  <c r="G33" i="64"/>
  <c r="F9" i="64"/>
  <c r="F29" i="64" s="1"/>
  <c r="G32" i="63"/>
  <c r="G33" i="63"/>
  <c r="F9" i="63"/>
  <c r="F29" i="63" s="1"/>
  <c r="D9" i="62"/>
  <c r="D29" i="62" s="1"/>
  <c r="F9" i="62"/>
  <c r="F29" i="62" s="1"/>
  <c r="G24" i="62"/>
  <c r="E9" i="62"/>
  <c r="E29" i="62" s="1"/>
  <c r="F9" i="61"/>
  <c r="F29" i="61" s="1"/>
  <c r="G33" i="61"/>
  <c r="G23" i="62" l="1"/>
  <c r="G22" i="64"/>
  <c r="G10" i="65"/>
  <c r="G9" i="65" s="1"/>
  <c r="G10" i="64"/>
  <c r="G9" i="64" s="1"/>
  <c r="F59" i="63"/>
  <c r="C84" i="4"/>
  <c r="C85" i="4" s="1"/>
  <c r="G21" i="61"/>
  <c r="G10" i="61"/>
  <c r="G9" i="61" s="1"/>
  <c r="C9" i="61"/>
  <c r="C29" i="61" s="1"/>
  <c r="G32" i="64"/>
  <c r="G31" i="64" s="1"/>
  <c r="G24" i="64"/>
  <c r="G42" i="66"/>
  <c r="G10" i="66"/>
  <c r="G9" i="66" s="1"/>
  <c r="G24" i="61"/>
  <c r="G23" i="61" s="1"/>
  <c r="E59" i="66"/>
  <c r="G41" i="65"/>
  <c r="G22" i="65"/>
  <c r="G21" i="64"/>
  <c r="G20" i="64" s="1"/>
  <c r="G21" i="62"/>
  <c r="D59" i="62"/>
  <c r="G22" i="61"/>
  <c r="G41" i="61"/>
  <c r="G32" i="61"/>
  <c r="G31" i="61" s="1"/>
  <c r="E59" i="65"/>
  <c r="F14" i="4"/>
  <c r="C63" i="64"/>
  <c r="C64" i="64" s="1"/>
  <c r="D9" i="63"/>
  <c r="D29" i="63" s="1"/>
  <c r="G33" i="65"/>
  <c r="F9" i="65"/>
  <c r="C9" i="64"/>
  <c r="E59" i="64"/>
  <c r="D59" i="64"/>
  <c r="G25" i="64"/>
  <c r="E59" i="63"/>
  <c r="G32" i="62"/>
  <c r="G31" i="62" s="1"/>
  <c r="G22" i="62"/>
  <c r="F59" i="62"/>
  <c r="E59" i="62"/>
  <c r="C9" i="62"/>
  <c r="C29" i="62" s="1"/>
  <c r="G43" i="63"/>
  <c r="G24" i="63"/>
  <c r="G41" i="63"/>
  <c r="G22" i="63"/>
  <c r="G21" i="63"/>
  <c r="D59" i="63"/>
  <c r="G22" i="66"/>
  <c r="G20" i="66" s="1"/>
  <c r="F59" i="66"/>
  <c r="F9" i="66"/>
  <c r="F29" i="66" s="1"/>
  <c r="D59" i="66"/>
  <c r="D9" i="66"/>
  <c r="D29" i="66" s="1"/>
  <c r="G25" i="66"/>
  <c r="G23" i="66" s="1"/>
  <c r="C9" i="66"/>
  <c r="C29" i="66" s="1"/>
  <c r="C9" i="65"/>
  <c r="C29" i="65" s="1"/>
  <c r="G21" i="65"/>
  <c r="D59" i="65"/>
  <c r="D9" i="65"/>
  <c r="D29" i="65" s="1"/>
  <c r="E65" i="65"/>
  <c r="G25" i="65"/>
  <c r="G23" i="65" s="1"/>
  <c r="G43" i="65"/>
  <c r="G42" i="65"/>
  <c r="D64" i="65"/>
  <c r="D65" i="64"/>
  <c r="D66" i="64" s="1"/>
  <c r="D67" i="64" s="1"/>
  <c r="E65" i="64"/>
  <c r="E66" i="64" s="1"/>
  <c r="F65" i="64"/>
  <c r="F66" i="64" s="1"/>
  <c r="G40" i="63"/>
  <c r="G25" i="63"/>
  <c r="G31" i="63"/>
  <c r="G42" i="63"/>
  <c r="G40" i="62"/>
  <c r="G42" i="62"/>
  <c r="G43" i="62"/>
  <c r="F59" i="61"/>
  <c r="F65" i="65" l="1"/>
  <c r="F66" i="65" s="1"/>
  <c r="F29" i="65"/>
  <c r="C65" i="64"/>
  <c r="C29" i="64"/>
  <c r="G20" i="61"/>
  <c r="G23" i="64"/>
  <c r="F60" i="63"/>
  <c r="G34" i="65"/>
  <c r="E60" i="66"/>
  <c r="F59" i="64"/>
  <c r="F60" i="64" s="1"/>
  <c r="G23" i="63"/>
  <c r="G20" i="65"/>
  <c r="D60" i="63"/>
  <c r="G20" i="62"/>
  <c r="C59" i="61"/>
  <c r="C60" i="61" s="1"/>
  <c r="E60" i="62"/>
  <c r="F59" i="65"/>
  <c r="G29" i="64"/>
  <c r="C66" i="64"/>
  <c r="C67" i="64" s="1"/>
  <c r="G42" i="64"/>
  <c r="G43" i="64"/>
  <c r="E60" i="64"/>
  <c r="F60" i="62"/>
  <c r="F60" i="61"/>
  <c r="G40" i="64"/>
  <c r="G39" i="64" s="1"/>
  <c r="E60" i="65"/>
  <c r="E66" i="65"/>
  <c r="E67" i="65" s="1"/>
  <c r="G39" i="63"/>
  <c r="G59" i="63" s="1"/>
  <c r="D60" i="62"/>
  <c r="G41" i="62"/>
  <c r="G39" i="62" s="1"/>
  <c r="G59" i="62" s="1"/>
  <c r="C59" i="62"/>
  <c r="G20" i="63"/>
  <c r="C59" i="63"/>
  <c r="E60" i="63"/>
  <c r="F60" i="66"/>
  <c r="G32" i="66"/>
  <c r="G31" i="66" s="1"/>
  <c r="D60" i="66"/>
  <c r="G41" i="66"/>
  <c r="G39" i="66" s="1"/>
  <c r="F67" i="65"/>
  <c r="C65" i="65"/>
  <c r="C66" i="65" s="1"/>
  <c r="G32" i="65"/>
  <c r="G31" i="65" s="1"/>
  <c r="D65" i="65"/>
  <c r="D66" i="65" s="1"/>
  <c r="D67" i="65" s="1"/>
  <c r="D60" i="65"/>
  <c r="G40" i="65"/>
  <c r="G39" i="65" s="1"/>
  <c r="E67" i="64"/>
  <c r="F67" i="64"/>
  <c r="D60" i="64"/>
  <c r="G43" i="61"/>
  <c r="E59" i="61"/>
  <c r="G40" i="61"/>
  <c r="G39" i="61" s="1"/>
  <c r="G59" i="66" l="1"/>
  <c r="C59" i="66"/>
  <c r="C60" i="66" s="1"/>
  <c r="G59" i="64"/>
  <c r="G60" i="64" s="1"/>
  <c r="G61" i="64" s="1"/>
  <c r="G29" i="63"/>
  <c r="G60" i="63" s="1"/>
  <c r="F60" i="65"/>
  <c r="G29" i="61"/>
  <c r="C59" i="64"/>
  <c r="C60" i="64" s="1"/>
  <c r="C60" i="62"/>
  <c r="G29" i="62"/>
  <c r="G60" i="62" s="1"/>
  <c r="C60" i="63"/>
  <c r="G29" i="66"/>
  <c r="C59" i="65"/>
  <c r="C60" i="65" s="1"/>
  <c r="G29" i="65"/>
  <c r="G59" i="65"/>
  <c r="C67" i="65"/>
  <c r="D59" i="61"/>
  <c r="D60" i="61" s="1"/>
  <c r="G42" i="61"/>
  <c r="G59" i="61" s="1"/>
  <c r="E60" i="61"/>
  <c r="G60" i="66" l="1"/>
  <c r="G61" i="66" s="1"/>
  <c r="G60" i="61"/>
  <c r="G60" i="65"/>
  <c r="G61" i="65" s="1"/>
  <c r="D13" i="4" l="1"/>
  <c r="E13" i="4"/>
  <c r="F13" i="4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38" i="47"/>
  <c r="G37" i="47"/>
  <c r="F36" i="47"/>
  <c r="E36" i="47"/>
  <c r="D36" i="47"/>
  <c r="C36" i="47"/>
  <c r="G35" i="47"/>
  <c r="G34" i="47"/>
  <c r="G28" i="47"/>
  <c r="G27" i="47"/>
  <c r="F26" i="47"/>
  <c r="E26" i="47"/>
  <c r="D26" i="47"/>
  <c r="C26" i="47"/>
  <c r="G36" i="47" l="1"/>
  <c r="D31" i="47"/>
  <c r="F31" i="47"/>
  <c r="E42" i="47"/>
  <c r="D42" i="47"/>
  <c r="G25" i="47"/>
  <c r="F9" i="47"/>
  <c r="G58" i="47"/>
  <c r="E20" i="47"/>
  <c r="G15" i="47"/>
  <c r="G26" i="47"/>
  <c r="G33" i="47"/>
  <c r="G10" i="47" l="1"/>
  <c r="G9" i="47" s="1"/>
  <c r="E23" i="47"/>
  <c r="F42" i="47"/>
  <c r="D23" i="47"/>
  <c r="E39" i="47"/>
  <c r="G22" i="47"/>
  <c r="C9" i="47"/>
  <c r="E9" i="47"/>
  <c r="E10" i="4"/>
  <c r="E31" i="47"/>
  <c r="C31" i="47"/>
  <c r="C39" i="47"/>
  <c r="F23" i="47"/>
  <c r="D20" i="47"/>
  <c r="C20" i="47"/>
  <c r="D9" i="47"/>
  <c r="F20" i="47"/>
  <c r="C23" i="47"/>
  <c r="G24" i="47"/>
  <c r="G23" i="47" s="1"/>
  <c r="G21" i="47"/>
  <c r="C42" i="47"/>
  <c r="D39" i="47" l="1"/>
  <c r="D59" i="47" s="1"/>
  <c r="F29" i="47"/>
  <c r="G43" i="47"/>
  <c r="G42" i="47"/>
  <c r="G20" i="47"/>
  <c r="G41" i="47"/>
  <c r="E59" i="47"/>
  <c r="E29" i="47"/>
  <c r="G32" i="47"/>
  <c r="G31" i="47" s="1"/>
  <c r="C59" i="47"/>
  <c r="C29" i="47"/>
  <c r="D29" i="47"/>
  <c r="G40" i="47"/>
  <c r="F39" i="47"/>
  <c r="F59" i="47" s="1"/>
  <c r="G39" i="47" l="1"/>
  <c r="D60" i="47"/>
  <c r="F60" i="47"/>
  <c r="E60" i="47"/>
  <c r="C60" i="47"/>
  <c r="G59" i="47"/>
  <c r="G29" i="47"/>
  <c r="D78" i="4"/>
  <c r="C78" i="4"/>
  <c r="D59" i="4"/>
  <c r="E59" i="4"/>
  <c r="F59" i="4"/>
  <c r="C59" i="4"/>
  <c r="G60" i="47" l="1"/>
  <c r="G58" i="4"/>
  <c r="G59" i="4" l="1"/>
  <c r="G57" i="4"/>
  <c r="G52" i="4"/>
  <c r="G49" i="4"/>
  <c r="G47" i="4"/>
  <c r="G46" i="4"/>
  <c r="G45" i="4"/>
  <c r="F44" i="4"/>
  <c r="E44" i="4"/>
  <c r="D44" i="4"/>
  <c r="G43" i="4"/>
  <c r="G40" i="4"/>
  <c r="G37" i="4"/>
  <c r="G36" i="4"/>
  <c r="G34" i="4"/>
  <c r="F32" i="4"/>
  <c r="E32" i="4"/>
  <c r="D32" i="4"/>
  <c r="F31" i="4"/>
  <c r="E31" i="4"/>
  <c r="D31" i="4"/>
  <c r="G35" i="4" l="1"/>
  <c r="G39" i="4"/>
  <c r="F30" i="4"/>
  <c r="E30" i="4"/>
  <c r="D30" i="4"/>
  <c r="D39" i="4"/>
  <c r="F39" i="4"/>
  <c r="E39" i="4"/>
  <c r="G44" i="4"/>
  <c r="G32" i="4"/>
  <c r="G31" i="4"/>
  <c r="G30" i="4" l="1"/>
  <c r="G16" i="4" l="1"/>
  <c r="G15" i="4"/>
  <c r="G14" i="4" l="1"/>
  <c r="G26" i="4"/>
  <c r="G25" i="4" l="1"/>
  <c r="G24" i="4" s="1"/>
  <c r="G23" i="4"/>
  <c r="F21" i="4"/>
  <c r="D21" i="4"/>
  <c r="E21" i="4"/>
  <c r="D18" i="4"/>
  <c r="E18" i="4"/>
  <c r="F18" i="4"/>
  <c r="E84" i="4"/>
  <c r="D9" i="4"/>
  <c r="E9" i="4"/>
  <c r="E86" i="4" s="1"/>
  <c r="E87" i="4" s="1"/>
  <c r="F9" i="4"/>
  <c r="C86" i="4" l="1"/>
  <c r="C87" i="4" s="1"/>
  <c r="E85" i="4"/>
  <c r="E89" i="4" s="1"/>
  <c r="E50" i="4" s="1"/>
  <c r="E41" i="4" s="1"/>
  <c r="E62" i="4" s="1"/>
  <c r="F86" i="4"/>
  <c r="F87" i="4" s="1"/>
  <c r="D86" i="4"/>
  <c r="D87" i="4" s="1"/>
  <c r="F84" i="4"/>
  <c r="D84" i="4"/>
  <c r="E28" i="4"/>
  <c r="C28" i="4"/>
  <c r="F28" i="4"/>
  <c r="D28" i="4"/>
  <c r="G22" i="4"/>
  <c r="G21" i="4" s="1"/>
  <c r="G19" i="4"/>
  <c r="G20" i="4"/>
  <c r="G11" i="4"/>
  <c r="G12" i="4"/>
  <c r="G13" i="4"/>
  <c r="G10" i="4"/>
  <c r="C89" i="4" l="1"/>
  <c r="C50" i="4" s="1"/>
  <c r="D85" i="4"/>
  <c r="D89" i="4" s="1"/>
  <c r="D50" i="4" s="1"/>
  <c r="F85" i="4"/>
  <c r="F89" i="4" s="1"/>
  <c r="F50" i="4" s="1"/>
  <c r="F41" i="4" s="1"/>
  <c r="F62" i="4" s="1"/>
  <c r="F63" i="4" s="1"/>
  <c r="E63" i="4"/>
  <c r="G9" i="4"/>
  <c r="G18" i="4"/>
  <c r="G28" i="4"/>
  <c r="G42" i="4"/>
  <c r="C41" i="4"/>
  <c r="C62" i="4" l="1"/>
  <c r="C63" i="4" s="1"/>
  <c r="G50" i="4"/>
  <c r="D41" i="4"/>
  <c r="D62" i="4" s="1"/>
  <c r="D63" i="4" s="1"/>
  <c r="G41" i="4" l="1"/>
  <c r="G62" i="4" l="1"/>
  <c r="G63" i="4" s="1"/>
  <c r="G64" i="4" s="1"/>
</calcChain>
</file>

<file path=xl/sharedStrings.xml><?xml version="1.0" encoding="utf-8"?>
<sst xmlns="http://schemas.openxmlformats.org/spreadsheetml/2006/main" count="1444" uniqueCount="268">
  <si>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</si>
  <si>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</si>
  <si>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</si>
  <si>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</si>
  <si>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</si>
  <si>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</si>
  <si>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</si>
  <si>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</si>
  <si>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План</t>
  </si>
  <si>
    <t>4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</si>
  <si>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</si>
  <si>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</si>
  <si>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</si>
  <si>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Текущий ремонт</t>
  </si>
  <si>
    <t>Возмещение расходов на электроэнергию, потребляемую на работу лифта</t>
  </si>
  <si>
    <t>Основные жилищно-коммунальные услуги:</t>
  </si>
  <si>
    <t>Возмещаемые жилищно-коммунальные услуги:</t>
  </si>
  <si>
    <t>Дополнительные жилищно-коммунальные услуги:</t>
  </si>
  <si>
    <t>Техническое обслуживание системы видеонаблюдения</t>
  </si>
  <si>
    <t>Проценты по вкладам вступительного взноса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</si>
  <si>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</si>
  <si>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Ставка обслуживающей организации</t>
  </si>
  <si>
    <t>Членский взнос:</t>
  </si>
  <si>
    <t xml:space="preserve">Фонд оплаты труда </t>
  </si>
  <si>
    <t>Комиссия банка за ведение расчетного счета</t>
  </si>
  <si>
    <t>Расходы по регистрации и использованию радиочастотного устройства</t>
  </si>
  <si>
    <t>Услуга по обеспечению эксплуатационной готовности радиочастотного спектра устройств</t>
  </si>
  <si>
    <t>Налог при УСН</t>
  </si>
  <si>
    <t>3</t>
  </si>
  <si>
    <t>Аренда помещения</t>
  </si>
  <si>
    <t>Возмещение коммунальных услуг арендуемого помещения</t>
  </si>
  <si>
    <t>Отчисления из заработной платы (ФСЗН и Белгосстрах)</t>
  </si>
  <si>
    <t xml:space="preserve">Комиссия банка по расчетам за членский взнос и дополнительные услуги </t>
  </si>
  <si>
    <t>Прочие расходы:</t>
  </si>
  <si>
    <t>РАСХОДЫ</t>
  </si>
  <si>
    <t>Услуга по обеспечению начислений за ЖКУ с исп. системы "Комплат"</t>
  </si>
  <si>
    <t>Вознаграждение расчетных агентов</t>
  </si>
  <si>
    <t>ВСЕГО РАСХОДОВ</t>
  </si>
  <si>
    <t>Услуги обслуживающей организации</t>
  </si>
  <si>
    <t>Техническое обслуживание подъемников</t>
  </si>
  <si>
    <t>Техническое обслуживание запорно-переговорных устройств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</si>
  <si>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</si>
  <si>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Услуга по обеспечению начислений за ЖКУ с исп. системы "Комплат" (обслуживание лицевого счета)</t>
  </si>
  <si>
    <t>Земельный налог</t>
  </si>
  <si>
    <t>Материалы для технического обслуживания и эксплуатации зданий, дворовой территории и элементов благоустройства</t>
  </si>
  <si>
    <t>Прочие услуги и работы по ремонту, обслуживанию и эксплуатации общедомового оборудования, дворовой территории и элементов благоустройства</t>
  </si>
  <si>
    <t>Членский взнос</t>
  </si>
  <si>
    <t>Справочная информация</t>
  </si>
  <si>
    <t>Согласно дефектного акта и сметы на каждый подъезд</t>
  </si>
  <si>
    <t>Возмещение экономически обоснованных затрат</t>
  </si>
  <si>
    <t>*Разрешить обоснованное отклонение по статьям доходов и расходов в пределах 20%</t>
  </si>
  <si>
    <t>Водоснабжение МОП, в том числе сезонный полив</t>
  </si>
  <si>
    <t>Техническое обслуживание по ЭОЗ</t>
  </si>
  <si>
    <t>Тариф</t>
  </si>
  <si>
    <t>Площадь по тарифу, м.кв</t>
  </si>
  <si>
    <t>Количество зарегистрированных</t>
  </si>
  <si>
    <t>Количество Квартир</t>
  </si>
  <si>
    <t>Кол-во кв</t>
  </si>
  <si>
    <t>Сумма</t>
  </si>
  <si>
    <t>Кол-во м.кв</t>
  </si>
  <si>
    <t>с учетом роста курса</t>
  </si>
  <si>
    <t>5% от суммы веломеста и аренда</t>
  </si>
  <si>
    <t>Техническое обслуживание лифта с учетом технического освидетельствования с электрофизическими измерениями и стоимостью расходного материала</t>
  </si>
  <si>
    <t>Водоснабжение МОП</t>
  </si>
  <si>
    <t>Возмещение расходов на электроэнергию, потребляемую уличное освещение</t>
  </si>
  <si>
    <t>Водоснабжение (сезонный полив)</t>
  </si>
  <si>
    <t xml:space="preserve">СМЕТА (ПЛАНИРУЕМАЯ) ДОХОДОВ И РАСХОДОВ ТОВАРИЩЕСТВА СОБСТВЕННИКОВ "КВАРТАЛ ПИРС-2" </t>
  </si>
  <si>
    <t>1/1</t>
  </si>
  <si>
    <t>1/2</t>
  </si>
  <si>
    <t>Предельно допустимый тариф (цена), размер возмещения расходов, рублей с 1 января с 1 июня с 1 сентября</t>
  </si>
  <si>
    <t xml:space="preserve">С ЯНВАРЯ </t>
  </si>
  <si>
    <t>С ИЮНЯ</t>
  </si>
  <si>
    <t>С СЕНТЯБРЯ</t>
  </si>
  <si>
    <t xml:space="preserve">Сумма </t>
  </si>
  <si>
    <t>норма/объем</t>
  </si>
  <si>
    <t>Тариф субсидируемый</t>
  </si>
  <si>
    <t>Тариф ЭОЗ</t>
  </si>
  <si>
    <t xml:space="preserve"> Техническое обслуживание</t>
  </si>
  <si>
    <t>чел</t>
  </si>
  <si>
    <t xml:space="preserve"> Техническое обслуживание </t>
  </si>
  <si>
    <t xml:space="preserve"> Санитарное содержание вспомогательных помещений жилого дома</t>
  </si>
  <si>
    <t xml:space="preserve"> Обращение с твердыми коммунальными отходами</t>
  </si>
  <si>
    <t>Э/Э МОП</t>
  </si>
  <si>
    <t>усл</t>
  </si>
  <si>
    <t>Э/Э ЛИФТ</t>
  </si>
  <si>
    <t xml:space="preserve">Техническое обслуживание запорнопереговорных устройств жилого дома </t>
  </si>
  <si>
    <t>Видео</t>
  </si>
  <si>
    <t>Членский взнос, ставка обслуживающей организации</t>
  </si>
  <si>
    <t>Членский взнос, возмещение экономически обоснованных затрат</t>
  </si>
  <si>
    <t>1/3</t>
  </si>
  <si>
    <t>Интернет, Wi-Fi</t>
  </si>
  <si>
    <t>Контроль состояния пожарной автоматики</t>
  </si>
  <si>
    <t>Прочие расходы ТС</t>
  </si>
  <si>
    <t>исходя из фактического потребления эл/эн *на действующий тариф</t>
  </si>
  <si>
    <t xml:space="preserve">тариф на 01.02.2021 </t>
  </si>
  <si>
    <t>в месяц</t>
  </si>
  <si>
    <t>на  01.02.2021</t>
  </si>
  <si>
    <t xml:space="preserve">1. МОП – 16 000 кВт с апреля по сентябрь; 13 500 квт с октября по март; Итого в год 177 000 кВт </t>
  </si>
  <si>
    <t>МОП – по 18 м3 х 12мес = 216 м3</t>
  </si>
  <si>
    <t>Техническое обслуживание запорно-переговорных устройств, техническое обслуживание системы видеонаблюдения (БайТехСерис ООО)</t>
  </si>
  <si>
    <t>Количество помещений - 534</t>
  </si>
  <si>
    <t>Общая площадь - 34437</t>
  </si>
  <si>
    <t>Финансовый результат 2020 года</t>
  </si>
  <si>
    <t>Финансовый результат 2021 года</t>
  </si>
  <si>
    <t>Материалы за счет вступительного взноса</t>
  </si>
  <si>
    <t>Количество машиномест</t>
  </si>
  <si>
    <t>Финансовый результат 2022 года</t>
  </si>
  <si>
    <t>на 2022 год</t>
  </si>
  <si>
    <t>квартиры</t>
  </si>
  <si>
    <t>Площадь машиномест</t>
  </si>
  <si>
    <t>Количество жилых помещений</t>
  </si>
  <si>
    <t xml:space="preserve"> I квартал 2022.</t>
  </si>
  <si>
    <t xml:space="preserve"> II квартал 2022.</t>
  </si>
  <si>
    <t xml:space="preserve"> III квартал 2022.</t>
  </si>
  <si>
    <t xml:space="preserve"> IV квартал 2022.</t>
  </si>
  <si>
    <t xml:space="preserve"> За 2022.</t>
  </si>
  <si>
    <t>Согласно декларации по земельному налогу за 2022 год</t>
  </si>
  <si>
    <t>0,28 руб</t>
  </si>
  <si>
    <t>5 евро по курсу нацбанка на первое число</t>
  </si>
  <si>
    <t>Общая площадь жилых помещений фактическая</t>
  </si>
  <si>
    <t>Общая площадь жилых помещений по свидетельству</t>
  </si>
  <si>
    <t>Общая площадь машиномест</t>
  </si>
  <si>
    <t>м.кв.</t>
  </si>
  <si>
    <t xml:space="preserve">Предельно допустимый тариф (цена), размер возмещения расходов, рублей с 1 января с 1 июня </t>
  </si>
  <si>
    <t>Полив – 2250 м3, май – 100 м3; июнь – 700 м3; июль – 700м3; август – 700 м3; сентябрь – 50 м3 (тариф 2021 2,093 руб.)</t>
  </si>
  <si>
    <t>тариф 2021 года 3,79( +15% повышение) 0,5685 руб.</t>
  </si>
  <si>
    <t>15% (0,314 руб.)</t>
  </si>
  <si>
    <t>Данные у поставщика от   29 декабря   2021 г.  №б/н на № ________от _____2021 г.  ,- стоимость технического обслуживания –  29040,00 рублей;  стоимость запчастей – 10880,00 рублей.</t>
  </si>
  <si>
    <t>Фактическая площадь жилых помещений на 31.12.2021</t>
  </si>
  <si>
    <t>сумма рассчитана согласна площади в свидетельстве</t>
  </si>
  <si>
    <t>сумма рассчитана исходя из фактической площади на 31.12.2021 ( изменение площади связано с перепланировкой)</t>
  </si>
  <si>
    <t>Наименование работ</t>
  </si>
  <si>
    <t>Перечень материалов</t>
  </si>
  <si>
    <t>Кол-во материалов, кг, шт</t>
  </si>
  <si>
    <t>Стоимость материалов, руб</t>
  </si>
  <si>
    <t>Время работы, час</t>
  </si>
  <si>
    <t>Стоимость работ</t>
  </si>
  <si>
    <t>Итого</t>
  </si>
  <si>
    <t>Морской Риф д 1-5</t>
  </si>
  <si>
    <t>окраска водоприемников, труб канализации, регистра, станины итп, торца крыльца</t>
  </si>
  <si>
    <t>Краска маслянная серая 2 кг</t>
  </si>
  <si>
    <t>окраска отливов парапета кровли</t>
  </si>
  <si>
    <t>Краска маслянная белая 2 кг</t>
  </si>
  <si>
    <t>Окраска лестницы выход на кровлю</t>
  </si>
  <si>
    <t>Краска маслянная голубая 2 кг</t>
  </si>
  <si>
    <t>окраска стен подъезда</t>
  </si>
  <si>
    <t>Краска RAL 7043 Антроцит, Капарол 10 л</t>
  </si>
  <si>
    <t>Краска RAL 9003 Амфиболин, Капарол 10 л</t>
  </si>
  <si>
    <t>подкраска перил лестничных маршей</t>
  </si>
  <si>
    <t>краска аэрозольная баллон</t>
  </si>
  <si>
    <t>окраска стен</t>
  </si>
  <si>
    <t>краска фактурная ЗДПС белый 10 л</t>
  </si>
  <si>
    <t>окраска стен фасада</t>
  </si>
  <si>
    <t>Краска Фасадная, Капарол 10 л</t>
  </si>
  <si>
    <t>шпатлевание сколов стен и мех повреждений</t>
  </si>
  <si>
    <t>Шпатлевка 20 кг</t>
  </si>
  <si>
    <t>фуговка швов напольной плитки</t>
  </si>
  <si>
    <t>Фуга 2 кг</t>
  </si>
  <si>
    <t>Отмывка кистей, подготовка оснований под окраску</t>
  </si>
  <si>
    <t>Расстворитель 5 литр</t>
  </si>
  <si>
    <t>герметизация поддона лапомойки</t>
  </si>
  <si>
    <t>Герметик белый 1 шт</t>
  </si>
  <si>
    <t>переупаковка полотенцесушителя лапомойки</t>
  </si>
  <si>
    <t>Рем. комплект сантех. прокладок 1 компл.</t>
  </si>
  <si>
    <t>подготовка углов, стен МОП под окраску</t>
  </si>
  <si>
    <t>Наждачная бумага 1 шт</t>
  </si>
  <si>
    <t>для точечной окраски</t>
  </si>
  <si>
    <t>Кисти маленькие 1 уп.</t>
  </si>
  <si>
    <t>для производства работ</t>
  </si>
  <si>
    <t>Кисти большие 1 шт</t>
  </si>
  <si>
    <t>Валики 1 шт</t>
  </si>
  <si>
    <t>грунтовка стен, подгатовка под окраску</t>
  </si>
  <si>
    <t>Грунтовка 5 л.</t>
  </si>
  <si>
    <t>Малярная лента 1 шт</t>
  </si>
  <si>
    <t>Малярнные ванночки 1 шт</t>
  </si>
  <si>
    <t>Шлифовка и пропитка уличных деревянных МАФов, беседок, лавочек, площадок ТБО</t>
  </si>
  <si>
    <t>Состав деревозащитный "Профитекс" барбарис 10 л</t>
  </si>
  <si>
    <t>Окраска люков Ливневой и фикальной канализации</t>
  </si>
  <si>
    <t>Краска эмаль светло серая  2 кг</t>
  </si>
  <si>
    <t>Краска эмаль черная  2 кг</t>
  </si>
  <si>
    <t xml:space="preserve">кисти флейцевые </t>
  </si>
  <si>
    <t>Окраска решеток для обуви</t>
  </si>
  <si>
    <t>Краска RAL 7043 2,5 л</t>
  </si>
  <si>
    <t>для производства работ моп</t>
  </si>
  <si>
    <t>Пленка 1 шт</t>
  </si>
  <si>
    <t>Перечень предполагаемого оборудования и материалов на 2022 ПИРС - 2</t>
  </si>
  <si>
    <t>% выхода из строя</t>
  </si>
  <si>
    <t>Насос ГВС шт</t>
  </si>
  <si>
    <t>поверка манометров</t>
  </si>
  <si>
    <t xml:space="preserve"> ХимПромывка теплообменников</t>
  </si>
  <si>
    <t>поверка счетчиков  электричества, тепла</t>
  </si>
  <si>
    <t>ЭФИ</t>
  </si>
  <si>
    <t>Поверка биметаллических термометров</t>
  </si>
  <si>
    <t xml:space="preserve">Насос СО </t>
  </si>
  <si>
    <t xml:space="preserve">Теплообменник ГВС и СО </t>
  </si>
  <si>
    <t xml:space="preserve">Фильтр ГВС и СО </t>
  </si>
  <si>
    <t xml:space="preserve">Вибровставка ГВС и СО </t>
  </si>
  <si>
    <t xml:space="preserve">Обратный клапан ГВС </t>
  </si>
  <si>
    <t xml:space="preserve">Автоматический выключатель 125 А </t>
  </si>
  <si>
    <t xml:space="preserve">Автоматический выключатель 63 А </t>
  </si>
  <si>
    <t xml:space="preserve">Автоматический выключатель 32 А </t>
  </si>
  <si>
    <t xml:space="preserve">Автоматический выключатель 16 А </t>
  </si>
  <si>
    <t>Замок электромагнитный/защелка электромагнитная</t>
  </si>
  <si>
    <t>Доводчик входной двери</t>
  </si>
  <si>
    <t xml:space="preserve">Ручка ухват (дворовая калитка) </t>
  </si>
  <si>
    <t xml:space="preserve">Доводчик (дворовая калитка) </t>
  </si>
  <si>
    <t xml:space="preserve">Замок врезной (тамбурные двери, тех. Помещения) </t>
  </si>
  <si>
    <t xml:space="preserve">Ручка дверная (тамбурные двери, тех помещения) </t>
  </si>
  <si>
    <t xml:space="preserve">Преобразователь напряжения 220 -12В (освещение тамбуров, лестничных клеток. входной группы) </t>
  </si>
  <si>
    <t>Светодиодная лента (освещение тамбуров, лестничных клеток. В ходной группы)  5 м</t>
  </si>
  <si>
    <t xml:space="preserve">Датчик движения, включения (освещение тамбуров, лестничных клеток. входной группы) </t>
  </si>
  <si>
    <t xml:space="preserve">Дверной стопор (входные двери) </t>
  </si>
  <si>
    <t xml:space="preserve">Магнит на калитку 120 кг </t>
  </si>
  <si>
    <t>ИТОГО</t>
  </si>
  <si>
    <t>1,4%-1,6%  от суммы извещения</t>
  </si>
  <si>
    <t>Комиссия банка по расчетам за членский взнос и дополнительные услуги (1,4%-1,6%)</t>
  </si>
  <si>
    <t>ТАРИФ С УЧЕТОМ УВЕЛИЧЕНИЯ 15%</t>
  </si>
  <si>
    <t>ПЛОЩАДЬ ПИРС-1+ПИРС-2</t>
  </si>
  <si>
    <t>ПИРС-1</t>
  </si>
  <si>
    <t>ПИРС-2</t>
  </si>
  <si>
    <t>1 КВ</t>
  </si>
  <si>
    <t>2 КВ</t>
  </si>
  <si>
    <t>3 КВ</t>
  </si>
  <si>
    <t>4 КВ</t>
  </si>
  <si>
    <t>Членский взнос, ставка обслуживающей организации РАСХОД</t>
  </si>
  <si>
    <t>Данные у поставщика 18295,20</t>
  </si>
  <si>
    <t>Данные у поставщика , суммы без учета запасных материалов и оборудования. Данные по 2021 году</t>
  </si>
  <si>
    <t>исходя из фактического потребления эл/эн *на действующий тариф 0,2321</t>
  </si>
  <si>
    <t>моп</t>
  </si>
  <si>
    <t>январь</t>
  </si>
  <si>
    <t>февраль</t>
  </si>
  <si>
    <t xml:space="preserve">март </t>
  </si>
  <si>
    <t xml:space="preserve">апрель 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</si>
  <si>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</si>
  <si>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</si>
  <si>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</si>
  <si>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</si>
  <si>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</si>
  <si>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</si>
  <si>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</si>
  <si>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</si>
  <si>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МР 1</t>
  </si>
  <si>
    <t>МР 2</t>
  </si>
  <si>
    <t>МР 3</t>
  </si>
  <si>
    <t>МР 4</t>
  </si>
  <si>
    <t>МР 5</t>
  </si>
  <si>
    <t>МР 1/1</t>
  </si>
  <si>
    <t>МР 1/2</t>
  </si>
  <si>
    <t>лифт</t>
  </si>
  <si>
    <t>договор подряда(2180,08)</t>
  </si>
  <si>
    <t>Договор подряда ( лифт)</t>
  </si>
  <si>
    <t xml:space="preserve">согласно данных таблицы материалы, материалы и работы по каналу разделили на пирс 1 и пирс-2 </t>
  </si>
  <si>
    <t>Дополнительные расходы А100-комфорт - уборка снега механиз., альпинисты и тп</t>
  </si>
  <si>
    <t>на 2023 год</t>
  </si>
  <si>
    <t xml:space="preserve"> I квартал 2023.</t>
  </si>
  <si>
    <t>снег</t>
  </si>
  <si>
    <t>машинаместо</t>
  </si>
  <si>
    <t>Данные у поставщика , суммы без учета запасных материалов и оборудования. Данные по 2022 году 36288 на два пирса, информация от Максима</t>
  </si>
  <si>
    <t>125,34*3+27 белтелеком а1</t>
  </si>
  <si>
    <t>Пирс 2</t>
  </si>
  <si>
    <t>лампа Е27 50шт 135 руб</t>
  </si>
  <si>
    <t>КВт</t>
  </si>
  <si>
    <t>согласно таблице и данных инженера</t>
  </si>
  <si>
    <t>согласно акта за январь 2022</t>
  </si>
  <si>
    <t>договор подряда</t>
  </si>
  <si>
    <t xml:space="preserve">снег,+ оплата гурский договор 185, </t>
  </si>
  <si>
    <t>Уборка снега механиз</t>
  </si>
  <si>
    <t>Уборка снега механиз.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</si>
</sst>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3" applyNumberFormat="0" applyAlignment="0" applyProtection="0"/>
    <xf numFmtId="0" fontId="17" fillId="7" borderId="14" applyNumberFormat="0" applyAlignment="0" applyProtection="0"/>
    <xf numFmtId="0" fontId="18" fillId="7" borderId="13" applyNumberFormat="0" applyAlignment="0" applyProtection="0"/>
    <xf numFmtId="0" fontId="19" fillId="0" borderId="15" applyNumberFormat="0" applyFill="0" applyAlignment="0" applyProtection="0"/>
    <xf numFmtId="0" fontId="20" fillId="8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7" applyNumberFormat="0" applyFont="0" applyAlignment="0" applyProtection="0"/>
    <xf numFmtId="0" fontId="25" fillId="0" borderId="0"/>
    <xf numFmtId="0" fontId="26" fillId="0" borderId="0"/>
    <xf numFmtId="0" fontId="27" fillId="0" borderId="0"/>
  </cellStyleXfs>
  <cellXfs count="327">
    <xf numFmtId="0" fontId="0" fillId="0" borderId="0" xfId="0"/>
    <xf numFmtId="0" fontId="5" fillId="0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4" fontId="5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4" fontId="6" fillId="2" borderId="0" xfId="1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left" vertical="center"/>
    </xf>
    <xf numFmtId="4" fontId="6" fillId="2" borderId="3" xfId="1" applyNumberFormat="1" applyFont="1" applyFill="1" applyBorder="1" applyAlignment="1">
      <alignment horizontal="right" vertical="center"/>
    </xf>
    <xf numFmtId="4" fontId="5" fillId="2" borderId="20" xfId="1" applyNumberFormat="1" applyFont="1" applyFill="1" applyBorder="1" applyAlignment="1">
      <alignment horizontal="right" vertical="center"/>
    </xf>
    <xf numFmtId="0" fontId="5" fillId="2" borderId="20" xfId="1" applyFont="1" applyFill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right"/>
    </xf>
    <xf numFmtId="4" fontId="5" fillId="2" borderId="20" xfId="1" applyNumberFormat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23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1" fontId="6" fillId="2" borderId="24" xfId="1" applyNumberFormat="1" applyFont="1" applyFill="1" applyBorder="1" applyAlignment="1">
      <alignment horizontal="center" vertical="center" wrapText="1"/>
    </xf>
    <xf numFmtId="1" fontId="6" fillId="2" borderId="25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horizontal="right" vertical="center"/>
    </xf>
    <xf numFmtId="0" fontId="6" fillId="2" borderId="22" xfId="1" applyFont="1" applyFill="1" applyBorder="1" applyAlignment="1">
      <alignment horizontal="center" vertical="center" wrapText="1"/>
    </xf>
    <xf numFmtId="1" fontId="5" fillId="2" borderId="22" xfId="1" applyNumberFormat="1" applyFont="1" applyFill="1" applyBorder="1" applyAlignment="1">
      <alignment horizontal="center" vertical="center" wrapText="1"/>
    </xf>
    <xf numFmtId="0" fontId="5" fillId="2" borderId="24" xfId="1" applyFont="1" applyFill="1" applyBorder="1" applyAlignment="1">
      <alignment horizontal="left" vertical="center" wrapText="1"/>
    </xf>
    <xf numFmtId="4" fontId="5" fillId="2" borderId="24" xfId="1" applyNumberFormat="1" applyFont="1" applyFill="1" applyBorder="1" applyAlignment="1">
      <alignment horizontal="right" vertical="center"/>
    </xf>
    <xf numFmtId="0" fontId="5" fillId="2" borderId="2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5" fillId="2" borderId="22" xfId="1" applyFont="1" applyFill="1" applyBorder="1" applyAlignment="1">
      <alignment horizontal="center" vertical="center" wrapText="1"/>
    </xf>
    <xf numFmtId="4" fontId="6" fillId="2" borderId="6" xfId="1" applyNumberFormat="1" applyFont="1" applyFill="1" applyBorder="1" applyAlignment="1">
      <alignment horizontal="right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5" fillId="2" borderId="22" xfId="1" applyNumberFormat="1" applyFont="1" applyFill="1" applyBorder="1" applyAlignment="1">
      <alignment horizontal="center" vertical="center" wrapText="1"/>
    </xf>
    <xf numFmtId="49" fontId="5" fillId="2" borderId="23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" fontId="6" fillId="2" borderId="2" xfId="1" applyNumberFormat="1" applyFont="1" applyFill="1" applyBorder="1" applyAlignment="1">
      <alignment horizontal="right" vertical="center" wrapText="1"/>
    </xf>
    <xf numFmtId="0" fontId="6" fillId="2" borderId="6" xfId="1" applyFont="1" applyFill="1" applyBorder="1" applyAlignment="1">
      <alignment horizontal="left" vertical="center" wrapText="1"/>
    </xf>
    <xf numFmtId="4" fontId="6" fillId="2" borderId="8" xfId="1" applyNumberFormat="1" applyFont="1" applyFill="1" applyBorder="1" applyAlignment="1">
      <alignment horizontal="right" vertical="center"/>
    </xf>
    <xf numFmtId="4" fontId="8" fillId="2" borderId="4" xfId="1" applyNumberFormat="1" applyFont="1" applyFill="1" applyBorder="1" applyAlignment="1">
      <alignment horizontal="right" vertical="center"/>
    </xf>
    <xf numFmtId="4" fontId="8" fillId="2" borderId="27" xfId="1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/>
    </xf>
    <xf numFmtId="4" fontId="5" fillId="2" borderId="0" xfId="1" applyNumberFormat="1" applyFont="1" applyFill="1" applyBorder="1" applyAlignment="1">
      <alignment vertical="center"/>
    </xf>
    <xf numFmtId="4" fontId="5" fillId="2" borderId="20" xfId="1" applyNumberFormat="1" applyFont="1" applyFill="1" applyBorder="1" applyAlignment="1">
      <alignment vertical="center"/>
    </xf>
    <xf numFmtId="2" fontId="5" fillId="2" borderId="0" xfId="1" applyNumberFormat="1" applyFont="1" applyFill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4" fontId="5" fillId="2" borderId="0" xfId="1" applyNumberFormat="1" applyFont="1" applyFill="1" applyAlignment="1">
      <alignment vertical="center"/>
    </xf>
    <xf numFmtId="49" fontId="29" fillId="0" borderId="22" xfId="1" applyNumberFormat="1" applyFont="1" applyBorder="1" applyAlignment="1">
      <alignment horizontal="center" vertical="center" wrapText="1"/>
    </xf>
    <xf numFmtId="49" fontId="30" fillId="0" borderId="22" xfId="1" applyNumberFormat="1" applyFont="1" applyBorder="1" applyAlignment="1">
      <alignment horizontal="center" vertical="center" wrapText="1"/>
    </xf>
    <xf numFmtId="49" fontId="29" fillId="0" borderId="7" xfId="1" applyNumberFormat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5" fillId="0" borderId="20" xfId="1" applyFont="1" applyBorder="1" applyAlignment="1">
      <alignment vertical="center" wrapText="1"/>
    </xf>
    <xf numFmtId="4" fontId="8" fillId="2" borderId="29" xfId="1" applyNumberFormat="1" applyFont="1" applyFill="1" applyBorder="1" applyAlignment="1">
      <alignment horizontal="right" vertical="center"/>
    </xf>
    <xf numFmtId="4" fontId="8" fillId="2" borderId="30" xfId="1" applyNumberFormat="1" applyFont="1" applyFill="1" applyBorder="1" applyAlignment="1">
      <alignment horizontal="right" vertical="center"/>
    </xf>
    <xf numFmtId="4" fontId="6" fillId="2" borderId="29" xfId="1" applyNumberFormat="1" applyFont="1" applyFill="1" applyBorder="1" applyAlignment="1">
      <alignment horizontal="center" vertical="center" wrapText="1"/>
    </xf>
    <xf numFmtId="4" fontId="6" fillId="2" borderId="30" xfId="1" applyNumberFormat="1" applyFont="1" applyFill="1" applyBorder="1" applyAlignment="1">
      <alignment horizontal="center" vertical="center" wrapText="1"/>
    </xf>
    <xf numFmtId="0" fontId="30" fillId="0" borderId="23" xfId="1" applyFont="1" applyBorder="1" applyAlignment="1">
      <alignment vertical="center"/>
    </xf>
    <xf numFmtId="4" fontId="5" fillId="2" borderId="24" xfId="1" applyNumberFormat="1" applyFont="1" applyFill="1" applyBorder="1" applyAlignment="1">
      <alignment vertical="center"/>
    </xf>
    <xf numFmtId="0" fontId="30" fillId="0" borderId="22" xfId="1" applyFont="1" applyBorder="1" applyAlignment="1">
      <alignment vertical="center"/>
    </xf>
    <xf numFmtId="0" fontId="29" fillId="0" borderId="7" xfId="1" applyFont="1" applyBorder="1" applyAlignment="1">
      <alignment horizontal="left" vertical="center" wrapText="1"/>
    </xf>
    <xf numFmtId="0" fontId="30" fillId="0" borderId="22" xfId="1" applyFont="1" applyBorder="1" applyAlignment="1">
      <alignment vertical="center" wrapText="1"/>
    </xf>
    <xf numFmtId="0" fontId="30" fillId="0" borderId="22" xfId="1" applyFont="1" applyBorder="1" applyAlignment="1">
      <alignment horizontal="left" vertical="center" wrapText="1"/>
    </xf>
    <xf numFmtId="0" fontId="29" fillId="0" borderId="22" xfId="1" applyFont="1" applyBorder="1" applyAlignment="1">
      <alignment horizontal="left" vertical="center" wrapText="1"/>
    </xf>
    <xf numFmtId="0" fontId="29" fillId="0" borderId="23" xfId="1" applyFont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vertical="center"/>
    </xf>
    <xf numFmtId="9" fontId="5" fillId="2" borderId="0" xfId="1" applyNumberFormat="1" applyFont="1" applyFill="1" applyAlignment="1">
      <alignment vertical="center"/>
    </xf>
    <xf numFmtId="4" fontId="6" fillId="2" borderId="3" xfId="1" applyNumberFormat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0" fontId="30" fillId="0" borderId="0" xfId="1" applyFont="1" applyBorder="1" applyAlignment="1">
      <alignment vertical="center" wrapText="1"/>
    </xf>
    <xf numFmtId="0" fontId="29" fillId="0" borderId="0" xfId="1" applyFont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4" fontId="8" fillId="2" borderId="0" xfId="1" applyNumberFormat="1" applyFont="1" applyFill="1" applyBorder="1" applyAlignment="1">
      <alignment horizontal="right" vertical="center"/>
    </xf>
    <xf numFmtId="4" fontId="6" fillId="2" borderId="21" xfId="1" applyNumberFormat="1" applyFont="1" applyFill="1" applyBorder="1" applyAlignment="1">
      <alignment vertical="center"/>
    </xf>
    <xf numFmtId="4" fontId="6" fillId="0" borderId="20" xfId="1" applyNumberFormat="1" applyFont="1" applyFill="1" applyBorder="1" applyAlignment="1">
      <alignment vertical="center"/>
    </xf>
    <xf numFmtId="4" fontId="6" fillId="2" borderId="25" xfId="1" applyNumberFormat="1" applyFont="1" applyFill="1" applyBorder="1" applyAlignment="1">
      <alignment vertical="center"/>
    </xf>
    <xf numFmtId="4" fontId="6" fillId="2" borderId="21" xfId="1" applyNumberFormat="1" applyFont="1" applyFill="1" applyBorder="1" applyAlignment="1">
      <alignment horizontal="right" vertical="center" wrapText="1"/>
    </xf>
    <xf numFmtId="4" fontId="6" fillId="2" borderId="21" xfId="1" applyNumberFormat="1" applyFont="1" applyFill="1" applyBorder="1" applyAlignment="1">
      <alignment horizontal="right" vertical="center"/>
    </xf>
    <xf numFmtId="4" fontId="6" fillId="2" borderId="25" xfId="1" applyNumberFormat="1" applyFont="1" applyFill="1" applyBorder="1" applyAlignment="1">
      <alignment horizontal="right" vertical="center"/>
    </xf>
    <xf numFmtId="165" fontId="8" fillId="2" borderId="0" xfId="1" applyNumberFormat="1" applyFont="1" applyFill="1" applyBorder="1" applyAlignment="1">
      <alignment horizontal="right" vertical="center"/>
    </xf>
    <xf numFmtId="0" fontId="5" fillId="0" borderId="20" xfId="1" applyFont="1" applyFill="1" applyBorder="1" applyAlignment="1">
      <alignment horizontal="left" vertical="center" wrapText="1"/>
    </xf>
    <xf numFmtId="4" fontId="6" fillId="0" borderId="21" xfId="1" applyNumberFormat="1" applyFont="1" applyFill="1" applyBorder="1" applyAlignment="1">
      <alignment vertical="center"/>
    </xf>
    <xf numFmtId="0" fontId="5" fillId="0" borderId="0" xfId="1" applyFont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 wrapText="1"/>
    </xf>
    <xf numFmtId="3" fontId="5" fillId="2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4" fontId="6" fillId="2" borderId="0" xfId="1" applyNumberFormat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4" fontId="5" fillId="2" borderId="34" xfId="1" applyNumberFormat="1" applyFont="1" applyFill="1" applyBorder="1" applyAlignment="1">
      <alignment horizontal="center" vertical="center"/>
    </xf>
    <xf numFmtId="4" fontId="5" fillId="2" borderId="35" xfId="1" applyNumberFormat="1" applyFont="1" applyFill="1" applyBorder="1" applyAlignment="1">
      <alignment horizontal="center" vertical="center"/>
    </xf>
    <xf numFmtId="4" fontId="5" fillId="2" borderId="36" xfId="1" applyNumberFormat="1" applyFont="1" applyFill="1" applyBorder="1" applyAlignment="1">
      <alignment horizontal="center" vertical="center"/>
    </xf>
    <xf numFmtId="4" fontId="5" fillId="2" borderId="37" xfId="1" applyNumberFormat="1" applyFont="1" applyFill="1" applyBorder="1" applyAlignment="1">
      <alignment horizontal="center" vertical="center"/>
    </xf>
    <xf numFmtId="4" fontId="5" fillId="2" borderId="38" xfId="1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2" borderId="39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 vertical="center" wrapText="1"/>
    </xf>
    <xf numFmtId="4" fontId="5" fillId="2" borderId="5" xfId="1" applyNumberFormat="1" applyFont="1" applyFill="1" applyBorder="1" applyAlignment="1">
      <alignment horizontal="right" vertical="center"/>
    </xf>
    <xf numFmtId="4" fontId="6" fillId="2" borderId="41" xfId="1" applyNumberFormat="1" applyFont="1" applyFill="1" applyBorder="1" applyAlignment="1">
      <alignment horizontal="right" vertical="center"/>
    </xf>
    <xf numFmtId="4" fontId="5" fillId="2" borderId="6" xfId="1" applyNumberFormat="1" applyFont="1" applyFill="1" applyBorder="1" applyAlignment="1">
      <alignment horizontal="right" vertical="center" wrapText="1"/>
    </xf>
    <xf numFmtId="4" fontId="0" fillId="0" borderId="0" xfId="0" applyNumberFormat="1"/>
    <xf numFmtId="2" fontId="0" fillId="0" borderId="0" xfId="0" applyNumberFormat="1"/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vertical="center" wrapText="1"/>
    </xf>
    <xf numFmtId="164" fontId="5" fillId="2" borderId="20" xfId="1" applyNumberFormat="1" applyFont="1" applyFill="1" applyBorder="1"/>
    <xf numFmtId="4" fontId="0" fillId="0" borderId="20" xfId="0" applyNumberFormat="1" applyBorder="1"/>
    <xf numFmtId="4" fontId="5" fillId="2" borderId="0" xfId="1" applyNumberFormat="1" applyFont="1" applyFill="1" applyAlignment="1">
      <alignment horizontal="center" vertical="center"/>
    </xf>
    <xf numFmtId="3" fontId="5" fillId="2" borderId="0" xfId="1" applyNumberFormat="1" applyFont="1" applyFill="1" applyAlignment="1">
      <alignment horizontal="center" vertical="center"/>
    </xf>
    <xf numFmtId="0" fontId="5" fillId="2" borderId="19" xfId="1" applyFont="1" applyFill="1" applyBorder="1" applyAlignment="1">
      <alignment vertical="center" wrapText="1"/>
    </xf>
    <xf numFmtId="164" fontId="5" fillId="2" borderId="0" xfId="1" applyNumberFormat="1" applyFont="1" applyFill="1" applyAlignment="1">
      <alignment vertical="center" wrapText="1"/>
    </xf>
    <xf numFmtId="2" fontId="5" fillId="2" borderId="0" xfId="1" applyNumberFormat="1" applyFont="1" applyFill="1" applyAlignment="1">
      <alignment vertical="center" wrapText="1"/>
    </xf>
    <xf numFmtId="0" fontId="5" fillId="0" borderId="0" xfId="1" applyFont="1" applyAlignment="1">
      <alignment vertical="center"/>
    </xf>
    <xf numFmtId="4" fontId="5" fillId="0" borderId="6" xfId="1" applyNumberFormat="1" applyFont="1" applyBorder="1" applyAlignment="1">
      <alignment horizontal="right" vertical="center" wrapText="1"/>
    </xf>
    <xf numFmtId="0" fontId="5" fillId="0" borderId="24" xfId="1" applyFont="1" applyBorder="1" applyAlignment="1">
      <alignment vertical="center" wrapText="1"/>
    </xf>
    <xf numFmtId="4" fontId="6" fillId="2" borderId="6" xfId="1" applyNumberFormat="1" applyFont="1" applyFill="1" applyBorder="1" applyAlignment="1">
      <alignment vertical="center"/>
    </xf>
    <xf numFmtId="0" fontId="31" fillId="2" borderId="0" xfId="1" applyFont="1" applyFill="1" applyAlignment="1">
      <alignment vertical="center"/>
    </xf>
    <xf numFmtId="0" fontId="32" fillId="0" borderId="0" xfId="0" applyFont="1" applyAlignment="1">
      <alignment horizontal="left" vertical="center" inden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5" fillId="0" borderId="26" xfId="1" applyFont="1" applyBorder="1" applyAlignment="1">
      <alignment horizontal="left" vertical="center" wrapText="1"/>
    </xf>
    <xf numFmtId="4" fontId="8" fillId="2" borderId="49" xfId="1" applyNumberFormat="1" applyFont="1" applyFill="1" applyBorder="1" applyAlignment="1">
      <alignment horizontal="right" vertical="center"/>
    </xf>
    <xf numFmtId="4" fontId="8" fillId="2" borderId="40" xfId="1" applyNumberFormat="1" applyFont="1" applyFill="1" applyBorder="1" applyAlignment="1">
      <alignment horizontal="right" vertical="center"/>
    </xf>
    <xf numFmtId="4" fontId="6" fillId="2" borderId="43" xfId="1" applyNumberFormat="1" applyFont="1" applyFill="1" applyBorder="1" applyAlignment="1">
      <alignment vertical="center"/>
    </xf>
    <xf numFmtId="0" fontId="6" fillId="2" borderId="26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wrapText="1"/>
    </xf>
    <xf numFmtId="4" fontId="5" fillId="2" borderId="4" xfId="1" applyNumberFormat="1" applyFont="1" applyFill="1" applyBorder="1" applyAlignment="1">
      <alignment vertical="center"/>
    </xf>
    <xf numFmtId="4" fontId="5" fillId="2" borderId="0" xfId="1" applyNumberFormat="1" applyFont="1" applyFill="1" applyBorder="1" applyAlignment="1">
      <alignment horizontal="center" vertical="center"/>
    </xf>
    <xf numFmtId="4" fontId="5" fillId="2" borderId="46" xfId="1" applyNumberFormat="1" applyFont="1" applyFill="1" applyBorder="1" applyAlignment="1">
      <alignment horizontal="center" vertical="center"/>
    </xf>
    <xf numFmtId="4" fontId="5" fillId="2" borderId="47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35" xfId="1" applyFont="1" applyFill="1" applyBorder="1" applyAlignment="1">
      <alignment vertical="center"/>
    </xf>
    <xf numFmtId="0" fontId="5" fillId="2" borderId="36" xfId="1" applyFont="1" applyFill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37" xfId="1" applyFont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5" fillId="0" borderId="52" xfId="1" applyFont="1" applyBorder="1" applyAlignment="1">
      <alignment horizontal="left" vertical="center" wrapText="1"/>
    </xf>
    <xf numFmtId="4" fontId="5" fillId="2" borderId="52" xfId="1" applyNumberFormat="1" applyFont="1" applyFill="1" applyBorder="1" applyAlignment="1">
      <alignment horizontal="center" vertical="center"/>
    </xf>
    <xf numFmtId="4" fontId="5" fillId="34" borderId="20" xfId="1" applyNumberFormat="1" applyFont="1" applyFill="1" applyBorder="1" applyAlignment="1">
      <alignment vertical="center"/>
    </xf>
    <xf numFmtId="0" fontId="5" fillId="34" borderId="0" xfId="1" applyFont="1" applyFill="1" applyAlignment="1">
      <alignment vertical="center"/>
    </xf>
    <xf numFmtId="0" fontId="5" fillId="35" borderId="0" xfId="1" applyFont="1" applyFill="1" applyAlignment="1">
      <alignment vertical="center"/>
    </xf>
    <xf numFmtId="0" fontId="31" fillId="35" borderId="0" xfId="1" applyFont="1" applyFill="1" applyAlignment="1">
      <alignment vertical="center"/>
    </xf>
    <xf numFmtId="0" fontId="5" fillId="35" borderId="0" xfId="1" applyFont="1" applyFill="1" applyBorder="1" applyAlignment="1">
      <alignment horizontal="center" vertical="center"/>
    </xf>
    <xf numFmtId="2" fontId="5" fillId="35" borderId="0" xfId="1" applyNumberFormat="1" applyFont="1" applyFill="1" applyBorder="1" applyAlignment="1">
      <alignment horizontal="center" vertical="center"/>
    </xf>
    <xf numFmtId="4" fontId="5" fillId="35" borderId="0" xfId="1" applyNumberFormat="1" applyFont="1" applyFill="1" applyBorder="1" applyAlignment="1">
      <alignment horizontal="center" vertical="center"/>
    </xf>
    <xf numFmtId="164" fontId="33" fillId="2" borderId="20" xfId="1" applyNumberFormat="1" applyFont="1" applyFill="1" applyBorder="1"/>
    <xf numFmtId="164" fontId="33" fillId="0" borderId="20" xfId="0" applyNumberFormat="1" applyFont="1" applyBorder="1"/>
    <xf numFmtId="0" fontId="5" fillId="0" borderId="38" xfId="1" applyFont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horizontal="center" vertical="center"/>
    </xf>
    <xf numFmtId="4" fontId="6" fillId="2" borderId="3" xfId="1" applyNumberFormat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left" vertical="center" wrapText="1"/>
    </xf>
    <xf numFmtId="0" fontId="5" fillId="2" borderId="21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left" vertical="center" wrapText="1"/>
    </xf>
    <xf numFmtId="4" fontId="5" fillId="2" borderId="24" xfId="1" applyNumberFormat="1" applyFont="1" applyFill="1" applyBorder="1" applyAlignment="1">
      <alignment horizontal="center" vertical="center"/>
    </xf>
    <xf numFmtId="0" fontId="5" fillId="2" borderId="25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0" xfId="0" applyBorder="1"/>
    <xf numFmtId="0" fontId="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4" fontId="6" fillId="2" borderId="40" xfId="1" applyNumberFormat="1" applyFont="1" applyFill="1" applyBorder="1" applyAlignment="1">
      <alignment horizontal="right" vertical="center"/>
    </xf>
    <xf numFmtId="49" fontId="29" fillId="0" borderId="22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4" fontId="6" fillId="0" borderId="3" xfId="1" applyNumberFormat="1" applyFont="1" applyFill="1" applyBorder="1" applyAlignment="1">
      <alignment vertical="center"/>
    </xf>
    <xf numFmtId="4" fontId="6" fillId="0" borderId="2" xfId="1" applyNumberFormat="1" applyFont="1" applyFill="1" applyBorder="1" applyAlignment="1">
      <alignment vertical="center"/>
    </xf>
    <xf numFmtId="0" fontId="5" fillId="0" borderId="22" xfId="1" applyFont="1" applyFill="1" applyBorder="1" applyAlignment="1">
      <alignment horizontal="center" vertical="center" wrapText="1"/>
    </xf>
    <xf numFmtId="0" fontId="30" fillId="0" borderId="22" xfId="1" applyFont="1" applyFill="1" applyBorder="1" applyAlignment="1">
      <alignment horizontal="left" vertical="center" wrapText="1"/>
    </xf>
    <xf numFmtId="0" fontId="30" fillId="0" borderId="22" xfId="1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29" fillId="0" borderId="7" xfId="1" applyFont="1" applyFill="1" applyBorder="1" applyAlignment="1">
      <alignment horizontal="left" vertical="center" wrapText="1"/>
    </xf>
    <xf numFmtId="49" fontId="30" fillId="0" borderId="22" xfId="1" applyNumberFormat="1" applyFont="1" applyFill="1" applyBorder="1" applyAlignment="1">
      <alignment horizontal="center" vertical="center" wrapText="1"/>
    </xf>
    <xf numFmtId="49" fontId="5" fillId="0" borderId="22" xfId="1" applyNumberFormat="1" applyFont="1" applyFill="1" applyBorder="1" applyAlignment="1">
      <alignment horizontal="center" vertical="center" wrapText="1"/>
    </xf>
    <xf numFmtId="4" fontId="5" fillId="0" borderId="20" xfId="1" applyNumberFormat="1" applyFont="1" applyFill="1" applyBorder="1" applyAlignment="1">
      <alignment horizontal="right" vertical="center"/>
    </xf>
    <xf numFmtId="4" fontId="6" fillId="0" borderId="21" xfId="1" applyNumberFormat="1" applyFont="1" applyFill="1" applyBorder="1" applyAlignment="1">
      <alignment horizontal="right" vertical="center"/>
    </xf>
    <xf numFmtId="49" fontId="5" fillId="0" borderId="23" xfId="1" applyNumberFormat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lef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43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6" fillId="0" borderId="51" xfId="1" applyFont="1" applyFill="1" applyBorder="1" applyAlignment="1">
      <alignment horizontal="left" vertical="center" wrapText="1"/>
    </xf>
    <xf numFmtId="4" fontId="6" fillId="0" borderId="1" xfId="1" applyNumberFormat="1" applyFont="1" applyFill="1" applyBorder="1" applyAlignment="1">
      <alignment horizontal="right" vertical="center"/>
    </xf>
    <xf numFmtId="4" fontId="6" fillId="0" borderId="3" xfId="1" applyNumberFormat="1" applyFont="1" applyFill="1" applyBorder="1" applyAlignment="1">
      <alignment horizontal="right" vertical="center"/>
    </xf>
    <xf numFmtId="0" fontId="5" fillId="0" borderId="31" xfId="1" applyFont="1" applyFill="1" applyBorder="1" applyAlignment="1">
      <alignment horizontal="left" vertical="center" wrapText="1"/>
    </xf>
    <xf numFmtId="4" fontId="5" fillId="0" borderId="22" xfId="1" applyNumberFormat="1" applyFont="1" applyFill="1" applyBorder="1" applyAlignment="1">
      <alignment horizontal="right" vertical="center"/>
    </xf>
    <xf numFmtId="0" fontId="6" fillId="2" borderId="48" xfId="1" applyFont="1" applyFill="1" applyBorder="1" applyAlignment="1">
      <alignment horizontal="center" vertical="center" wrapText="1"/>
    </xf>
    <xf numFmtId="4" fontId="5" fillId="2" borderId="49" xfId="1" applyNumberFormat="1" applyFont="1" applyFill="1" applyBorder="1" applyAlignment="1">
      <alignment vertical="center"/>
    </xf>
    <xf numFmtId="49" fontId="5" fillId="34" borderId="22" xfId="1" applyNumberFormat="1" applyFont="1" applyFill="1" applyBorder="1" applyAlignment="1">
      <alignment horizontal="center" vertical="center" wrapText="1"/>
    </xf>
    <xf numFmtId="0" fontId="5" fillId="34" borderId="20" xfId="1" applyFont="1" applyFill="1" applyBorder="1" applyAlignment="1">
      <alignment horizontal="left" vertical="center" wrapText="1"/>
    </xf>
    <xf numFmtId="4" fontId="5" fillId="34" borderId="6" xfId="1" applyNumberFormat="1" applyFont="1" applyFill="1" applyBorder="1" applyAlignment="1">
      <alignment horizontal="right" vertical="center" wrapText="1"/>
    </xf>
    <xf numFmtId="49" fontId="29" fillId="34" borderId="22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 vertical="center" wrapText="1"/>
    </xf>
    <xf numFmtId="4" fontId="5" fillId="0" borderId="31" xfId="1" applyNumberFormat="1" applyFont="1" applyFill="1" applyBorder="1" applyAlignment="1">
      <alignment horizontal="center" vertical="center"/>
    </xf>
    <xf numFmtId="4" fontId="5" fillId="2" borderId="31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4" fontId="5" fillId="2" borderId="45" xfId="1" applyNumberFormat="1" applyFont="1" applyFill="1" applyBorder="1" applyAlignment="1">
      <alignment horizontal="center" vertical="center"/>
    </xf>
    <xf numFmtId="4" fontId="5" fillId="0" borderId="45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4" fontId="5" fillId="0" borderId="44" xfId="1" applyNumberFormat="1" applyFont="1" applyFill="1" applyBorder="1" applyAlignment="1">
      <alignment vertical="center"/>
    </xf>
    <xf numFmtId="4" fontId="5" fillId="0" borderId="6" xfId="1" applyNumberFormat="1" applyFont="1" applyFill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2" fontId="5" fillId="0" borderId="0" xfId="1" applyNumberFormat="1" applyFont="1" applyFill="1" applyAlignment="1">
      <alignment vertical="center"/>
    </xf>
    <xf numFmtId="0" fontId="5" fillId="2" borderId="50" xfId="1" applyFont="1" applyFill="1" applyBorder="1" applyAlignment="1">
      <alignment horizontal="center" vertical="center" wrapText="1"/>
    </xf>
    <xf numFmtId="0" fontId="5" fillId="0" borderId="44" xfId="1" applyFont="1" applyBorder="1" applyAlignment="1">
      <alignment vertical="center" wrapText="1"/>
    </xf>
    <xf numFmtId="4" fontId="5" fillId="0" borderId="5" xfId="1" applyNumberFormat="1" applyFont="1" applyBorder="1" applyAlignment="1">
      <alignment horizontal="right" vertical="center" wrapText="1"/>
    </xf>
    <xf numFmtId="49" fontId="29" fillId="0" borderId="23" xfId="1" applyNumberFormat="1" applyFont="1" applyFill="1" applyBorder="1" applyAlignment="1">
      <alignment horizontal="center" vertical="center" wrapText="1"/>
    </xf>
    <xf numFmtId="4" fontId="5" fillId="0" borderId="24" xfId="1" applyNumberFormat="1" applyFont="1" applyFill="1" applyBorder="1" applyAlignment="1">
      <alignment vertical="center"/>
    </xf>
    <xf numFmtId="4" fontId="6" fillId="0" borderId="25" xfId="1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" fontId="5" fillId="0" borderId="0" xfId="1" applyNumberFormat="1" applyFont="1" applyAlignment="1">
      <alignment horizontal="right" vertical="center" wrapText="1"/>
    </xf>
    <xf numFmtId="0" fontId="6" fillId="2" borderId="0" xfId="1" applyFont="1" applyFill="1" applyBorder="1" applyAlignment="1">
      <alignment horizontal="left" vertical="center" wrapText="1"/>
    </xf>
    <xf numFmtId="4" fontId="5" fillId="0" borderId="31" xfId="1" applyNumberFormat="1" applyFont="1" applyFill="1" applyBorder="1" applyAlignment="1">
      <alignment horizontal="center" vertical="center"/>
    </xf>
    <xf numFmtId="4" fontId="5" fillId="0" borderId="32" xfId="1" applyNumberFormat="1" applyFont="1" applyFill="1" applyBorder="1" applyAlignment="1">
      <alignment horizontal="center" vertical="center"/>
    </xf>
    <xf numFmtId="4" fontId="5" fillId="0" borderId="33" xfId="1" applyNumberFormat="1" applyFont="1" applyFill="1" applyBorder="1" applyAlignment="1">
      <alignment horizontal="center" vertical="center"/>
    </xf>
    <xf numFmtId="4" fontId="5" fillId="2" borderId="31" xfId="1" applyNumberFormat="1" applyFont="1" applyFill="1" applyBorder="1" applyAlignment="1">
      <alignment horizontal="center" vertical="center"/>
    </xf>
    <xf numFmtId="4" fontId="5" fillId="2" borderId="32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4" fontId="5" fillId="2" borderId="45" xfId="1" applyNumberFormat="1" applyFont="1" applyFill="1" applyBorder="1" applyAlignment="1">
      <alignment horizontal="center" vertical="center"/>
    </xf>
    <xf numFmtId="4" fontId="5" fillId="2" borderId="46" xfId="1" applyNumberFormat="1" applyFont="1" applyFill="1" applyBorder="1" applyAlignment="1">
      <alignment horizontal="center" vertical="center"/>
    </xf>
    <xf numFmtId="4" fontId="5" fillId="2" borderId="47" xfId="1" applyNumberFormat="1" applyFont="1" applyFill="1" applyBorder="1" applyAlignment="1">
      <alignment horizontal="center" vertical="center"/>
    </xf>
    <xf numFmtId="4" fontId="5" fillId="0" borderId="45" xfId="1" applyNumberFormat="1" applyFont="1" applyFill="1" applyBorder="1" applyAlignment="1">
      <alignment horizontal="center" vertical="center"/>
    </xf>
    <xf numFmtId="4" fontId="5" fillId="0" borderId="46" xfId="1" applyNumberFormat="1" applyFont="1" applyFill="1" applyBorder="1" applyAlignment="1">
      <alignment horizontal="center" vertical="center"/>
    </xf>
    <xf numFmtId="4" fontId="5" fillId="0" borderId="47" xfId="1" applyNumberFormat="1" applyFont="1" applyFill="1" applyBorder="1" applyAlignment="1">
      <alignment horizontal="center" vertical="center"/>
    </xf>
    <xf numFmtId="0" fontId="6" fillId="2" borderId="48" xfId="1" applyFont="1" applyFill="1" applyBorder="1" applyAlignment="1">
      <alignment vertical="center" wrapText="1"/>
    </xf>
    <xf numFmtId="0" fontId="0" fillId="2" borderId="49" xfId="0" applyFill="1" applyBorder="1" applyAlignment="1">
      <alignment vertical="center" wrapText="1"/>
    </xf>
    <xf numFmtId="0" fontId="6" fillId="2" borderId="5" xfId="1" applyFont="1" applyFill="1" applyBorder="1" applyAlignment="1">
      <alignment horizontal="center" vertical="center" wrapText="1"/>
    </xf>
    <xf numFmtId="4" fontId="6" fillId="2" borderId="20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 wrapText="1"/>
    </xf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48" xfId="1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4" fontId="6" fillId="2" borderId="21" xfId="1" applyNumberFormat="1" applyFont="1" applyFill="1" applyBorder="1" applyAlignment="1">
      <alignment horizontal="center" vertical="center" wrapText="1"/>
    </xf>
    <xf numFmtId="0" fontId="6" fillId="2" borderId="26" xfId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2" borderId="28" xfId="1" applyFont="1" applyFill="1" applyBorder="1" applyAlignment="1">
      <alignment horizontal="left" vertical="center" wrapText="1"/>
    </xf>
    <xf numFmtId="0" fontId="0" fillId="2" borderId="29" xfId="0" applyFill="1" applyBorder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0" fontId="5" fillId="2" borderId="42" xfId="1" applyFont="1" applyFill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55" xfId="1" applyNumberFormat="1" applyFont="1" applyBorder="1" applyAlignment="1">
      <alignment vertical="center" wrapText="1"/>
    </xf>
    <xf numFmtId="0" fontId="29" fillId="0" borderId="22" xfId="1" applyFont="1" applyFill="1" applyBorder="1" applyAlignment="1">
      <alignment horizontal="left" vertical="center" wrapText="1"/>
    </xf>
    <xf numFmtId="0" fontId="30" fillId="0" borderId="22" xfId="1" applyFont="1" applyFill="1" applyBorder="1" applyAlignment="1">
      <alignment vertical="center" wrapText="1"/>
    </xf>
    <xf numFmtId="0" fontId="29" fillId="0" borderId="50" xfId="1" applyFont="1" applyFill="1" applyBorder="1" applyAlignment="1">
      <alignment horizontal="left" vertical="center" wrapText="1"/>
    </xf>
    <xf numFmtId="0" fontId="5" fillId="0" borderId="44" xfId="1" applyFont="1" applyFill="1" applyBorder="1" applyAlignment="1">
      <alignment horizontal="left" vertical="center" wrapText="1"/>
    </xf>
    <xf numFmtId="4" fontId="6" fillId="0" borderId="43" xfId="1" applyNumberFormat="1" applyFont="1" applyFill="1" applyBorder="1" applyAlignment="1">
      <alignment vertical="center"/>
    </xf>
    <xf numFmtId="0" fontId="6" fillId="0" borderId="26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left" vertical="center" wrapText="1"/>
    </xf>
    <xf numFmtId="4" fontId="6" fillId="0" borderId="27" xfId="1" applyNumberFormat="1" applyFont="1" applyFill="1" applyBorder="1" applyAlignment="1">
      <alignment vertical="center"/>
    </xf>
    <xf numFmtId="4" fontId="5" fillId="0" borderId="4" xfId="1" applyNumberFormat="1" applyFont="1" applyFill="1" applyBorder="1" applyAlignment="1">
      <alignment vertical="center"/>
    </xf>
    <xf numFmtId="0" fontId="6" fillId="0" borderId="48" xfId="1" applyFont="1" applyFill="1" applyBorder="1" applyAlignment="1">
      <alignment horizontal="center" vertical="center" wrapText="1"/>
    </xf>
    <xf numFmtId="4" fontId="6" fillId="0" borderId="40" xfId="1" applyNumberFormat="1" applyFont="1" applyFill="1" applyBorder="1" applyAlignment="1">
      <alignment vertical="center"/>
    </xf>
    <xf numFmtId="4" fontId="5" fillId="0" borderId="49" xfId="1" applyNumberFormat="1" applyFont="1" applyFill="1" applyBorder="1" applyAlignment="1">
      <alignment vertical="center"/>
    </xf>
    <xf numFmtId="0" fontId="6" fillId="0" borderId="48" xfId="1" applyFont="1" applyFill="1" applyBorder="1" applyAlignment="1">
      <alignment vertical="center" wrapText="1"/>
    </xf>
    <xf numFmtId="4" fontId="8" fillId="0" borderId="49" xfId="1" applyNumberFormat="1" applyFont="1" applyFill="1" applyBorder="1" applyAlignment="1">
      <alignment horizontal="right" vertical="center"/>
    </xf>
    <xf numFmtId="4" fontId="8" fillId="0" borderId="40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left" vertical="center" wrapText="1"/>
    </xf>
    <xf numFmtId="4" fontId="8" fillId="0" borderId="0" xfId="1" applyNumberFormat="1" applyFont="1" applyFill="1" applyBorder="1" applyAlignment="1">
      <alignment horizontal="right" vertical="center"/>
    </xf>
    <xf numFmtId="165" fontId="8" fillId="0" borderId="0" xfId="1" applyNumberFormat="1" applyFont="1" applyFill="1" applyBorder="1" applyAlignment="1">
      <alignment horizontal="right" vertical="center"/>
    </xf>
    <xf numFmtId="4" fontId="5" fillId="0" borderId="55" xfId="1" applyNumberFormat="1" applyFont="1" applyFill="1" applyBorder="1" applyAlignment="1">
      <alignment vertical="center" wrapText="1"/>
    </xf>
    <xf numFmtId="0" fontId="5" fillId="0" borderId="20" xfId="1" applyFont="1" applyFill="1" applyBorder="1" applyAlignment="1">
      <alignment vertical="center" wrapText="1"/>
    </xf>
    <xf numFmtId="0" fontId="4" fillId="0" borderId="49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4" fontId="5" fillId="0" borderId="20" xfId="1" applyNumberFormat="1" applyFont="1" applyFill="1" applyBorder="1" applyAlignment="1">
      <alignment vertical="center" wrapText="1"/>
    </xf>
  </cellXfs>
  <cellStyles count="47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 xr:uid="{00000000-0005-0000-0000-000001000000}"/>
    <cellStyle name="Обычный 3" xfId="42" xr:uid="{8DF518EB-2C68-4609-A81F-6ADC846899D0}"/>
    <cellStyle name="Обычный 4" xfId="44" xr:uid="{53DE2654-AF92-4A8C-8F01-ABC2844E1AC9}"/>
    <cellStyle name="Обычный 5" xfId="46" xr:uid="{D1E6B386-E91F-41C6-8CC3-D5399CA4BFCC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%20&#1055;&#1080;&#1088;&#1089;-1%20(1-4%20&#1082;&#1074;&#1072;&#1088;&#1090;&#1072;&#108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ИРС-1"/>
      <sheetName val="тх2"/>
      <sheetName val="тх4"/>
      <sheetName val="тх6"/>
      <sheetName val="КТ"/>
      <sheetName val="УВ1"/>
      <sheetName val="УВ3"/>
      <sheetName val="УВ5"/>
      <sheetName val="УВ7"/>
      <sheetName val="УВ9"/>
      <sheetName val="УВ11"/>
      <sheetName val="УВ13"/>
      <sheetName val="УВ15"/>
      <sheetName val="УВ17"/>
      <sheetName val="УВ19"/>
      <sheetName val="УВ21"/>
      <sheetName val="Лист15"/>
      <sheetName val="информационн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D6">
            <v>382.33653737004119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T89"/>
  <sheetViews>
    <sheetView showGridLines="0" tabSelected="1" view="pageBreakPreview" topLeftCell="B59" zoomScale="60" zoomScaleNormal="70" workbookViewId="0">
      <selection activeCell="C62" sqref="C62:F62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3" width="16.7109375" style="3" customWidth="1"/>
    <col min="4" max="4" width="18.85546875" style="3" customWidth="1"/>
    <col min="5" max="7" width="16.7109375" style="3" customWidth="1"/>
    <col min="8" max="8" width="56.28515625" style="2" customWidth="1"/>
    <col min="9" max="9" width="43" style="2" customWidth="1"/>
    <col min="10" max="10" width="23.7109375" style="2" bestFit="1" customWidth="1"/>
    <col min="11" max="11" width="13.28515625" style="2" bestFit="1" customWidth="1"/>
    <col min="12" max="12" width="11.5703125" style="2" bestFit="1" customWidth="1"/>
    <col min="13" max="13" width="10.42578125" style="2" bestFit="1" customWidth="1"/>
    <col min="14" max="14" width="10.140625" style="2"/>
    <col min="15" max="15" width="19.140625" style="2" customWidth="1"/>
    <col min="16" max="17" width="10.140625" style="2"/>
    <col min="18" max="18" width="64.7109375" style="2" customWidth="1"/>
    <col min="19" max="16384" width="10.140625" style="2"/>
  </cols>
  <sheetData>
    <row r="1" spans="1:15" x14ac:dyDescent="0.25">
      <c r="A1" s="283"/>
      <c r="B1" s="283"/>
      <c r="C1" s="283"/>
      <c r="D1" s="5"/>
      <c r="E1" s="5"/>
      <c r="F1" s="5"/>
      <c r="G1" s="5"/>
      <c r="H1" s="3">
        <f>SUM(Площадь!B8)</f>
        <v>34316.699999999997</v>
      </c>
      <c r="I1" s="2" t="s">
        <v>128</v>
      </c>
      <c r="J1" s="4" t="s">
        <v>120</v>
      </c>
      <c r="O1" s="2">
        <v>34340.31</v>
      </c>
    </row>
    <row r="2" spans="1:15" x14ac:dyDescent="0.25">
      <c r="A2" s="283" t="s">
        <v>66</v>
      </c>
      <c r="B2" s="283"/>
      <c r="C2" s="283"/>
      <c r="D2" s="283"/>
      <c r="E2" s="283"/>
      <c r="F2" s="283"/>
      <c r="G2" s="283"/>
      <c r="H2" s="3">
        <f>SUM('мр1-3'!J1)</f>
        <v>101.2</v>
      </c>
      <c r="I2" s="2" t="s">
        <v>109</v>
      </c>
    </row>
    <row r="3" spans="1:15" ht="19.5" thickBot="1" x14ac:dyDescent="0.3">
      <c r="A3" s="284" t="s">
        <v>107</v>
      </c>
      <c r="B3" s="284"/>
      <c r="C3" s="284"/>
      <c r="D3" s="284"/>
      <c r="E3" s="284"/>
      <c r="F3" s="284"/>
      <c r="G3" s="284"/>
      <c r="H3" s="2">
        <f>SUM(мр1!J5+'мр1-1'!J5+'мр1-2'!J6+'мр1-2'!J5+мр2!J5+мр3!J5+мр4!J5+мр5!J5)</f>
        <v>534</v>
      </c>
      <c r="I3" s="2" t="s">
        <v>110</v>
      </c>
    </row>
    <row r="4" spans="1:15" x14ac:dyDescent="0.25">
      <c r="A4" s="276" t="s">
        <v>0</v>
      </c>
      <c r="B4" s="278" t="s">
        <v>1</v>
      </c>
      <c r="C4" s="13"/>
      <c r="D4" s="13"/>
      <c r="E4" s="13"/>
      <c r="F4" s="13"/>
      <c r="G4" s="14"/>
      <c r="H4" s="2">
        <f>SUM('мр1-3'!J5)</f>
        <v>8</v>
      </c>
      <c r="I4" s="2" t="s">
        <v>105</v>
      </c>
    </row>
    <row r="5" spans="1:15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</row>
    <row r="6" spans="1:15" x14ac:dyDescent="0.25">
      <c r="A6" s="277"/>
      <c r="B6" s="279"/>
      <c r="C6" s="275"/>
      <c r="D6" s="275"/>
      <c r="E6" s="275"/>
      <c r="F6" s="275"/>
      <c r="G6" s="285"/>
    </row>
    <row r="7" spans="1:15" ht="19.5" thickBot="1" x14ac:dyDescent="0.3">
      <c r="A7" s="15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</row>
    <row r="8" spans="1:15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</row>
    <row r="9" spans="1:15" ht="20.100000000000001" customHeight="1" x14ac:dyDescent="0.25">
      <c r="A9" s="20">
        <v>1</v>
      </c>
      <c r="B9" s="21" t="s">
        <v>15</v>
      </c>
      <c r="C9" s="22">
        <f>SUM(C10:C13)</f>
        <v>30549.877232399998</v>
      </c>
      <c r="D9" s="22">
        <f>SUM(D10:D13)</f>
        <v>30549.877232399998</v>
      </c>
      <c r="E9" s="22">
        <f>SUM(E10:E13)</f>
        <v>30549.877232399998</v>
      </c>
      <c r="F9" s="22">
        <f>SUM(F10:F13)</f>
        <v>30549.877232399998</v>
      </c>
      <c r="G9" s="8">
        <f>SUM(G10:G13)</f>
        <v>122199.50892959999</v>
      </c>
    </row>
    <row r="10" spans="1:15" ht="20.100000000000001" customHeight="1" x14ac:dyDescent="0.25">
      <c r="A10" s="23"/>
      <c r="B10" s="10" t="s">
        <v>3</v>
      </c>
      <c r="C10" s="12">
        <f>мр1!C10+'мр1-1'!C10+'мр1-2'!C10+мр2!C10+мр3!C10+мр4!C10+мр5!C10</f>
        <v>14392.423980000001</v>
      </c>
      <c r="D10" s="12">
        <f>мр1!D10+'мр1-1'!D10+'мр1-2'!D10+мр2!D10+мр3!D10+мр4!D10+мр5!D10</f>
        <v>14392.423980000001</v>
      </c>
      <c r="E10" s="12">
        <f>мр1!E10+'мр1-1'!E10+'мр1-2'!E10+мр2!E10+мр3!E10+мр4!E10+мр5!E10</f>
        <v>14392.423980000001</v>
      </c>
      <c r="F10" s="12">
        <f>мр1!F10+'мр1-1'!F10+'мр1-2'!F10+мр2!F10+мр3!F10+мр4!F10+мр5!F10</f>
        <v>14392.423980000001</v>
      </c>
      <c r="G10" s="76">
        <f>SUM(C10:F10)</f>
        <v>57569.695920000006</v>
      </c>
      <c r="H10" s="41"/>
      <c r="I10" s="41"/>
      <c r="J10" s="40"/>
      <c r="K10" s="40"/>
      <c r="L10" s="40"/>
      <c r="M10" s="41"/>
      <c r="N10" s="41"/>
      <c r="O10" s="40"/>
    </row>
    <row r="11" spans="1:15" ht="20.100000000000001" customHeight="1" x14ac:dyDescent="0.25">
      <c r="A11" s="23"/>
      <c r="B11" s="10" t="s">
        <v>10</v>
      </c>
      <c r="C11" s="12">
        <f>мр1!C13+'мр1-1'!C13+'мр1-2'!C13+мр2!C13+мр3!C13+мр4!C13+мр5!C13</f>
        <v>4498.9193699999996</v>
      </c>
      <c r="D11" s="12">
        <f>мр1!D13+'мр1-1'!D13+'мр1-2'!D13+мр2!D13+мр3!D13+мр4!D13+мр5!D13</f>
        <v>4498.9193699999996</v>
      </c>
      <c r="E11" s="12">
        <f>мр1!E13+'мр1-1'!E13+'мр1-2'!E13+мр2!E13+мр3!E13+мр4!E13+мр5!E13</f>
        <v>4498.9193699999996</v>
      </c>
      <c r="F11" s="12">
        <f>мр1!F13+'мр1-1'!F13+'мр1-2'!F13+мр2!F13+мр3!F13+мр4!F13+мр5!F13</f>
        <v>4498.9193699999996</v>
      </c>
      <c r="G11" s="76">
        <f t="shared" ref="G11:G13" si="0">SUM(C11:F11)</f>
        <v>17995.677479999998</v>
      </c>
      <c r="H11" s="41"/>
      <c r="I11" s="41"/>
      <c r="J11" s="40"/>
      <c r="K11" s="40"/>
      <c r="L11" s="40"/>
      <c r="M11" s="41"/>
      <c r="N11" s="41"/>
      <c r="O11" s="40"/>
    </row>
    <row r="12" spans="1:15" ht="20.100000000000001" customHeight="1" outlineLevel="1" x14ac:dyDescent="0.25">
      <c r="A12" s="24"/>
      <c r="B12" s="10" t="s">
        <v>11</v>
      </c>
      <c r="C12" s="12">
        <f>мр1!C14+'мр1-1'!C14+'мр1-2'!C14+мр2!C14+мр3!C14+мр4!C14+мр5!C14</f>
        <v>6609.3964199999991</v>
      </c>
      <c r="D12" s="12">
        <f>мр1!D14+'мр1-1'!D14+'мр1-2'!D14+мр2!D14+мр3!D14+мр4!D14+мр5!D14</f>
        <v>6609.3964199999991</v>
      </c>
      <c r="E12" s="12">
        <f>мр1!E14+'мр1-1'!E14+'мр1-2'!E14+мр2!E14+мр3!E14+мр4!E14+мр5!E14</f>
        <v>6609.3964199999991</v>
      </c>
      <c r="F12" s="12">
        <f>мр1!F14+'мр1-1'!F14+'мр1-2'!F14+мр2!F14+мр3!F14+мр4!F14+мр5!F14</f>
        <v>6609.3964199999991</v>
      </c>
      <c r="G12" s="76">
        <f t="shared" si="0"/>
        <v>26437.585679999997</v>
      </c>
      <c r="H12" s="41"/>
      <c r="I12" s="41"/>
      <c r="J12" s="40"/>
      <c r="K12" s="40"/>
      <c r="L12" s="40"/>
      <c r="M12" s="41"/>
      <c r="N12" s="41"/>
      <c r="O12" s="40"/>
    </row>
    <row r="13" spans="1:15" ht="20.100000000000001" customHeight="1" outlineLevel="1" thickBot="1" x14ac:dyDescent="0.3">
      <c r="A13" s="24"/>
      <c r="B13" s="10" t="s">
        <v>12</v>
      </c>
      <c r="C13" s="12">
        <f>мр1!C15+'мр1-1'!C15+'мр1-2'!C15+мр2!C15+мр3!C15+мр4!C15+мр5!C15</f>
        <v>5049.1374623999991</v>
      </c>
      <c r="D13" s="12">
        <f>мр1!D15+'мр1-1'!D15+'мр1-2'!D15+мр2!D15+мр3!D15+мр4!D15+мр5!D15</f>
        <v>5049.1374623999991</v>
      </c>
      <c r="E13" s="12">
        <f>мр1!E15+'мр1-1'!E15+'мр1-2'!E15+мр2!E15+мр3!E15+мр4!E15+мр5!E15</f>
        <v>5049.1374623999991</v>
      </c>
      <c r="F13" s="12">
        <f>мр1!F15+'мр1-1'!F15+'мр1-2'!F15+мр2!F15+мр3!F15+мр4!F15+мр5!F15</f>
        <v>5049.1374623999991</v>
      </c>
      <c r="G13" s="76">
        <f t="shared" si="0"/>
        <v>20196.549849599996</v>
      </c>
      <c r="H13" s="41"/>
      <c r="I13" s="41"/>
      <c r="J13" s="40"/>
      <c r="K13" s="40"/>
      <c r="L13" s="40"/>
      <c r="M13" s="41"/>
      <c r="N13" s="41"/>
      <c r="O13" s="40"/>
    </row>
    <row r="14" spans="1:15" ht="20.100000000000001" customHeight="1" x14ac:dyDescent="0.25">
      <c r="A14" s="20">
        <v>2</v>
      </c>
      <c r="B14" s="28" t="s">
        <v>16</v>
      </c>
      <c r="C14" s="35">
        <f>SUM(C15:C17)</f>
        <v>10397.915550371439</v>
      </c>
      <c r="D14" s="35">
        <f t="shared" ref="D14:G14" si="1">SUM(D15:D17)</f>
        <v>6626.3597244735665</v>
      </c>
      <c r="E14" s="35">
        <f t="shared" si="1"/>
        <v>6582.4070761140456</v>
      </c>
      <c r="F14" s="35">
        <f t="shared" si="1"/>
        <v>6735.4564766516614</v>
      </c>
      <c r="G14" s="35">
        <f t="shared" si="1"/>
        <v>30342.13882761071</v>
      </c>
      <c r="H14" s="41"/>
      <c r="I14" s="41"/>
      <c r="M14" s="3"/>
      <c r="N14" s="3"/>
      <c r="O14" s="40"/>
    </row>
    <row r="15" spans="1:15" ht="39" customHeight="1" outlineLevel="1" x14ac:dyDescent="0.25">
      <c r="A15" s="29"/>
      <c r="B15" s="10" t="s">
        <v>20</v>
      </c>
      <c r="C15" s="12">
        <f>мр1!C17+'мр1-1'!C17+'мр1-2'!C17+мр2!C17+мр3!C17+мр4!C17+мр5!C17</f>
        <v>2264.9022</v>
      </c>
      <c r="D15" s="12">
        <f>мр1!D17+'мр1-1'!D17+'мр1-2'!D17+мр2!D17+мр3!D17+мр4!D17+мр5!D17</f>
        <v>2264.9022</v>
      </c>
      <c r="E15" s="12">
        <f>мр1!E17+'мр1-1'!E17+'мр1-2'!E17+мр2!E17+мр3!E17+мр4!E17+мр5!E17</f>
        <v>2264.9022</v>
      </c>
      <c r="F15" s="12">
        <f>мр1!F17+'мр1-1'!F17+'мр1-2'!F17+мр2!F17+мр3!F17+мр4!F17+мр5!F17</f>
        <v>2264.9022</v>
      </c>
      <c r="G15" s="77">
        <f>SUM(C15:F15)</f>
        <v>9059.6088</v>
      </c>
      <c r="H15" s="41"/>
      <c r="I15" s="41"/>
      <c r="M15" s="41"/>
      <c r="N15" s="41"/>
      <c r="O15" s="40"/>
    </row>
    <row r="16" spans="1:15" ht="40.5" customHeight="1" outlineLevel="1" x14ac:dyDescent="0.25">
      <c r="A16" s="29"/>
      <c r="B16" s="10" t="s">
        <v>14</v>
      </c>
      <c r="C16" s="12">
        <f>мр1!C18+'мр1-1'!C18+'мр1-2'!C18+мр2!C18+мр3!C18+мр4!C18+мр5!C18</f>
        <v>2114.64</v>
      </c>
      <c r="D16" s="12">
        <f>мр1!D18+'мр1-1'!D18+'мр1-2'!D18+мр2!D18+мр3!D18+мр4!D18+мр5!D18</f>
        <v>2114.64</v>
      </c>
      <c r="E16" s="12">
        <f>мр1!E18+'мр1-1'!E18+'мр1-2'!E18+мр2!E18+мр3!E18+мр4!E18+мр5!E18</f>
        <v>2114.64</v>
      </c>
      <c r="F16" s="12">
        <f>мр1!F18+'мр1-1'!F18+'мр1-2'!F18+мр2!F18+мр3!F18+мр4!F18+мр5!F18</f>
        <v>2114.64</v>
      </c>
      <c r="G16" s="77">
        <f>SUM(C16:F16)</f>
        <v>8458.56</v>
      </c>
      <c r="H16" s="41"/>
      <c r="I16" s="41"/>
      <c r="M16" s="41"/>
      <c r="N16" s="41"/>
      <c r="O16" s="40"/>
    </row>
    <row r="17" spans="1:15" ht="40.5" customHeight="1" outlineLevel="1" thickBot="1" x14ac:dyDescent="0.3">
      <c r="A17" s="121"/>
      <c r="B17" s="122" t="s">
        <v>64</v>
      </c>
      <c r="C17" s="125">
        <v>6018.3733503714393</v>
      </c>
      <c r="D17" s="125">
        <v>2246.8175244735662</v>
      </c>
      <c r="E17" s="125">
        <v>2202.8648761140457</v>
      </c>
      <c r="F17" s="125">
        <v>2355.9142766516611</v>
      </c>
      <c r="G17" s="206">
        <f>SUM(C17:F17)</f>
        <v>12823.970027610712</v>
      </c>
      <c r="H17" s="41"/>
      <c r="I17" s="41"/>
      <c r="M17" s="41"/>
      <c r="N17" s="41"/>
      <c r="O17" s="40"/>
    </row>
    <row r="18" spans="1:15" ht="20.100000000000001" customHeight="1" outlineLevel="1" x14ac:dyDescent="0.25">
      <c r="A18" s="20">
        <v>3</v>
      </c>
      <c r="B18" s="28" t="s">
        <v>17</v>
      </c>
      <c r="C18" s="22">
        <f>SUM(C19:C20)</f>
        <v>4902.12</v>
      </c>
      <c r="D18" s="22">
        <f t="shared" ref="D18:F18" si="2">SUM(D19:D20)</f>
        <v>4902.12</v>
      </c>
      <c r="E18" s="22">
        <f t="shared" si="2"/>
        <v>4902.12</v>
      </c>
      <c r="F18" s="22">
        <f t="shared" si="2"/>
        <v>4902.12</v>
      </c>
      <c r="G18" s="8">
        <f>SUM(G19:G20)</f>
        <v>19608.48</v>
      </c>
      <c r="H18" s="41"/>
      <c r="I18" s="41"/>
    </row>
    <row r="19" spans="1:15" ht="20.100000000000001" customHeight="1" outlineLevel="1" x14ac:dyDescent="0.25">
      <c r="A19" s="29"/>
      <c r="B19" s="10" t="s">
        <v>40</v>
      </c>
      <c r="C19" s="125">
        <f>SUM(мр1!C40+'мр1-1'!C40+'мр1-2'!C40+мр2!C40+мр3!C40+мр4!C40+мр5!C21)</f>
        <v>1698.12</v>
      </c>
      <c r="D19" s="125">
        <f>SUM(мр1!D40+'мр1-1'!D40+'мр1-2'!D40+мр2!D40+мр3!D40+мр4!D40+мр5!D21)</f>
        <v>1698.12</v>
      </c>
      <c r="E19" s="125">
        <f>SUM(мр1!E40+'мр1-1'!E40+'мр1-2'!E40+мр2!E40+мр3!E40+мр4!E40+мр5!E21)</f>
        <v>1698.12</v>
      </c>
      <c r="F19" s="125">
        <f>SUM(мр1!F40+'мр1-1'!F40+'мр1-2'!F40+мр2!F40+мр3!F40+мр4!F40+мр5!F21)</f>
        <v>1698.12</v>
      </c>
      <c r="G19" s="77">
        <f>SUM(C19:F19)</f>
        <v>6792.48</v>
      </c>
      <c r="H19" s="41"/>
      <c r="I19" s="41"/>
    </row>
    <row r="20" spans="1:15" ht="20.100000000000001" customHeight="1" outlineLevel="1" thickBot="1" x14ac:dyDescent="0.3">
      <c r="A20" s="27"/>
      <c r="B20" s="25" t="s">
        <v>18</v>
      </c>
      <c r="C20" s="125">
        <v>3204</v>
      </c>
      <c r="D20" s="125">
        <v>3204</v>
      </c>
      <c r="E20" s="125">
        <v>3204</v>
      </c>
      <c r="F20" s="125">
        <v>3204</v>
      </c>
      <c r="G20" s="78">
        <f>SUM(C20:F20)</f>
        <v>12816</v>
      </c>
      <c r="H20" s="41"/>
      <c r="I20" s="41"/>
    </row>
    <row r="21" spans="1:15" ht="20.100000000000001" customHeight="1" x14ac:dyDescent="0.25">
      <c r="A21" s="31" t="s">
        <v>9</v>
      </c>
      <c r="B21" s="28" t="s">
        <v>22</v>
      </c>
      <c r="C21" s="22">
        <f>SUM(C22:C23)</f>
        <v>95849.852999999988</v>
      </c>
      <c r="D21" s="22">
        <f t="shared" ref="D21:F21" si="3">SUM(D22:D23)</f>
        <v>95849.852999999988</v>
      </c>
      <c r="E21" s="22">
        <f t="shared" si="3"/>
        <v>95849.852999999988</v>
      </c>
      <c r="F21" s="22">
        <f t="shared" si="3"/>
        <v>95849.852999999988</v>
      </c>
      <c r="G21" s="8">
        <f>SUM(G22:G23)</f>
        <v>383399.41199999995</v>
      </c>
      <c r="H21" s="45">
        <v>95849.852999999988</v>
      </c>
      <c r="I21" s="2">
        <v>95849.852999999988</v>
      </c>
      <c r="J21" s="2">
        <v>95849.852999999988</v>
      </c>
      <c r="K21" s="2">
        <v>95849.852999999988</v>
      </c>
      <c r="L21" s="2">
        <v>383399.41199999995</v>
      </c>
    </row>
    <row r="22" spans="1:15" s="1" customFormat="1" ht="20.100000000000001" customHeight="1" outlineLevel="1" x14ac:dyDescent="0.25">
      <c r="A22" s="218"/>
      <c r="B22" s="80" t="s">
        <v>21</v>
      </c>
      <c r="C22" s="247">
        <f>мр1!C24+'мр1-1'!C24+'мр1-2'!C24+мр2!C24+мр3!C24+мр4!C24+мр5!C24</f>
        <v>63829.061999999991</v>
      </c>
      <c r="D22" s="247">
        <f>мр1!D24+'мр1-1'!D24+'мр1-2'!D24+мр2!D24+мр3!D24+мр4!D24+мр5!D24</f>
        <v>63829.061999999991</v>
      </c>
      <c r="E22" s="247">
        <f>мр1!E24+'мр1-1'!E24+'мр1-2'!E24+мр2!E24+мр3!E24+мр4!E24+мр5!E24</f>
        <v>63829.061999999991</v>
      </c>
      <c r="F22" s="247">
        <f>мр1!F24+'мр1-1'!F24+'мр1-2'!F24+мр2!F24+мр3!F24+мр4!F24+мр5!F24</f>
        <v>63829.061999999991</v>
      </c>
      <c r="G22" s="220">
        <f t="shared" ref="G22:G28" si="4">SUM(C22:F22)</f>
        <v>255316.24799999996</v>
      </c>
      <c r="H22" s="249" t="s">
        <v>130</v>
      </c>
      <c r="I22" s="249"/>
      <c r="J22" s="249"/>
    </row>
    <row r="23" spans="1:15" ht="20.100000000000001" customHeight="1" outlineLevel="1" thickBot="1" x14ac:dyDescent="0.3">
      <c r="A23" s="221"/>
      <c r="B23" s="222" t="s">
        <v>49</v>
      </c>
      <c r="C23" s="223">
        <f>SUM(мр1!C25+'мр1-1'!C25+'мр1-2'!C25+мр2!C25+мр3!C25+мр4!C25+мр5!C25+'мр1-3'!C25)</f>
        <v>32020.790999999994</v>
      </c>
      <c r="D23" s="223">
        <f>SUM(мр1!D25+'мр1-1'!D25+'мр1-2'!D25+мр2!D25+мр3!D25+мр4!D25+мр5!D25+'мр1-3'!D25)</f>
        <v>32020.790999999994</v>
      </c>
      <c r="E23" s="223">
        <f>SUM(мр1!E25+'мр1-1'!E25+'мр1-2'!E25+мр2!E25+мр3!E25+мр4!E25+мр5!E25+'мр1-3'!E25)</f>
        <v>32020.790999999994</v>
      </c>
      <c r="F23" s="223">
        <f>SUM(мр1!F25+'мр1-1'!F25+'мр1-2'!F25+мр2!F25+мр3!F25+мр4!F25+мр5!F25+'мр1-3'!F25)</f>
        <v>32020.790999999994</v>
      </c>
      <c r="G23" s="224">
        <f t="shared" si="4"/>
        <v>128083.16399999998</v>
      </c>
      <c r="H23" s="43"/>
      <c r="I23" s="43"/>
      <c r="J23" s="43"/>
    </row>
    <row r="24" spans="1:15" ht="20.100000000000001" customHeight="1" outlineLevel="1" x14ac:dyDescent="0.25">
      <c r="A24" s="225" t="s">
        <v>7</v>
      </c>
      <c r="B24" s="226" t="s">
        <v>4</v>
      </c>
      <c r="C24" s="227">
        <f>SUM(C25:C27)</f>
        <v>1700</v>
      </c>
      <c r="D24" s="227">
        <f>SUM(D25:D27)</f>
        <v>1700</v>
      </c>
      <c r="E24" s="227">
        <f>SUM(E25:E27)</f>
        <v>1700</v>
      </c>
      <c r="F24" s="227">
        <f>SUM(F25:F27)</f>
        <v>1700</v>
      </c>
      <c r="G24" s="228">
        <f>SUM(G25:G27)</f>
        <v>6800</v>
      </c>
    </row>
    <row r="25" spans="1:15" s="1" customFormat="1" ht="20.100000000000001" customHeight="1" outlineLevel="1" x14ac:dyDescent="0.25">
      <c r="A25" s="218"/>
      <c r="B25" s="229" t="s">
        <v>5</v>
      </c>
      <c r="C25" s="230">
        <v>1200</v>
      </c>
      <c r="D25" s="219">
        <v>1200</v>
      </c>
      <c r="E25" s="219">
        <v>1200</v>
      </c>
      <c r="F25" s="219">
        <v>1200</v>
      </c>
      <c r="G25" s="220">
        <f t="shared" si="4"/>
        <v>4800</v>
      </c>
    </row>
    <row r="26" spans="1:15" s="1" customFormat="1" ht="21.75" customHeight="1" outlineLevel="1" x14ac:dyDescent="0.25">
      <c r="A26" s="218"/>
      <c r="B26" s="229" t="s">
        <v>19</v>
      </c>
      <c r="C26" s="230">
        <v>500</v>
      </c>
      <c r="D26" s="219">
        <v>500</v>
      </c>
      <c r="E26" s="219">
        <v>500</v>
      </c>
      <c r="F26" s="219">
        <v>500</v>
      </c>
      <c r="G26" s="220">
        <f t="shared" si="4"/>
        <v>2000</v>
      </c>
    </row>
    <row r="27" spans="1:15" s="1" customFormat="1" ht="36" customHeight="1" outlineLevel="1" x14ac:dyDescent="0.25">
      <c r="A27" s="218"/>
      <c r="B27" s="80" t="s">
        <v>104</v>
      </c>
      <c r="C27" s="219">
        <v>0</v>
      </c>
      <c r="D27" s="219">
        <v>0</v>
      </c>
      <c r="E27" s="219">
        <v>0</v>
      </c>
      <c r="F27" s="219">
        <v>0</v>
      </c>
      <c r="G27" s="220">
        <f>SUM(C27:F27)</f>
        <v>0</v>
      </c>
    </row>
    <row r="28" spans="1:15" ht="26.1" customHeight="1" outlineLevel="1" thickBot="1" x14ac:dyDescent="0.3">
      <c r="A28" s="282" t="s">
        <v>6</v>
      </c>
      <c r="B28" s="273"/>
      <c r="C28" s="154">
        <f>C9+C14+C18+C21+C24</f>
        <v>143399.76578277143</v>
      </c>
      <c r="D28" s="154">
        <f>D9+D14+D18+D21+D24</f>
        <v>139628.20995687356</v>
      </c>
      <c r="E28" s="154">
        <f>E9+E14+E18+E21+E24</f>
        <v>139584.25730851403</v>
      </c>
      <c r="F28" s="154">
        <f>F9+F14+F18+F21+F24</f>
        <v>139737.30670905166</v>
      </c>
      <c r="G28" s="155">
        <f t="shared" si="4"/>
        <v>562349.53975721064</v>
      </c>
    </row>
    <row r="29" spans="1:15" ht="26.1" customHeight="1" thickBot="1" x14ac:dyDescent="0.3">
      <c r="A29" s="280" t="s">
        <v>34</v>
      </c>
      <c r="B29" s="281"/>
      <c r="C29" s="54" t="s">
        <v>8</v>
      </c>
      <c r="D29" s="54" t="s">
        <v>8</v>
      </c>
      <c r="E29" s="54" t="s">
        <v>8</v>
      </c>
      <c r="F29" s="54" t="s">
        <v>8</v>
      </c>
      <c r="G29" s="55" t="s">
        <v>8</v>
      </c>
    </row>
    <row r="30" spans="1:15" ht="20.100000000000001" customHeight="1" x14ac:dyDescent="0.25">
      <c r="A30" s="44">
        <v>1</v>
      </c>
      <c r="B30" s="21" t="s">
        <v>15</v>
      </c>
      <c r="C30" s="64">
        <f>SUM(C31:C34)</f>
        <v>32095.143350000002</v>
      </c>
      <c r="D30" s="64">
        <f>SUM(D31:D34)</f>
        <v>32095.143350000002</v>
      </c>
      <c r="E30" s="64">
        <f>SUM(E31:E34)</f>
        <v>32095.143350000002</v>
      </c>
      <c r="F30" s="64">
        <f>SUM(F31:F34)</f>
        <v>32095.143350000002</v>
      </c>
      <c r="G30" s="64">
        <f>SUM(G31:G34)</f>
        <v>128380.57340000001</v>
      </c>
    </row>
    <row r="31" spans="1:15" ht="20.100000000000001" customHeight="1" x14ac:dyDescent="0.25">
      <c r="A31" s="46"/>
      <c r="B31" s="10" t="s">
        <v>3</v>
      </c>
      <c r="C31" s="42">
        <f>SUM(C10)</f>
        <v>14392.423980000001</v>
      </c>
      <c r="D31" s="42">
        <f t="shared" ref="D31:F32" si="5">D10</f>
        <v>14392.423980000001</v>
      </c>
      <c r="E31" s="42">
        <f t="shared" si="5"/>
        <v>14392.423980000001</v>
      </c>
      <c r="F31" s="42">
        <f t="shared" si="5"/>
        <v>14392.423980000001</v>
      </c>
      <c r="G31" s="73">
        <f>SUM(C31:F31)</f>
        <v>57569.695920000006</v>
      </c>
    </row>
    <row r="32" spans="1:15" ht="20.100000000000001" customHeight="1" x14ac:dyDescent="0.25">
      <c r="A32" s="207"/>
      <c r="B32" s="80" t="s">
        <v>10</v>
      </c>
      <c r="C32" s="68">
        <f>SUM(C11)</f>
        <v>4498.9193699999996</v>
      </c>
      <c r="D32" s="68">
        <f t="shared" si="5"/>
        <v>4498.9193699999996</v>
      </c>
      <c r="E32" s="68">
        <f t="shared" si="5"/>
        <v>4498.9193699999996</v>
      </c>
      <c r="F32" s="68">
        <f t="shared" si="5"/>
        <v>4498.9193699999996</v>
      </c>
      <c r="G32" s="81">
        <f>SUM(C32:F32)</f>
        <v>17995.677479999998</v>
      </c>
    </row>
    <row r="33" spans="1:20" ht="57.75" customHeight="1" x14ac:dyDescent="0.25">
      <c r="A33" s="207"/>
      <c r="B33" s="80" t="s">
        <v>62</v>
      </c>
      <c r="C33" s="247">
        <v>8630</v>
      </c>
      <c r="D33" s="247">
        <v>8630</v>
      </c>
      <c r="E33" s="247">
        <v>8630</v>
      </c>
      <c r="F33" s="247">
        <v>8630</v>
      </c>
      <c r="G33" s="81">
        <f>SUM(C33:F33)</f>
        <v>34520</v>
      </c>
      <c r="H33" s="149" t="s">
        <v>127</v>
      </c>
      <c r="J33" s="96"/>
      <c r="K33" s="96"/>
      <c r="L33" s="96"/>
    </row>
    <row r="34" spans="1:20" s="174" customFormat="1" ht="20.100000000000001" customHeight="1" thickBot="1" x14ac:dyDescent="0.3">
      <c r="A34" s="207"/>
      <c r="B34" s="80" t="s">
        <v>12</v>
      </c>
      <c r="C34" s="246">
        <v>4573.8</v>
      </c>
      <c r="D34" s="246">
        <v>4573.8</v>
      </c>
      <c r="E34" s="246">
        <v>4573.8</v>
      </c>
      <c r="F34" s="246">
        <v>4573.8</v>
      </c>
      <c r="G34" s="81">
        <f>SUM(C34:F34)</f>
        <v>18295.2</v>
      </c>
      <c r="H34" s="175" t="s">
        <v>225</v>
      </c>
      <c r="J34" s="177"/>
      <c r="K34" s="176"/>
      <c r="L34" s="178"/>
    </row>
    <row r="35" spans="1:20" ht="20.100000000000001" customHeight="1" x14ac:dyDescent="0.25">
      <c r="A35" s="208">
        <v>2</v>
      </c>
      <c r="B35" s="209" t="s">
        <v>16</v>
      </c>
      <c r="C35" s="210">
        <f>SUM(C36:C38)</f>
        <v>19944.464333571439</v>
      </c>
      <c r="D35" s="211">
        <f>SUM(D36:D38)</f>
        <v>13412.129141273566</v>
      </c>
      <c r="E35" s="211">
        <f t="shared" ref="E35:F35" si="6">SUM(E36:E38)</f>
        <v>14607.681476114045</v>
      </c>
      <c r="F35" s="211">
        <f t="shared" si="6"/>
        <v>16515.406876651661</v>
      </c>
      <c r="G35" s="210">
        <f>SUM(G36:G38)</f>
        <v>64479.681827610708</v>
      </c>
      <c r="J35" s="96"/>
      <c r="K35" s="96"/>
      <c r="L35" s="96"/>
    </row>
    <row r="36" spans="1:20" ht="39.950000000000003" customHeight="1" x14ac:dyDescent="0.25">
      <c r="A36" s="212"/>
      <c r="B36" s="80" t="s">
        <v>20</v>
      </c>
      <c r="C36" s="68">
        <f>SUM(ээ!B10)</f>
        <v>12143.044936</v>
      </c>
      <c r="D36" s="68">
        <f>SUM(ээ!E10)</f>
        <v>9464.0724639999989</v>
      </c>
      <c r="E36" s="68">
        <f>SUM(ээ!H10)</f>
        <v>10508.327499999999</v>
      </c>
      <c r="F36" s="68">
        <f>SUM(ээ!K10)</f>
        <v>12387.409100000001</v>
      </c>
      <c r="G36" s="81">
        <f>SUM(C36:F36)</f>
        <v>44502.853999999999</v>
      </c>
      <c r="H36" s="149" t="s">
        <v>227</v>
      </c>
      <c r="M36" s="150" t="s">
        <v>97</v>
      </c>
      <c r="S36" s="2">
        <v>0.2092</v>
      </c>
      <c r="T36" s="2" t="s">
        <v>94</v>
      </c>
    </row>
    <row r="37" spans="1:20" ht="39.950000000000003" customHeight="1" x14ac:dyDescent="0.25">
      <c r="A37" s="29"/>
      <c r="B37" s="80" t="s">
        <v>14</v>
      </c>
      <c r="C37" s="68">
        <f>SUM(ээ!B22)</f>
        <v>1783.0460472</v>
      </c>
      <c r="D37" s="68">
        <f>SUM(ээ!E22)</f>
        <v>1701.2391528000001</v>
      </c>
      <c r="E37" s="68">
        <f>SUM(ээ!H22)</f>
        <v>1896.4891</v>
      </c>
      <c r="F37" s="68">
        <f>SUM(ээ!K22)</f>
        <v>1772.0835</v>
      </c>
      <c r="G37" s="81">
        <f>SUM(C37:F37)</f>
        <v>7152.8577999999998</v>
      </c>
      <c r="H37" s="149" t="s">
        <v>93</v>
      </c>
      <c r="M37" s="149">
        <v>3100</v>
      </c>
      <c r="N37" s="2" t="s">
        <v>95</v>
      </c>
      <c r="O37" s="2">
        <v>0.2092</v>
      </c>
      <c r="P37" s="2" t="s">
        <v>94</v>
      </c>
    </row>
    <row r="38" spans="1:20" ht="39.950000000000003" customHeight="1" thickBot="1" x14ac:dyDescent="0.3">
      <c r="A38" s="250"/>
      <c r="B38" s="251" t="s">
        <v>64</v>
      </c>
      <c r="C38" s="252">
        <f>SUM(C17)</f>
        <v>6018.3733503714393</v>
      </c>
      <c r="D38" s="252">
        <f>SUM(D17)</f>
        <v>2246.8175244735662</v>
      </c>
      <c r="E38" s="252">
        <f>SUM(E17)</f>
        <v>2202.8648761140457</v>
      </c>
      <c r="F38" s="252">
        <f>SUM(F17)</f>
        <v>2355.9142766516611</v>
      </c>
      <c r="G38" s="156">
        <f>SUM(C38:F38)</f>
        <v>12823.970027610712</v>
      </c>
      <c r="H38" s="149" t="s">
        <v>262</v>
      </c>
      <c r="M38" s="149">
        <v>0.38894299999999998</v>
      </c>
      <c r="N38" s="2" t="s">
        <v>96</v>
      </c>
    </row>
    <row r="39" spans="1:20" ht="20.100000000000001" customHeight="1" x14ac:dyDescent="0.25">
      <c r="A39" s="248" t="s">
        <v>28</v>
      </c>
      <c r="B39" s="28" t="s">
        <v>17</v>
      </c>
      <c r="C39" s="64">
        <f>SUM(C40:C40)</f>
        <v>4536</v>
      </c>
      <c r="D39" s="64">
        <f>SUM(D40:D40)</f>
        <v>4536</v>
      </c>
      <c r="E39" s="64">
        <f>SUM(E40:E40)</f>
        <v>4536</v>
      </c>
      <c r="F39" s="64">
        <f>SUM(F40:F40)</f>
        <v>4536</v>
      </c>
      <c r="G39" s="66">
        <f>SUM(G40:G40)</f>
        <v>18144</v>
      </c>
    </row>
    <row r="40" spans="1:20" s="174" customFormat="1" ht="87" customHeight="1" thickBot="1" x14ac:dyDescent="0.3">
      <c r="A40" s="253"/>
      <c r="B40" s="222" t="s">
        <v>99</v>
      </c>
      <c r="C40" s="254">
        <v>4536</v>
      </c>
      <c r="D40" s="254">
        <v>4536</v>
      </c>
      <c r="E40" s="254">
        <v>4536</v>
      </c>
      <c r="F40" s="254">
        <v>4536</v>
      </c>
      <c r="G40" s="255">
        <f>SUM(C40:F40)</f>
        <v>18144</v>
      </c>
      <c r="H40" s="174" t="s">
        <v>257</v>
      </c>
    </row>
    <row r="41" spans="1:20" ht="20.100000000000001" customHeight="1" x14ac:dyDescent="0.25">
      <c r="A41" s="208" t="s">
        <v>9</v>
      </c>
      <c r="B41" s="209" t="s">
        <v>33</v>
      </c>
      <c r="C41" s="211">
        <f>SUM(C42:C59)</f>
        <v>84845.819331881255</v>
      </c>
      <c r="D41" s="211">
        <f>SUM(D42:D59)</f>
        <v>82316.37042074585</v>
      </c>
      <c r="E41" s="211">
        <f>SUM(E42:E59)</f>
        <v>82890.025862882627</v>
      </c>
      <c r="F41" s="211">
        <f>SUM(F42:F59)</f>
        <v>85597.618519727737</v>
      </c>
      <c r="G41" s="210">
        <f t="shared" ref="G41:G49" si="7">SUM(C41:F41)</f>
        <v>335649.83413523744</v>
      </c>
    </row>
    <row r="42" spans="1:20" ht="20.100000000000001" customHeight="1" x14ac:dyDescent="0.25">
      <c r="A42" s="214"/>
      <c r="B42" s="80" t="s">
        <v>38</v>
      </c>
      <c r="C42" s="68">
        <f>SUM(мр1!C24+'мр1-1'!C43+'мр1-2'!C43+мр2!C43+мр3!C43+мр4!C43+мр5!C43+'мр1-3'!C43)</f>
        <v>63867.75</v>
      </c>
      <c r="D42" s="68">
        <f>SUM(мр1!D24+'мр1-1'!D43+'мр1-2'!D43+мр2!D43+мр3!D43+мр4!D43+мр5!D43+'мр1-3'!D43)</f>
        <v>63867.75</v>
      </c>
      <c r="E42" s="68">
        <f>SUM(мр1!E24+'мр1-1'!E43+'мр1-2'!E43+мр2!E43+мр3!E43+мр4!E43+мр5!E43+'мр1-3'!E43)</f>
        <v>63867.75</v>
      </c>
      <c r="F42" s="68">
        <f>SUM(мр1!F24+'мр1-1'!F43+'мр1-2'!F43+мр2!F43+мр3!F43+мр4!F43+мр5!F43+'мр1-3'!F43)</f>
        <v>63867.75</v>
      </c>
      <c r="G42" s="81">
        <f t="shared" si="7"/>
        <v>255471</v>
      </c>
      <c r="H42" s="2">
        <f>0.62*34340.31*12</f>
        <v>255491.90639999998</v>
      </c>
      <c r="I42" s="2" t="s">
        <v>129</v>
      </c>
    </row>
    <row r="43" spans="1:20" ht="20.100000000000001" customHeight="1" x14ac:dyDescent="0.25">
      <c r="A43" s="217"/>
      <c r="B43" s="80" t="s">
        <v>23</v>
      </c>
      <c r="C43" s="68">
        <f t="shared" ref="C43:F43" si="8">$H$43*3</f>
        <v>4883.76</v>
      </c>
      <c r="D43" s="68">
        <f t="shared" si="8"/>
        <v>4883.76</v>
      </c>
      <c r="E43" s="68">
        <f t="shared" si="8"/>
        <v>4883.76</v>
      </c>
      <c r="F43" s="68">
        <f t="shared" si="8"/>
        <v>4883.76</v>
      </c>
      <c r="G43" s="81">
        <f>SUM(C43:F43)</f>
        <v>19535.04</v>
      </c>
      <c r="H43" s="2">
        <v>1627.92</v>
      </c>
      <c r="I43" s="2">
        <f>H43*14/100</f>
        <v>227.90880000000001</v>
      </c>
      <c r="J43" s="2">
        <f>H43-I43</f>
        <v>1400.0112000000001</v>
      </c>
    </row>
    <row r="44" spans="1:20" ht="20.100000000000001" customHeight="1" x14ac:dyDescent="0.25">
      <c r="A44" s="217"/>
      <c r="B44" s="80" t="s">
        <v>31</v>
      </c>
      <c r="C44" s="68">
        <v>566.51616000000001</v>
      </c>
      <c r="D44" s="68">
        <f t="shared" ref="D44:F44" si="9">D43*11.6/100</f>
        <v>566.51616000000001</v>
      </c>
      <c r="E44" s="68">
        <f t="shared" si="9"/>
        <v>566.51616000000001</v>
      </c>
      <c r="F44" s="68">
        <f t="shared" si="9"/>
        <v>566.51616000000001</v>
      </c>
      <c r="G44" s="81">
        <f t="shared" si="7"/>
        <v>2266.0646400000001</v>
      </c>
      <c r="H44" s="2">
        <v>11.6</v>
      </c>
    </row>
    <row r="45" spans="1:20" s="173" customFormat="1" ht="20.100000000000001" customHeight="1" x14ac:dyDescent="0.25">
      <c r="A45" s="217"/>
      <c r="B45" s="80" t="s">
        <v>29</v>
      </c>
      <c r="C45" s="303">
        <v>67.5</v>
      </c>
      <c r="D45" s="303">
        <v>67.5</v>
      </c>
      <c r="E45" s="303">
        <v>67.5</v>
      </c>
      <c r="F45" s="303">
        <v>67.5</v>
      </c>
      <c r="G45" s="81">
        <f t="shared" si="7"/>
        <v>270</v>
      </c>
      <c r="H45" s="173" t="s">
        <v>118</v>
      </c>
      <c r="I45" s="173" t="s">
        <v>60</v>
      </c>
    </row>
    <row r="46" spans="1:20" s="173" customFormat="1" ht="20.100000000000001" customHeight="1" x14ac:dyDescent="0.25">
      <c r="A46" s="207"/>
      <c r="B46" s="80" t="s">
        <v>30</v>
      </c>
      <c r="C46" s="68">
        <v>400</v>
      </c>
      <c r="D46" s="68">
        <v>195</v>
      </c>
      <c r="E46" s="68">
        <v>195</v>
      </c>
      <c r="F46" s="68">
        <v>400</v>
      </c>
      <c r="G46" s="81">
        <f t="shared" si="7"/>
        <v>1190</v>
      </c>
    </row>
    <row r="47" spans="1:20" ht="20.100000000000001" customHeight="1" x14ac:dyDescent="0.25">
      <c r="A47" s="214"/>
      <c r="B47" s="80" t="s">
        <v>63</v>
      </c>
      <c r="C47" s="68">
        <v>235</v>
      </c>
      <c r="D47" s="68">
        <v>235</v>
      </c>
      <c r="E47" s="68">
        <v>235</v>
      </c>
      <c r="F47" s="68">
        <v>235</v>
      </c>
      <c r="G47" s="81">
        <f t="shared" si="7"/>
        <v>940</v>
      </c>
      <c r="H47" s="215" t="s">
        <v>98</v>
      </c>
      <c r="J47" s="149" t="s">
        <v>125</v>
      </c>
    </row>
    <row r="48" spans="1:20" ht="20.100000000000001" customHeight="1" x14ac:dyDescent="0.25">
      <c r="A48" s="214"/>
      <c r="B48" s="80" t="s">
        <v>65</v>
      </c>
      <c r="C48" s="68">
        <v>0</v>
      </c>
      <c r="D48" s="68">
        <v>1925.6</v>
      </c>
      <c r="E48" s="68">
        <v>2500</v>
      </c>
      <c r="F48" s="68">
        <v>0</v>
      </c>
      <c r="G48" s="81">
        <f t="shared" si="7"/>
        <v>4425.6000000000004</v>
      </c>
      <c r="H48" s="215"/>
      <c r="P48" s="2" t="s">
        <v>126</v>
      </c>
    </row>
    <row r="49" spans="1:14" ht="20.100000000000001" customHeight="1" x14ac:dyDescent="0.25">
      <c r="A49" s="207"/>
      <c r="B49" s="80" t="s">
        <v>24</v>
      </c>
      <c r="C49" s="68">
        <v>120</v>
      </c>
      <c r="D49" s="68">
        <v>120</v>
      </c>
      <c r="E49" s="68">
        <v>120</v>
      </c>
      <c r="F49" s="68">
        <v>120</v>
      </c>
      <c r="G49" s="81">
        <f t="shared" si="7"/>
        <v>480</v>
      </c>
      <c r="H49" s="215"/>
      <c r="K49" s="43"/>
      <c r="L49" s="43"/>
    </row>
    <row r="50" spans="1:14" ht="20.100000000000001" customHeight="1" x14ac:dyDescent="0.25">
      <c r="A50" s="216"/>
      <c r="B50" s="80" t="s">
        <v>36</v>
      </c>
      <c r="C50" s="68">
        <f>SUM(C89)</f>
        <v>1701.653171881248</v>
      </c>
      <c r="D50" s="68">
        <f>SUM(D89)</f>
        <v>1739.7142607458302</v>
      </c>
      <c r="E50" s="68">
        <f>SUM(E89)</f>
        <v>1738.9697028826199</v>
      </c>
      <c r="F50" s="68">
        <f>SUM(F89)</f>
        <v>1741.5623597277272</v>
      </c>
      <c r="G50" s="81">
        <f t="shared" ref="G50:G58" si="10">SUM(C50:F50)</f>
        <v>6921.899495237426</v>
      </c>
      <c r="H50" s="1"/>
      <c r="I50" s="4"/>
      <c r="J50" s="4"/>
      <c r="K50" s="4"/>
      <c r="L50" s="4"/>
      <c r="M50" s="4"/>
      <c r="N50" s="4"/>
    </row>
    <row r="51" spans="1:14" ht="20.100000000000001" customHeight="1" x14ac:dyDescent="0.25">
      <c r="A51" s="213"/>
      <c r="B51" s="80" t="s">
        <v>250</v>
      </c>
      <c r="C51" s="68">
        <v>408.94</v>
      </c>
      <c r="D51" s="68">
        <v>613.41</v>
      </c>
      <c r="E51" s="68">
        <v>613.41</v>
      </c>
      <c r="F51" s="68">
        <v>613.41</v>
      </c>
      <c r="G51" s="81">
        <f t="shared" si="10"/>
        <v>2249.1699999999996</v>
      </c>
      <c r="H51" s="149" t="s">
        <v>264</v>
      </c>
    </row>
    <row r="52" spans="1:14" ht="41.25" customHeight="1" x14ac:dyDescent="0.25">
      <c r="A52" s="213"/>
      <c r="B52" s="80" t="s">
        <v>92</v>
      </c>
      <c r="C52" s="68">
        <v>90</v>
      </c>
      <c r="D52" s="68">
        <v>90</v>
      </c>
      <c r="E52" s="68">
        <v>90</v>
      </c>
      <c r="F52" s="68">
        <v>90</v>
      </c>
      <c r="G52" s="81">
        <f t="shared" si="10"/>
        <v>360</v>
      </c>
      <c r="H52" s="1"/>
    </row>
    <row r="53" spans="1:14" ht="41.25" customHeight="1" x14ac:dyDescent="0.25">
      <c r="A53" s="213"/>
      <c r="B53" s="80" t="s">
        <v>90</v>
      </c>
      <c r="C53" s="68">
        <v>403.02</v>
      </c>
      <c r="D53" s="68">
        <v>403.02</v>
      </c>
      <c r="E53" s="68">
        <v>403.02</v>
      </c>
      <c r="F53" s="68">
        <v>403.02</v>
      </c>
      <c r="G53" s="81">
        <f t="shared" si="10"/>
        <v>1612.08</v>
      </c>
      <c r="H53" s="2" t="s">
        <v>258</v>
      </c>
    </row>
    <row r="54" spans="1:14" s="173" customFormat="1" ht="41.25" customHeight="1" x14ac:dyDescent="0.25">
      <c r="A54" s="213"/>
      <c r="B54" s="80" t="s">
        <v>91</v>
      </c>
      <c r="C54" s="68">
        <v>36</v>
      </c>
      <c r="D54" s="68">
        <v>36</v>
      </c>
      <c r="E54" s="68">
        <v>36</v>
      </c>
      <c r="F54" s="68">
        <v>36</v>
      </c>
      <c r="G54" s="81">
        <f t="shared" ref="G54:G56" si="11">SUM(C54:F54)</f>
        <v>144</v>
      </c>
    </row>
    <row r="55" spans="1:14" s="173" customFormat="1" ht="41.25" customHeight="1" x14ac:dyDescent="0.25">
      <c r="A55" s="213"/>
      <c r="B55" s="80" t="s">
        <v>252</v>
      </c>
      <c r="C55" s="326">
        <v>2672.58</v>
      </c>
      <c r="D55" s="68">
        <v>0</v>
      </c>
      <c r="E55" s="68">
        <v>0</v>
      </c>
      <c r="F55" s="68">
        <v>3000</v>
      </c>
      <c r="G55" s="81">
        <f t="shared" si="11"/>
        <v>5672.58</v>
      </c>
      <c r="H55" s="258" t="s">
        <v>263</v>
      </c>
    </row>
    <row r="56" spans="1:14" s="173" customFormat="1" ht="41.25" customHeight="1" x14ac:dyDescent="0.25">
      <c r="A56" s="213"/>
      <c r="B56" s="80" t="s">
        <v>266</v>
      </c>
      <c r="C56" s="326">
        <v>2000</v>
      </c>
      <c r="D56" s="68">
        <v>0</v>
      </c>
      <c r="E56" s="68">
        <v>0</v>
      </c>
      <c r="F56" s="68">
        <v>2500</v>
      </c>
      <c r="G56" s="81">
        <f t="shared" si="11"/>
        <v>4500</v>
      </c>
      <c r="H56" s="258"/>
    </row>
    <row r="57" spans="1:14" ht="39" customHeight="1" x14ac:dyDescent="0.25">
      <c r="A57" s="304"/>
      <c r="B57" s="80" t="s">
        <v>44</v>
      </c>
      <c r="C57" s="68">
        <f>5013.1+135</f>
        <v>5148.1000000000004</v>
      </c>
      <c r="D57" s="68">
        <v>5013.1000000000004</v>
      </c>
      <c r="E57" s="68">
        <v>5013.1000000000004</v>
      </c>
      <c r="F57" s="68">
        <v>5013.1000000000004</v>
      </c>
      <c r="G57" s="81">
        <f t="shared" si="10"/>
        <v>20187.400000000001</v>
      </c>
      <c r="H57" s="149" t="s">
        <v>251</v>
      </c>
    </row>
    <row r="58" spans="1:14" ht="60" customHeight="1" x14ac:dyDescent="0.25">
      <c r="A58" s="305"/>
      <c r="B58" s="323" t="s">
        <v>45</v>
      </c>
      <c r="C58" s="68">
        <f>2000+185</f>
        <v>2185</v>
      </c>
      <c r="D58" s="68">
        <v>2500</v>
      </c>
      <c r="E58" s="68">
        <v>2500</v>
      </c>
      <c r="F58" s="68">
        <v>2000</v>
      </c>
      <c r="G58" s="81">
        <f t="shared" si="10"/>
        <v>9185</v>
      </c>
      <c r="H58" s="149" t="s">
        <v>265</v>
      </c>
    </row>
    <row r="59" spans="1:14" ht="20.100000000000001" customHeight="1" thickBot="1" x14ac:dyDescent="0.3">
      <c r="A59" s="306"/>
      <c r="B59" s="307" t="s">
        <v>27</v>
      </c>
      <c r="C59" s="246">
        <f>C25*5/100</f>
        <v>60</v>
      </c>
      <c r="D59" s="246">
        <f>D25*5/100</f>
        <v>60</v>
      </c>
      <c r="E59" s="246">
        <f>E25*5/100</f>
        <v>60</v>
      </c>
      <c r="F59" s="246">
        <f>F25*5/100</f>
        <v>60</v>
      </c>
      <c r="G59" s="308">
        <f>SUM(C59:F59)</f>
        <v>240</v>
      </c>
      <c r="H59" s="2" t="s">
        <v>61</v>
      </c>
    </row>
    <row r="60" spans="1:14" ht="20.100000000000001" customHeight="1" thickBot="1" x14ac:dyDescent="0.3">
      <c r="A60" s="309">
        <v>5</v>
      </c>
      <c r="B60" s="310" t="s">
        <v>102</v>
      </c>
      <c r="C60" s="311">
        <v>5647.46</v>
      </c>
      <c r="D60" s="312"/>
      <c r="E60" s="312"/>
      <c r="F60" s="312"/>
      <c r="G60" s="311">
        <v>5647.46</v>
      </c>
    </row>
    <row r="61" spans="1:14" ht="20.100000000000001" customHeight="1" thickBot="1" x14ac:dyDescent="0.3">
      <c r="A61" s="313"/>
      <c r="B61" s="310" t="s">
        <v>103</v>
      </c>
      <c r="C61" s="314">
        <v>14565.37</v>
      </c>
      <c r="D61" s="315"/>
      <c r="E61" s="315"/>
      <c r="F61" s="315"/>
      <c r="G61" s="314">
        <v>14565.37</v>
      </c>
    </row>
    <row r="62" spans="1:14" ht="20.100000000000001" customHeight="1" outlineLevel="1" thickBot="1" x14ac:dyDescent="0.3">
      <c r="A62" s="316" t="s">
        <v>37</v>
      </c>
      <c r="B62" s="324"/>
      <c r="C62" s="317">
        <f>C30+C35+C39+C41+C60+C61</f>
        <v>161634.25701545269</v>
      </c>
      <c r="D62" s="317">
        <f>D30+D35+D39+D41</f>
        <v>132359.64291201942</v>
      </c>
      <c r="E62" s="317">
        <f>E30+E35+E39+E41</f>
        <v>134128.85068899667</v>
      </c>
      <c r="F62" s="317">
        <f>F30+F35+F39+F41</f>
        <v>138744.16874637941</v>
      </c>
      <c r="G62" s="318">
        <f>G30+G35+G39+G41+G60+G61</f>
        <v>566866.91936284804</v>
      </c>
    </row>
    <row r="63" spans="1:14" ht="26.1" customHeight="1" outlineLevel="1" x14ac:dyDescent="0.25">
      <c r="A63" s="319"/>
      <c r="B63" s="325"/>
      <c r="C63" s="320">
        <f>C28-C62</f>
        <v>-18234.491232681263</v>
      </c>
      <c r="D63" s="320">
        <f>D28-D62</f>
        <v>7268.567044854135</v>
      </c>
      <c r="E63" s="320">
        <f>E28-E62</f>
        <v>5455.4066195173655</v>
      </c>
      <c r="F63" s="320">
        <f>F28-F62</f>
        <v>993.13796267224825</v>
      </c>
      <c r="G63" s="320">
        <f>G28-G62</f>
        <v>-4517.3796056373976</v>
      </c>
    </row>
    <row r="64" spans="1:14" ht="26.1" customHeight="1" outlineLevel="1" x14ac:dyDescent="0.25">
      <c r="A64" s="319"/>
      <c r="B64" s="325"/>
      <c r="C64" s="320"/>
      <c r="D64" s="320"/>
      <c r="E64" s="320"/>
      <c r="F64" s="320"/>
      <c r="G64" s="321">
        <f>G63/H1/12</f>
        <v>-1.0969828114876524E-2</v>
      </c>
    </row>
    <row r="65" spans="1:12" ht="37.5" x14ac:dyDescent="0.25">
      <c r="A65" s="69"/>
      <c r="B65" s="80" t="s">
        <v>42</v>
      </c>
      <c r="C65" s="260" t="s">
        <v>117</v>
      </c>
      <c r="D65" s="261"/>
      <c r="E65" s="261"/>
      <c r="F65" s="261"/>
      <c r="G65" s="262"/>
      <c r="H65" s="2">
        <f>SUM(0.28*(H3+H4))*12</f>
        <v>1821.1200000000003</v>
      </c>
    </row>
    <row r="66" spans="1:12" ht="39.75" customHeight="1" x14ac:dyDescent="0.25">
      <c r="A66" s="69"/>
      <c r="B66" s="80" t="s">
        <v>215</v>
      </c>
      <c r="C66" s="260" t="s">
        <v>214</v>
      </c>
      <c r="D66" s="261"/>
      <c r="E66" s="261"/>
      <c r="F66" s="261"/>
      <c r="G66" s="262"/>
      <c r="H66" s="2">
        <v>389.19</v>
      </c>
    </row>
    <row r="67" spans="1:12" x14ac:dyDescent="0.25">
      <c r="A67" s="69"/>
      <c r="B67" s="80" t="s">
        <v>13</v>
      </c>
      <c r="C67" s="260" t="s">
        <v>48</v>
      </c>
      <c r="D67" s="261"/>
      <c r="E67" s="261"/>
      <c r="F67" s="261"/>
      <c r="G67" s="262"/>
    </row>
    <row r="68" spans="1:12" x14ac:dyDescent="0.25">
      <c r="A68" s="69"/>
      <c r="B68" s="49" t="s">
        <v>43</v>
      </c>
      <c r="C68" s="263" t="s">
        <v>116</v>
      </c>
      <c r="D68" s="264"/>
      <c r="E68" s="264"/>
      <c r="F68" s="264"/>
      <c r="G68" s="264"/>
      <c r="H68" s="265"/>
      <c r="I68" s="265"/>
      <c r="J68" s="265"/>
      <c r="K68" s="265"/>
      <c r="L68" s="265"/>
    </row>
    <row r="69" spans="1:12" ht="19.5" thickBot="1" x14ac:dyDescent="0.3">
      <c r="A69" s="69"/>
      <c r="B69" s="82"/>
      <c r="C69" s="151"/>
      <c r="D69" s="151"/>
      <c r="E69" s="151"/>
      <c r="F69" s="151"/>
      <c r="G69" s="151"/>
      <c r="H69" s="151"/>
      <c r="I69" s="151"/>
      <c r="J69" s="151"/>
      <c r="K69" s="151"/>
      <c r="L69" s="151"/>
    </row>
    <row r="70" spans="1:12" ht="19.5" thickBot="1" x14ac:dyDescent="0.3">
      <c r="A70" s="69"/>
      <c r="B70" s="153" t="s">
        <v>102</v>
      </c>
      <c r="C70" s="266">
        <v>-5647.46</v>
      </c>
      <c r="D70" s="267"/>
      <c r="E70" s="267"/>
      <c r="F70" s="268"/>
      <c r="G70" s="151"/>
      <c r="H70" s="151"/>
      <c r="I70" s="151"/>
      <c r="J70" s="151"/>
      <c r="K70" s="151"/>
      <c r="L70" s="151"/>
    </row>
    <row r="71" spans="1:12" ht="19.5" thickBot="1" x14ac:dyDescent="0.3">
      <c r="A71" s="69"/>
      <c r="B71" s="153" t="s">
        <v>103</v>
      </c>
      <c r="C71" s="269">
        <v>-16345.87</v>
      </c>
      <c r="D71" s="270"/>
      <c r="E71" s="270"/>
      <c r="F71" s="271"/>
      <c r="G71" s="151"/>
      <c r="H71" s="151"/>
      <c r="I71" s="151"/>
      <c r="J71" s="151"/>
      <c r="K71" s="151"/>
      <c r="L71" s="151"/>
    </row>
    <row r="72" spans="1:12" ht="19.5" thickBot="1" x14ac:dyDescent="0.3">
      <c r="A72" s="69"/>
      <c r="B72" s="170" t="s">
        <v>106</v>
      </c>
      <c r="C72" s="171"/>
      <c r="D72" s="161"/>
      <c r="E72" s="161"/>
      <c r="F72" s="162"/>
      <c r="G72" s="160"/>
      <c r="H72" s="160"/>
      <c r="I72" s="160"/>
      <c r="J72" s="160"/>
      <c r="K72" s="160"/>
      <c r="L72" s="160"/>
    </row>
    <row r="73" spans="1:12" x14ac:dyDescent="0.25">
      <c r="A73" s="69"/>
      <c r="B73" s="82"/>
      <c r="C73" s="84"/>
      <c r="D73" s="84"/>
      <c r="E73" s="84"/>
      <c r="F73" s="84"/>
      <c r="G73" s="84"/>
      <c r="H73" s="84"/>
      <c r="I73" s="84"/>
      <c r="J73" s="84"/>
      <c r="K73" s="84"/>
      <c r="L73" s="84"/>
    </row>
    <row r="74" spans="1:12" x14ac:dyDescent="0.25">
      <c r="A74" s="69"/>
      <c r="B74" s="85" t="s">
        <v>47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</row>
    <row r="75" spans="1:12" x14ac:dyDescent="0.25">
      <c r="A75" s="69"/>
      <c r="B75" s="82" t="s">
        <v>100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</row>
    <row r="76" spans="1:12" x14ac:dyDescent="0.25">
      <c r="A76" s="69"/>
      <c r="B76" s="82" t="s">
        <v>101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</row>
    <row r="77" spans="1:12" ht="19.5" thickBot="1" x14ac:dyDescent="0.3">
      <c r="A77" s="69"/>
      <c r="B77" s="82"/>
      <c r="C77" s="86">
        <v>2020</v>
      </c>
      <c r="D77" s="86">
        <v>2021</v>
      </c>
      <c r="E77" s="86">
        <v>2022</v>
      </c>
      <c r="F77" s="84"/>
      <c r="G77" s="84"/>
      <c r="H77" s="84"/>
      <c r="I77" s="84"/>
      <c r="J77" s="84"/>
      <c r="K77" s="84"/>
      <c r="L77" s="84"/>
    </row>
    <row r="78" spans="1:12" ht="19.5" customHeight="1" x14ac:dyDescent="0.25">
      <c r="A78" s="69"/>
      <c r="B78" s="184" t="s">
        <v>46</v>
      </c>
      <c r="C78" s="185">
        <f>C79+C80</f>
        <v>0.73</v>
      </c>
      <c r="D78" s="185">
        <f>D79+D80</f>
        <v>0.73</v>
      </c>
      <c r="E78" s="186">
        <f>E79+E80</f>
        <v>0.92999999999999994</v>
      </c>
      <c r="F78" s="84"/>
      <c r="G78" s="84"/>
      <c r="H78" s="84"/>
      <c r="I78" s="84"/>
      <c r="J78" s="84"/>
      <c r="K78" s="84"/>
      <c r="L78" s="84"/>
    </row>
    <row r="79" spans="1:12" ht="19.5" customHeight="1" x14ac:dyDescent="0.25">
      <c r="A79" s="69"/>
      <c r="B79" s="187" t="s">
        <v>21</v>
      </c>
      <c r="C79" s="83">
        <v>0.62</v>
      </c>
      <c r="D79" s="83">
        <v>0.62</v>
      </c>
      <c r="E79" s="188">
        <v>0.62</v>
      </c>
      <c r="F79" s="84"/>
      <c r="G79" s="84"/>
      <c r="H79" s="84"/>
      <c r="I79" s="84"/>
      <c r="J79" s="84"/>
      <c r="K79" s="84"/>
      <c r="L79" s="84"/>
    </row>
    <row r="80" spans="1:12" ht="19.5" customHeight="1" thickBot="1" x14ac:dyDescent="0.3">
      <c r="A80" s="69"/>
      <c r="B80" s="189" t="s">
        <v>49</v>
      </c>
      <c r="C80" s="190">
        <v>0.11</v>
      </c>
      <c r="D80" s="190">
        <v>0.11</v>
      </c>
      <c r="E80" s="191">
        <v>0.31</v>
      </c>
      <c r="F80" s="84"/>
      <c r="G80" s="84"/>
      <c r="H80" s="84"/>
      <c r="I80" s="84"/>
      <c r="J80" s="84"/>
      <c r="K80" s="84"/>
      <c r="L80" s="84"/>
    </row>
    <row r="81" spans="1:12" ht="19.5" customHeight="1" x14ac:dyDescent="0.25">
      <c r="A81" s="69"/>
      <c r="B81" s="88"/>
      <c r="C81" s="87"/>
      <c r="D81" s="87"/>
      <c r="E81" s="87"/>
      <c r="F81" s="87"/>
      <c r="G81" s="87"/>
      <c r="H81" s="87"/>
      <c r="I81" s="87"/>
      <c r="J81" s="87"/>
      <c r="K81" s="87"/>
      <c r="L81" s="87"/>
    </row>
    <row r="82" spans="1:12" ht="19.5" customHeight="1" x14ac:dyDescent="0.25">
      <c r="A82" s="69"/>
      <c r="B82" s="259" t="s">
        <v>50</v>
      </c>
      <c r="C82" s="259"/>
      <c r="D82" s="259"/>
      <c r="E82" s="259"/>
      <c r="F82" s="259"/>
      <c r="G82" s="259"/>
      <c r="H82" s="87"/>
      <c r="I82" s="87"/>
      <c r="J82" s="87"/>
      <c r="K82" s="87"/>
      <c r="L82" s="87"/>
    </row>
    <row r="83" spans="1:12" ht="39.75" customHeight="1" x14ac:dyDescent="0.25">
      <c r="A83" s="69"/>
      <c r="B83" s="82"/>
      <c r="C83" s="84"/>
      <c r="D83" s="84"/>
      <c r="E83" s="84"/>
      <c r="F83" s="84"/>
      <c r="G83" s="84"/>
      <c r="H83" s="84"/>
      <c r="I83" s="84"/>
      <c r="J83" s="84"/>
      <c r="K83" s="84"/>
      <c r="L83" s="84"/>
    </row>
    <row r="84" spans="1:12" x14ac:dyDescent="0.25">
      <c r="A84" s="69"/>
      <c r="C84" s="67">
        <f>(C15+C16)*1.2/100</f>
        <v>52.554506400000001</v>
      </c>
      <c r="D84" s="67">
        <f>D14*1.2/100</f>
        <v>79.516316693682796</v>
      </c>
      <c r="E84" s="67">
        <f>E14*1.2/100</f>
        <v>78.988884913368551</v>
      </c>
      <c r="F84" s="67">
        <f>F14*1.2/100</f>
        <v>80.825477719819943</v>
      </c>
    </row>
    <row r="85" spans="1:12" x14ac:dyDescent="0.25">
      <c r="A85" s="70"/>
      <c r="C85" s="67">
        <f>(C15+C16-C84)*0.5/100</f>
        <v>21.634938468000001</v>
      </c>
      <c r="D85" s="67">
        <f>(D14-D84)*0.5/100</f>
        <v>32.734217038899416</v>
      </c>
      <c r="E85" s="67">
        <f>(E14-E84)*0.5/100</f>
        <v>32.517090956003386</v>
      </c>
      <c r="F85" s="67">
        <f>(F14-F84)*0.5/100</f>
        <v>33.273154994659208</v>
      </c>
    </row>
    <row r="86" spans="1:12" x14ac:dyDescent="0.25">
      <c r="C86" s="3">
        <f>C9*1.2/100</f>
        <v>366.59852678879992</v>
      </c>
      <c r="D86" s="3">
        <f>D9*1.2/100</f>
        <v>366.59852678879992</v>
      </c>
      <c r="E86" s="3">
        <f>E9*1.2/100</f>
        <v>366.59852678879992</v>
      </c>
      <c r="F86" s="3">
        <f>F9*1.2/100</f>
        <v>366.59852678879992</v>
      </c>
    </row>
    <row r="87" spans="1:12" x14ac:dyDescent="0.25">
      <c r="C87" s="3">
        <f>(C9-C86)*4/100</f>
        <v>1207.331148224448</v>
      </c>
      <c r="D87" s="3">
        <f>(D9-D86)*4/100</f>
        <v>1207.331148224448</v>
      </c>
      <c r="E87" s="3">
        <f>(E9-E86)*4/100</f>
        <v>1207.331148224448</v>
      </c>
      <c r="F87" s="3">
        <f>(F9-F86)*4/100</f>
        <v>1207.331148224448</v>
      </c>
    </row>
    <row r="88" spans="1:12" x14ac:dyDescent="0.25">
      <c r="C88" s="3">
        <f>(H1*0.13)*1.2/100</f>
        <v>53.534051999999996</v>
      </c>
      <c r="D88" s="3">
        <f>C88</f>
        <v>53.534051999999996</v>
      </c>
      <c r="E88" s="3">
        <f>C88</f>
        <v>53.534051999999996</v>
      </c>
      <c r="F88" s="3">
        <f>C88</f>
        <v>53.534051999999996</v>
      </c>
    </row>
    <row r="89" spans="1:12" x14ac:dyDescent="0.25">
      <c r="C89" s="3">
        <f>SUM(C84:C88)</f>
        <v>1701.653171881248</v>
      </c>
      <c r="D89" s="3">
        <f t="shared" ref="D89:F89" si="12">SUM(D84:D88)</f>
        <v>1739.7142607458302</v>
      </c>
      <c r="E89" s="3">
        <f t="shared" si="12"/>
        <v>1738.9697028826199</v>
      </c>
      <c r="F89" s="3">
        <f t="shared" si="12"/>
        <v>1741.5623597277272</v>
      </c>
    </row>
  </sheetData>
  <dataConsolidate/>
  <mergeCells count="22">
    <mergeCell ref="A1:C1"/>
    <mergeCell ref="A2:G2"/>
    <mergeCell ref="A3:G3"/>
    <mergeCell ref="G5:G6"/>
    <mergeCell ref="E5:E6"/>
    <mergeCell ref="F5:F6"/>
    <mergeCell ref="A62:B62"/>
    <mergeCell ref="A8:B8"/>
    <mergeCell ref="D5:D6"/>
    <mergeCell ref="A4:A6"/>
    <mergeCell ref="B4:B6"/>
    <mergeCell ref="C5:C6"/>
    <mergeCell ref="A29:B29"/>
    <mergeCell ref="A28:B28"/>
    <mergeCell ref="B82:G82"/>
    <mergeCell ref="C67:G67"/>
    <mergeCell ref="C68:G68"/>
    <mergeCell ref="H68:L68"/>
    <mergeCell ref="C65:G65"/>
    <mergeCell ref="C66:G66"/>
    <mergeCell ref="C70:F70"/>
    <mergeCell ref="C71:F71"/>
  </mergeCells>
  <phoneticPr fontId="28" type="noConversion"/>
  <pageMargins left="0.70866141732283472" right="0.70866141732283472" top="0.74803149606299213" bottom="0.74803149606299213" header="0.31496062992125984" footer="0.31496062992125984"/>
  <pageSetup paperSize="9" scale="33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21B9-2C03-4642-8ED8-530FF51B5211}">
  <sheetPr>
    <tabColor rgb="FFFFC000"/>
    <pageSetUpPr fitToPage="1"/>
  </sheetPr>
  <dimension ref="A1:AI61"/>
  <sheetViews>
    <sheetView showGridLines="0" view="pageBreakPreview" topLeftCell="A16" zoomScale="60" zoomScaleNormal="70" workbookViewId="0">
      <selection activeCell="Y47" sqref="H1:AA47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30.57031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83"/>
      <c r="B1" s="283"/>
      <c r="C1" s="283"/>
      <c r="D1" s="128"/>
      <c r="E1" s="128"/>
      <c r="F1" s="128"/>
      <c r="G1" s="128"/>
      <c r="I1" s="99" t="s">
        <v>121</v>
      </c>
      <c r="J1" s="98">
        <v>101.2</v>
      </c>
      <c r="K1" s="4" t="s">
        <v>120</v>
      </c>
      <c r="N1" s="2">
        <v>101.2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28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29"/>
    </row>
    <row r="4" spans="1:26" x14ac:dyDescent="0.25">
      <c r="A4" s="276" t="s">
        <v>0</v>
      </c>
      <c r="B4" s="278" t="s">
        <v>1</v>
      </c>
      <c r="C4" s="132"/>
      <c r="D4" s="132"/>
      <c r="E4" s="132"/>
      <c r="F4" s="132"/>
      <c r="G4" s="14"/>
      <c r="I4" s="4" t="s">
        <v>55</v>
      </c>
      <c r="J4" s="4">
        <v>0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105</v>
      </c>
      <c r="J5" s="4">
        <v>8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30">
        <v>1</v>
      </c>
      <c r="B9" s="21" t="s">
        <v>15</v>
      </c>
      <c r="C9" s="22">
        <f>SUM(C10:C15)</f>
        <v>0</v>
      </c>
      <c r="D9" s="22">
        <f>SUM(D10:D15)</f>
        <v>0</v>
      </c>
      <c r="E9" s="22">
        <f>SUM(E10:E15)</f>
        <v>0</v>
      </c>
      <c r="F9" s="22">
        <f>SUM(F10:F15)</f>
        <v>0</v>
      </c>
      <c r="G9" s="8">
        <f>SUM(G10:G15)</f>
        <v>0</v>
      </c>
      <c r="I9" s="120" t="s">
        <v>73</v>
      </c>
      <c r="J9" s="120" t="s">
        <v>74</v>
      </c>
      <c r="K9" s="136" t="s">
        <v>75</v>
      </c>
      <c r="L9" s="136" t="s">
        <v>76</v>
      </c>
      <c r="M9" s="136" t="s">
        <v>54</v>
      </c>
      <c r="N9" s="120"/>
      <c r="O9" s="120" t="s">
        <v>58</v>
      </c>
      <c r="P9" s="120" t="s">
        <v>74</v>
      </c>
      <c r="Q9" s="120" t="s">
        <v>53</v>
      </c>
      <c r="R9" s="120" t="s">
        <v>76</v>
      </c>
      <c r="S9" s="136" t="s">
        <v>54</v>
      </c>
      <c r="T9" s="120"/>
      <c r="U9" s="120" t="s">
        <v>58</v>
      </c>
      <c r="V9" s="120" t="s">
        <v>74</v>
      </c>
      <c r="W9" s="120" t="s">
        <v>53</v>
      </c>
      <c r="X9" s="120" t="s">
        <v>76</v>
      </c>
      <c r="Y9" s="136" t="s">
        <v>54</v>
      </c>
    </row>
    <row r="10" spans="1:26" ht="20.100000000000001" customHeight="1" x14ac:dyDescent="0.3">
      <c r="A10" s="131"/>
      <c r="B10" s="10" t="s">
        <v>3</v>
      </c>
      <c r="C10" s="12"/>
      <c r="D10" s="12"/>
      <c r="E10" s="12"/>
      <c r="F10" s="12"/>
      <c r="G10" s="76">
        <f>SUM(C10:F10)</f>
        <v>0</v>
      </c>
      <c r="H10" s="137" t="s">
        <v>77</v>
      </c>
      <c r="I10" s="138">
        <f>SUM(M10*K10)</f>
        <v>13.378640000000001</v>
      </c>
      <c r="J10" s="138"/>
      <c r="K10" s="138">
        <v>0.13220000000000001</v>
      </c>
      <c r="L10" s="138"/>
      <c r="M10" s="139">
        <f>SUM(J1)</f>
        <v>101.2</v>
      </c>
      <c r="N10" s="140"/>
      <c r="O10" s="138">
        <f>SUM(S10*Q10)</f>
        <v>12.528559999999999</v>
      </c>
      <c r="P10" s="138" t="s">
        <v>78</v>
      </c>
      <c r="Q10" s="138">
        <v>0.12379999999999999</v>
      </c>
      <c r="R10" s="138"/>
      <c r="S10" s="139">
        <f>SUM(J1)</f>
        <v>101.2</v>
      </c>
      <c r="T10" s="140"/>
      <c r="U10" s="138">
        <f>SUM(Y10*W10)</f>
        <v>12.528559999999999</v>
      </c>
      <c r="V10" s="138" t="s">
        <v>78</v>
      </c>
      <c r="W10" s="138">
        <v>0.12379999999999999</v>
      </c>
      <c r="X10" s="138"/>
      <c r="Y10" s="139">
        <f>SUM(J1)</f>
        <v>101.2</v>
      </c>
      <c r="Z10" s="291"/>
    </row>
    <row r="11" spans="1:26" ht="20.100000000000001" customHeight="1" x14ac:dyDescent="0.3">
      <c r="A11" s="131"/>
      <c r="B11" s="10" t="s">
        <v>3</v>
      </c>
      <c r="C11" s="12"/>
      <c r="D11" s="12"/>
      <c r="E11" s="12"/>
      <c r="F11" s="12"/>
      <c r="G11" s="76">
        <f t="shared" ref="G11:G15" si="0">SUM(C11:F11)</f>
        <v>0</v>
      </c>
      <c r="H11" s="137" t="s">
        <v>79</v>
      </c>
      <c r="I11" s="138"/>
      <c r="J11" s="138"/>
      <c r="K11" s="138"/>
      <c r="L11" s="138">
        <v>0.1419</v>
      </c>
      <c r="M11" s="138"/>
      <c r="N11" s="140"/>
      <c r="O11" s="138"/>
      <c r="P11" s="138"/>
      <c r="Q11" s="138"/>
      <c r="R11" s="138">
        <v>0.13350000000000001</v>
      </c>
      <c r="S11" s="138"/>
      <c r="T11" s="140"/>
      <c r="U11" s="138"/>
      <c r="V11" s="138"/>
      <c r="W11" s="138"/>
      <c r="X11" s="138">
        <v>0.13350000000000001</v>
      </c>
      <c r="Y11" s="138"/>
      <c r="Z11" s="291"/>
    </row>
    <row r="12" spans="1:26" ht="20.100000000000001" customHeight="1" x14ac:dyDescent="0.3">
      <c r="A12" s="131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38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31"/>
      <c r="B13" s="10" t="s">
        <v>10</v>
      </c>
      <c r="C13" s="12"/>
      <c r="D13" s="12"/>
      <c r="E13" s="12"/>
      <c r="F13" s="12"/>
      <c r="G13" s="76">
        <f>SUM(C13:F13)</f>
        <v>0</v>
      </c>
      <c r="H13" s="137" t="s">
        <v>80</v>
      </c>
      <c r="I13" s="138">
        <f>SUM(J5*1.5*K13)</f>
        <v>8.879999999999999</v>
      </c>
      <c r="J13" s="138" t="s">
        <v>78</v>
      </c>
      <c r="K13" s="138">
        <v>0.74</v>
      </c>
      <c r="L13" s="138"/>
      <c r="M13" s="138"/>
      <c r="N13" s="141"/>
      <c r="O13" s="138">
        <f>SUM(J5*1.5*Q13)</f>
        <v>8.52</v>
      </c>
      <c r="P13" s="138" t="s">
        <v>78</v>
      </c>
      <c r="Q13" s="138">
        <v>0.71</v>
      </c>
      <c r="R13" s="138"/>
      <c r="S13" s="138"/>
      <c r="T13" s="141"/>
      <c r="U13" s="138">
        <f>SUM(W13*Y13)</f>
        <v>4.1188400000000005</v>
      </c>
      <c r="V13" s="138" t="s">
        <v>78</v>
      </c>
      <c r="W13" s="138">
        <v>4.07E-2</v>
      </c>
      <c r="X13" s="138"/>
      <c r="Y13" s="139">
        <f>SUM(J1)</f>
        <v>101.2</v>
      </c>
      <c r="Z13" s="3"/>
    </row>
    <row r="14" spans="1:26" ht="20.100000000000001" customHeight="1" outlineLevel="1" x14ac:dyDescent="0.3">
      <c r="A14" s="24"/>
      <c r="B14" s="10" t="s">
        <v>11</v>
      </c>
      <c r="C14" s="12"/>
      <c r="D14" s="12"/>
      <c r="E14" s="12"/>
      <c r="F14" s="12"/>
      <c r="G14" s="76">
        <f t="shared" si="0"/>
        <v>0</v>
      </c>
      <c r="H14" s="137" t="s">
        <v>11</v>
      </c>
      <c r="I14" s="138">
        <f>SUM((K14+L14/2))*J5</f>
        <v>18.920000000000002</v>
      </c>
      <c r="J14" s="138" t="s">
        <v>78</v>
      </c>
      <c r="K14" s="138">
        <v>1.5</v>
      </c>
      <c r="L14" s="138">
        <v>1.73</v>
      </c>
      <c r="M14" s="138"/>
      <c r="N14" s="141"/>
      <c r="O14" s="138">
        <f>SUM((Q14+R14))/2*J5</f>
        <v>12.36</v>
      </c>
      <c r="P14" s="138" t="s">
        <v>78</v>
      </c>
      <c r="Q14" s="138">
        <v>1.43</v>
      </c>
      <c r="R14" s="138">
        <v>1.66</v>
      </c>
      <c r="S14" s="138"/>
      <c r="T14" s="141"/>
      <c r="U14" s="138">
        <f>SUM((W14+X14))/2*Y14</f>
        <v>6.3907800000000003</v>
      </c>
      <c r="V14" s="138" t="s">
        <v>78</v>
      </c>
      <c r="W14" s="138">
        <v>5.8400000000000001E-2</v>
      </c>
      <c r="X14" s="138">
        <v>6.7900000000000002E-2</v>
      </c>
      <c r="Y14" s="138">
        <f>SUM(J1)</f>
        <v>101.2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/>
      <c r="D15" s="9"/>
      <c r="E15" s="9"/>
      <c r="F15" s="9"/>
      <c r="G15" s="76">
        <f t="shared" si="0"/>
        <v>0</v>
      </c>
      <c r="H15" s="137" t="s">
        <v>81</v>
      </c>
      <c r="I15" s="138">
        <f>SUM(J15*((K15+L15))/2)*M15</f>
        <v>19.078751999999998</v>
      </c>
      <c r="J15" s="138">
        <v>0.24</v>
      </c>
      <c r="K15" s="138">
        <v>9.2583000000000002</v>
      </c>
      <c r="L15" s="138">
        <v>10.615399999999999</v>
      </c>
      <c r="M15" s="138">
        <f>SUM(J5)</f>
        <v>8</v>
      </c>
      <c r="N15" s="141"/>
      <c r="O15" s="138">
        <f>SUM(P15*((Q15+R15)/2)*S15)</f>
        <v>18.471071999999999</v>
      </c>
      <c r="P15" s="138">
        <v>0.24</v>
      </c>
      <c r="Q15" s="138">
        <v>8.9418000000000006</v>
      </c>
      <c r="R15" s="138">
        <v>10.2989</v>
      </c>
      <c r="S15" s="138">
        <f>SUM(J5)</f>
        <v>8</v>
      </c>
      <c r="T15" s="141"/>
      <c r="U15" s="138">
        <f>SUM(V15*((W15+X15)/2)*Y15)</f>
        <v>18.471071999999999</v>
      </c>
      <c r="V15" s="138">
        <v>0.24</v>
      </c>
      <c r="W15" s="138">
        <v>8.9418000000000006</v>
      </c>
      <c r="X15" s="138">
        <v>10.2989</v>
      </c>
      <c r="Y15" s="138">
        <f>SUM(J5)</f>
        <v>8</v>
      </c>
    </row>
    <row r="16" spans="1:26" ht="20.100000000000001" customHeight="1" x14ac:dyDescent="0.3">
      <c r="A16" s="130">
        <v>2</v>
      </c>
      <c r="B16" s="28" t="s">
        <v>16</v>
      </c>
      <c r="C16" s="35">
        <f>SUM(C17:C19)</f>
        <v>0</v>
      </c>
      <c r="D16" s="35">
        <f t="shared" ref="D16:F16" si="1">SUM(D17:D19)</f>
        <v>0</v>
      </c>
      <c r="E16" s="35">
        <f t="shared" si="1"/>
        <v>0</v>
      </c>
      <c r="F16" s="35">
        <f t="shared" si="1"/>
        <v>0</v>
      </c>
      <c r="G16" s="35">
        <f>SUM(G17:G19)</f>
        <v>0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/>
      <c r="D17" s="12"/>
      <c r="E17" s="12"/>
      <c r="F17" s="12"/>
      <c r="G17" s="76">
        <f t="shared" ref="G17:G18" si="2">SUM(C17:F17)</f>
        <v>0</v>
      </c>
      <c r="H17" s="142" t="s">
        <v>82</v>
      </c>
      <c r="I17" s="138">
        <f>SUM(K17*M17)*1.5</f>
        <v>8.52</v>
      </c>
      <c r="J17" s="138" t="s">
        <v>83</v>
      </c>
      <c r="K17" s="138">
        <v>0.71</v>
      </c>
      <c r="L17" s="138"/>
      <c r="M17" s="138">
        <f>SUM(J5)</f>
        <v>8</v>
      </c>
      <c r="N17" s="141"/>
      <c r="O17" s="138">
        <f>SUM(Q17*S17*1.5)</f>
        <v>8.52</v>
      </c>
      <c r="P17" s="138" t="s">
        <v>83</v>
      </c>
      <c r="Q17" s="138">
        <v>0.71</v>
      </c>
      <c r="R17" s="138"/>
      <c r="S17" s="138">
        <f>SUM(J5)</f>
        <v>8</v>
      </c>
      <c r="T17" s="141"/>
      <c r="U17" s="138">
        <f>SUM(W17*Y17)</f>
        <v>2.0037600000000002</v>
      </c>
      <c r="V17" s="138" t="s">
        <v>83</v>
      </c>
      <c r="W17" s="138">
        <v>1.9800000000000002E-2</v>
      </c>
      <c r="X17" s="138"/>
      <c r="Y17" s="138">
        <f>SUM(J1)</f>
        <v>101.2</v>
      </c>
    </row>
    <row r="18" spans="1:35" ht="40.5" customHeight="1" outlineLevel="1" x14ac:dyDescent="0.3">
      <c r="A18" s="29"/>
      <c r="B18" s="10" t="s">
        <v>14</v>
      </c>
      <c r="C18" s="12"/>
      <c r="D18" s="12"/>
      <c r="E18" s="12"/>
      <c r="F18" s="12"/>
      <c r="G18" s="76">
        <f t="shared" si="2"/>
        <v>0</v>
      </c>
      <c r="H18" s="142" t="s">
        <v>84</v>
      </c>
      <c r="I18" s="138">
        <f>SUM(K18*M18)*1.5</f>
        <v>9.48</v>
      </c>
      <c r="J18" s="138" t="s">
        <v>83</v>
      </c>
      <c r="K18" s="138">
        <v>0.79</v>
      </c>
      <c r="L18" s="138"/>
      <c r="M18" s="138">
        <f>SUM(J5)</f>
        <v>8</v>
      </c>
      <c r="N18" s="141"/>
      <c r="O18" s="138">
        <f>SUM(Q18*S18)*1.5</f>
        <v>9.48</v>
      </c>
      <c r="P18" s="138" t="s">
        <v>83</v>
      </c>
      <c r="Q18" s="138">
        <v>0.79</v>
      </c>
      <c r="R18" s="138"/>
      <c r="S18" s="138">
        <f>SUM(J5)</f>
        <v>8</v>
      </c>
      <c r="T18" s="141"/>
      <c r="U18" s="138">
        <f>SUM(W18*Y18)*1.5</f>
        <v>9.48</v>
      </c>
      <c r="V18" s="138" t="s">
        <v>83</v>
      </c>
      <c r="W18" s="138">
        <v>0.79</v>
      </c>
      <c r="X18" s="138"/>
      <c r="Y18" s="138">
        <f>SUM(J5)</f>
        <v>8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30">
        <v>3</v>
      </c>
      <c r="B20" s="28" t="s">
        <v>17</v>
      </c>
      <c r="C20" s="22">
        <f>SUM(C21:C22)</f>
        <v>0</v>
      </c>
      <c r="D20" s="22">
        <f t="shared" ref="D20:F20" si="3">SUM(D21:D22)</f>
        <v>0</v>
      </c>
      <c r="E20" s="22">
        <f t="shared" si="3"/>
        <v>0</v>
      </c>
      <c r="F20" s="22">
        <f t="shared" si="3"/>
        <v>0</v>
      </c>
      <c r="G20" s="8">
        <f>SUM(G21:G22)</f>
        <v>0</v>
      </c>
      <c r="H20" s="137"/>
      <c r="I20" s="120" t="s">
        <v>57</v>
      </c>
      <c r="J20" s="120"/>
      <c r="K20" s="120" t="s">
        <v>53</v>
      </c>
      <c r="L20" s="120"/>
      <c r="M20" s="120" t="s">
        <v>58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</row>
    <row r="21" spans="1:35" ht="20.100000000000001" customHeight="1" outlineLevel="1" x14ac:dyDescent="0.3">
      <c r="A21" s="29"/>
      <c r="B21" s="10" t="s">
        <v>40</v>
      </c>
      <c r="C21" s="11"/>
      <c r="D21" s="11"/>
      <c r="E21" s="11"/>
      <c r="F21" s="11"/>
      <c r="G21" s="77">
        <f>SUM(C21:F21)</f>
        <v>0</v>
      </c>
      <c r="H21" s="137" t="s">
        <v>85</v>
      </c>
      <c r="I21" s="106">
        <f>SUM(J5)</f>
        <v>8</v>
      </c>
      <c r="J21" s="107"/>
      <c r="K21" s="107"/>
      <c r="L21" s="107"/>
      <c r="M21" s="108">
        <f>I21*K21</f>
        <v>0</v>
      </c>
      <c r="N21" s="120"/>
      <c r="O21" s="106"/>
      <c r="P21" s="107"/>
      <c r="Q21" s="107"/>
      <c r="R21" s="107"/>
      <c r="S21" s="108"/>
      <c r="T21" s="120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/>
      <c r="D22" s="26"/>
      <c r="E22" s="26"/>
      <c r="F22" s="26"/>
      <c r="G22" s="78">
        <f>SUM(C22:F22)</f>
        <v>0</v>
      </c>
      <c r="H22" s="142" t="s">
        <v>86</v>
      </c>
      <c r="I22" s="109">
        <f>SUM(J5)</f>
        <v>8</v>
      </c>
      <c r="J22" s="110"/>
      <c r="K22" s="110"/>
      <c r="L22" s="110"/>
      <c r="M22" s="111">
        <f>I22*K22</f>
        <v>0</v>
      </c>
      <c r="N22" s="120"/>
      <c r="O22" s="109"/>
      <c r="P22" s="110"/>
      <c r="Q22" s="110"/>
      <c r="R22" s="110"/>
      <c r="S22" s="111"/>
      <c r="T22" s="120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106.26</v>
      </c>
      <c r="D23" s="22">
        <f t="shared" ref="D23:F23" si="4">SUM(D24:D25)</f>
        <v>106.26</v>
      </c>
      <c r="E23" s="22">
        <f t="shared" si="4"/>
        <v>106.26</v>
      </c>
      <c r="F23" s="22">
        <f t="shared" si="4"/>
        <v>106.26</v>
      </c>
      <c r="G23" s="8">
        <f>SUM(G24:G25)</f>
        <v>425.04</v>
      </c>
      <c r="H23" s="143"/>
      <c r="I23" s="120" t="s">
        <v>59</v>
      </c>
      <c r="J23" s="120"/>
      <c r="K23" s="120" t="s">
        <v>53</v>
      </c>
      <c r="L23" s="120"/>
      <c r="M23" s="120" t="s">
        <v>58</v>
      </c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</row>
    <row r="24" spans="1:35" ht="20.100000000000001" customHeight="1" outlineLevel="1" thickBot="1" x14ac:dyDescent="0.3">
      <c r="A24" s="32"/>
      <c r="B24" s="10" t="s">
        <v>21</v>
      </c>
      <c r="C24" s="9">
        <f>SUM(J1*K24*3)</f>
        <v>0</v>
      </c>
      <c r="D24" s="9">
        <f>SUM(J1*K24*3)</f>
        <v>0</v>
      </c>
      <c r="E24" s="9">
        <f>SUM(J1*K24*3)</f>
        <v>0</v>
      </c>
      <c r="F24" s="9">
        <f>SUM(J1*K24*3)</f>
        <v>0</v>
      </c>
      <c r="G24" s="77">
        <f t="shared" ref="G24:G29" si="5">SUM(C24:F24)</f>
        <v>0</v>
      </c>
      <c r="H24" s="144" t="s">
        <v>87</v>
      </c>
      <c r="I24" s="100">
        <f>SUM(N1)</f>
        <v>101.2</v>
      </c>
      <c r="J24" s="101"/>
      <c r="K24" s="107">
        <v>0</v>
      </c>
      <c r="L24" s="107"/>
      <c r="M24" s="102">
        <f>SUM(I24*K24)</f>
        <v>0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SUM(M25*3)</f>
        <v>106.26</v>
      </c>
      <c r="D25" s="26">
        <f>SUM(M25*3)</f>
        <v>106.26</v>
      </c>
      <c r="E25" s="26">
        <f>SUM(M25*3)</f>
        <v>106.26</v>
      </c>
      <c r="F25" s="26">
        <f>SUM(M25*3)</f>
        <v>106.26</v>
      </c>
      <c r="G25" s="78">
        <f t="shared" si="5"/>
        <v>425.04</v>
      </c>
      <c r="H25" s="144" t="s">
        <v>88</v>
      </c>
      <c r="I25" s="103">
        <f>SUM(J1)</f>
        <v>101.2</v>
      </c>
      <c r="J25" s="105"/>
      <c r="K25" s="110">
        <v>0.35</v>
      </c>
      <c r="L25" s="110"/>
      <c r="M25" s="102">
        <f>SUM(I25*K25)</f>
        <v>35.42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si="5"/>
        <v>0</v>
      </c>
      <c r="I26" s="106" t="s">
        <v>57</v>
      </c>
      <c r="J26" s="164"/>
      <c r="K26" s="164"/>
      <c r="L26" s="164"/>
      <c r="M26" s="165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5"/>
        <v>0</v>
      </c>
      <c r="H27" s="145"/>
      <c r="I27" s="168">
        <f>SUM(J5)</f>
        <v>8</v>
      </c>
      <c r="J27" s="166"/>
      <c r="K27" s="169">
        <v>0.28000000000000003</v>
      </c>
      <c r="L27" s="166"/>
      <c r="M27" s="167">
        <f>SUM(I27*K27)</f>
        <v>2.2400000000000002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5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106.26</v>
      </c>
      <c r="D29" s="52">
        <f>D9+D16+D20+D23+D26</f>
        <v>106.26</v>
      </c>
      <c r="E29" s="52">
        <f>E9+E16+E20+E23+E26</f>
        <v>106.26</v>
      </c>
      <c r="F29" s="52">
        <f>F9+F16+F20+F23+F26</f>
        <v>106.26</v>
      </c>
      <c r="G29" s="53">
        <f t="shared" si="5"/>
        <v>425.04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30">
        <v>1</v>
      </c>
      <c r="B31" s="21" t="s">
        <v>15</v>
      </c>
      <c r="C31" s="64">
        <f>SUM(C32:C35)</f>
        <v>382.33653737004119</v>
      </c>
      <c r="D31" s="64">
        <f>SUM(D32:D35)</f>
        <v>382.33653737004119</v>
      </c>
      <c r="E31" s="64">
        <f>SUM(E32:E35)</f>
        <v>382.33653737004119</v>
      </c>
      <c r="F31" s="64">
        <f>SUM(F32:F35)</f>
        <v>382.33653737004119</v>
      </c>
      <c r="G31" s="64">
        <f>SUM(G32:G35)</f>
        <v>1529.3461494801647</v>
      </c>
    </row>
    <row r="32" spans="1:35" ht="20.100000000000001" customHeight="1" x14ac:dyDescent="0.25">
      <c r="A32" s="46"/>
      <c r="B32" s="10" t="s">
        <v>3</v>
      </c>
      <c r="C32" s="42">
        <f>C10</f>
        <v>0</v>
      </c>
      <c r="D32" s="42">
        <f>D10</f>
        <v>0</v>
      </c>
      <c r="E32" s="42">
        <f>E10</f>
        <v>0</v>
      </c>
      <c r="F32" s="42">
        <f>F10</f>
        <v>0</v>
      </c>
      <c r="G32" s="73">
        <f>SUM(C32:F32)</f>
        <v>0</v>
      </c>
    </row>
    <row r="33" spans="1:7" ht="20.100000000000001" customHeight="1" x14ac:dyDescent="0.25">
      <c r="A33" s="46"/>
      <c r="B33" s="10" t="s">
        <v>10</v>
      </c>
      <c r="C33" s="42">
        <f t="shared" ref="C33:F33" si="7">C13</f>
        <v>0</v>
      </c>
      <c r="D33" s="42">
        <f t="shared" si="7"/>
        <v>0</v>
      </c>
      <c r="E33" s="42">
        <f t="shared" si="7"/>
        <v>0</v>
      </c>
      <c r="F33" s="42">
        <f t="shared" si="7"/>
        <v>0</v>
      </c>
      <c r="G33" s="73">
        <f>SUM(C33:F33)</f>
        <v>0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30">
        <v>2</v>
      </c>
      <c r="B36" s="28" t="s">
        <v>16</v>
      </c>
      <c r="C36" s="64">
        <f>SUM(C37:C38)</f>
        <v>0</v>
      </c>
      <c r="D36" s="64">
        <f t="shared" ref="D36:G36" si="8">SUM(D37:D38)</f>
        <v>0</v>
      </c>
      <c r="E36" s="64">
        <f t="shared" si="8"/>
        <v>0</v>
      </c>
      <c r="F36" s="64">
        <f t="shared" si="8"/>
        <v>0</v>
      </c>
      <c r="G36" s="64">
        <f t="shared" si="8"/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30" t="s">
        <v>28</v>
      </c>
      <c r="B39" s="28" t="s">
        <v>17</v>
      </c>
      <c r="C39" s="64">
        <f>SUM(C40:C41)</f>
        <v>0</v>
      </c>
      <c r="D39" s="64">
        <f t="shared" ref="D39:G39" si="9">SUM(D40:D41)</f>
        <v>0</v>
      </c>
      <c r="E39" s="64">
        <f t="shared" si="9"/>
        <v>0</v>
      </c>
      <c r="F39" s="64">
        <f t="shared" si="9"/>
        <v>0</v>
      </c>
      <c r="G39" s="64">
        <f t="shared" si="9"/>
        <v>0</v>
      </c>
    </row>
    <row r="40" spans="1:7" ht="20.100000000000001" customHeight="1" x14ac:dyDescent="0.25">
      <c r="A40" s="46"/>
      <c r="B40" s="10" t="s">
        <v>40</v>
      </c>
      <c r="C40" s="42">
        <f t="shared" ref="C40:F41" si="10">C21</f>
        <v>0</v>
      </c>
      <c r="D40" s="42">
        <f t="shared" si="10"/>
        <v>0</v>
      </c>
      <c r="E40" s="42">
        <f t="shared" si="10"/>
        <v>0</v>
      </c>
      <c r="F40" s="42">
        <f t="shared" si="10"/>
        <v>0</v>
      </c>
      <c r="G40" s="73">
        <f>SUM(C40:F40)</f>
        <v>0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0"/>
        <v>0</v>
      </c>
      <c r="D41" s="57">
        <f t="shared" si="10"/>
        <v>0</v>
      </c>
      <c r="E41" s="57">
        <f t="shared" si="10"/>
        <v>0</v>
      </c>
      <c r="F41" s="57">
        <f t="shared" si="10"/>
        <v>0</v>
      </c>
      <c r="G41" s="73">
        <f>SUM(C41:F41)</f>
        <v>0</v>
      </c>
    </row>
    <row r="42" spans="1:7" ht="20.100000000000001" customHeight="1" x14ac:dyDescent="0.25">
      <c r="A42" s="130" t="s">
        <v>9</v>
      </c>
      <c r="B42" s="28" t="s">
        <v>33</v>
      </c>
      <c r="C42" s="64">
        <f>SUM(C43:C58)</f>
        <v>0</v>
      </c>
      <c r="D42" s="64">
        <f>SUM(D43:D58)</f>
        <v>0</v>
      </c>
      <c r="E42" s="64">
        <f>SUM(E43:E58)</f>
        <v>0</v>
      </c>
      <c r="F42" s="64">
        <f>SUM(F43:F58)</f>
        <v>0</v>
      </c>
      <c r="G42" s="66">
        <f t="shared" ref="G42:G57" si="11">SUM(C42:F42)</f>
        <v>0</v>
      </c>
    </row>
    <row r="43" spans="1:7" ht="20.100000000000001" customHeight="1" x14ac:dyDescent="0.25">
      <c r="A43" s="58"/>
      <c r="B43" s="49" t="s">
        <v>38</v>
      </c>
      <c r="C43" s="42">
        <f>C24</f>
        <v>0</v>
      </c>
      <c r="D43" s="42">
        <f>D24</f>
        <v>0</v>
      </c>
      <c r="E43" s="42">
        <f>E24</f>
        <v>0</v>
      </c>
      <c r="F43" s="42">
        <f>F24</f>
        <v>0</v>
      </c>
      <c r="G43" s="73">
        <f t="shared" si="11"/>
        <v>0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1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1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1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1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1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1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1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si="11"/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1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1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1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1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1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382.33653737004119</v>
      </c>
      <c r="D59" s="38">
        <f>D31+D36+D39+D42</f>
        <v>382.33653737004119</v>
      </c>
      <c r="E59" s="38">
        <f>E31+E36+E39+E42</f>
        <v>382.33653737004119</v>
      </c>
      <c r="F59" s="38">
        <f>F31+F36+F39+F42</f>
        <v>382.33653737004119</v>
      </c>
      <c r="G59" s="39">
        <f>G31+G36+G39+G42</f>
        <v>1529.3461494801647</v>
      </c>
    </row>
    <row r="60" spans="1:14" ht="26.1" customHeight="1" outlineLevel="1" x14ac:dyDescent="0.25">
      <c r="A60" s="133"/>
      <c r="B60" s="71"/>
      <c r="C60" s="72">
        <f>C29-C59</f>
        <v>-276.07653737004119</v>
      </c>
      <c r="D60" s="72">
        <f>D29-D59</f>
        <v>-276.07653737004119</v>
      </c>
      <c r="E60" s="72">
        <f>E29-E59</f>
        <v>-276.07653737004119</v>
      </c>
      <c r="F60" s="72">
        <f>F29-F59</f>
        <v>-276.07653737004119</v>
      </c>
      <c r="G60" s="72">
        <f>G29-G59</f>
        <v>-1104.3061494801648</v>
      </c>
    </row>
    <row r="61" spans="1:14" ht="26.1" customHeight="1" outlineLevel="1" x14ac:dyDescent="0.25">
      <c r="A61" s="133"/>
      <c r="B61" s="71"/>
      <c r="C61" s="72"/>
      <c r="D61" s="72"/>
      <c r="E61" s="72"/>
      <c r="F61" s="72"/>
      <c r="G61" s="79" t="e">
        <f>G60/#REF!/12</f>
        <v>#REF!</v>
      </c>
    </row>
  </sheetData>
  <dataConsolidate/>
  <mergeCells count="19">
    <mergeCell ref="A29:B29"/>
    <mergeCell ref="A30:B30"/>
    <mergeCell ref="A59:B59"/>
    <mergeCell ref="A8:B8"/>
    <mergeCell ref="I8:M8"/>
    <mergeCell ref="O8:S8"/>
    <mergeCell ref="U8:Y8"/>
    <mergeCell ref="Z10:Z12"/>
    <mergeCell ref="H28:AA2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F6C4-91AA-405D-8A2E-B5CE888AB7F3}">
  <sheetPr>
    <tabColor rgb="FFFFC000"/>
  </sheetPr>
  <dimension ref="A1:J88"/>
  <sheetViews>
    <sheetView topLeftCell="A58" workbookViewId="0">
      <selection activeCell="G65" sqref="G65"/>
    </sheetView>
  </sheetViews>
  <sheetFormatPr defaultRowHeight="15" x14ac:dyDescent="0.25"/>
  <sheetData>
    <row r="1" spans="1:10" ht="60" x14ac:dyDescent="0.25">
      <c r="A1" s="192" t="s">
        <v>131</v>
      </c>
      <c r="B1" s="192" t="s">
        <v>132</v>
      </c>
      <c r="C1" s="192" t="s">
        <v>133</v>
      </c>
      <c r="D1" s="192" t="s">
        <v>134</v>
      </c>
      <c r="E1" s="192" t="s">
        <v>134</v>
      </c>
      <c r="F1" s="192" t="s">
        <v>135</v>
      </c>
      <c r="G1" s="192" t="s">
        <v>136</v>
      </c>
      <c r="H1" s="192" t="s">
        <v>137</v>
      </c>
      <c r="I1" s="193"/>
      <c r="J1" s="193"/>
    </row>
    <row r="2" spans="1:10" x14ac:dyDescent="0.25">
      <c r="A2" s="294" t="s">
        <v>138</v>
      </c>
      <c r="B2" s="294"/>
      <c r="C2" s="294"/>
      <c r="D2" s="294"/>
      <c r="E2" s="294"/>
      <c r="F2" s="294"/>
      <c r="G2" s="294"/>
      <c r="H2" s="294"/>
      <c r="I2" s="193"/>
      <c r="J2" s="193"/>
    </row>
    <row r="3" spans="1:10" ht="12" customHeight="1" x14ac:dyDescent="0.25">
      <c r="A3" s="192" t="s">
        <v>139</v>
      </c>
      <c r="B3" s="192" t="s">
        <v>140</v>
      </c>
      <c r="C3" s="192">
        <v>7</v>
      </c>
      <c r="D3" s="192">
        <v>13.2</v>
      </c>
      <c r="E3" s="192">
        <f>D3*C3</f>
        <v>92.399999999999991</v>
      </c>
      <c r="F3" s="192"/>
      <c r="G3" s="192"/>
      <c r="H3" s="192">
        <f>G3+E3</f>
        <v>92.399999999999991</v>
      </c>
      <c r="I3" s="193"/>
      <c r="J3" s="193"/>
    </row>
    <row r="4" spans="1:10" ht="12" customHeight="1" x14ac:dyDescent="0.25">
      <c r="A4" s="192" t="s">
        <v>141</v>
      </c>
      <c r="B4" s="192" t="s">
        <v>142</v>
      </c>
      <c r="C4" s="192">
        <f>5</f>
        <v>5</v>
      </c>
      <c r="D4" s="192">
        <f>13.2</f>
        <v>13.2</v>
      </c>
      <c r="E4" s="192">
        <f t="shared" ref="E4:E28" si="0">D4*C4</f>
        <v>66</v>
      </c>
      <c r="F4" s="192"/>
      <c r="G4" s="192"/>
      <c r="H4" s="192">
        <f>G4+E4</f>
        <v>66</v>
      </c>
      <c r="I4" s="193"/>
      <c r="J4" s="193"/>
    </row>
    <row r="5" spans="1:10" ht="12" customHeight="1" x14ac:dyDescent="0.25">
      <c r="A5" s="192" t="s">
        <v>143</v>
      </c>
      <c r="B5" s="192" t="s">
        <v>144</v>
      </c>
      <c r="C5" s="192">
        <f>10</f>
        <v>10</v>
      </c>
      <c r="D5" s="192">
        <f>13.2</f>
        <v>13.2</v>
      </c>
      <c r="E5" s="192">
        <f t="shared" si="0"/>
        <v>132</v>
      </c>
      <c r="F5" s="192"/>
      <c r="G5" s="192"/>
      <c r="H5" s="192">
        <f>G5+E5</f>
        <v>132</v>
      </c>
      <c r="I5" s="193"/>
      <c r="J5" s="193"/>
    </row>
    <row r="6" spans="1:10" ht="12" customHeight="1" x14ac:dyDescent="0.25">
      <c r="A6" s="192" t="s">
        <v>145</v>
      </c>
      <c r="B6" s="192" t="s">
        <v>146</v>
      </c>
      <c r="C6" s="192">
        <v>2</v>
      </c>
      <c r="D6" s="192">
        <v>150</v>
      </c>
      <c r="E6" s="192">
        <f t="shared" si="0"/>
        <v>300</v>
      </c>
      <c r="F6" s="192"/>
      <c r="G6" s="192"/>
      <c r="H6" s="192">
        <f t="shared" ref="H6:H11" si="1">G6+E6</f>
        <v>300</v>
      </c>
      <c r="I6" s="193"/>
      <c r="J6" s="193"/>
    </row>
    <row r="7" spans="1:10" ht="12" customHeight="1" x14ac:dyDescent="0.25">
      <c r="A7" s="192" t="s">
        <v>145</v>
      </c>
      <c r="B7" s="192" t="s">
        <v>147</v>
      </c>
      <c r="C7" s="192">
        <f>3</f>
        <v>3</v>
      </c>
      <c r="D7" s="192">
        <f>150</f>
        <v>150</v>
      </c>
      <c r="E7" s="192">
        <f t="shared" si="0"/>
        <v>450</v>
      </c>
      <c r="F7" s="192"/>
      <c r="G7" s="192"/>
      <c r="H7" s="192">
        <f t="shared" si="1"/>
        <v>450</v>
      </c>
      <c r="I7" s="193"/>
      <c r="J7" s="193"/>
    </row>
    <row r="8" spans="1:10" ht="12" customHeight="1" x14ac:dyDescent="0.25">
      <c r="A8" s="192" t="s">
        <v>148</v>
      </c>
      <c r="B8" s="192" t="s">
        <v>149</v>
      </c>
      <c r="C8" s="192">
        <f>10</f>
        <v>10</v>
      </c>
      <c r="D8" s="192">
        <f>20</f>
        <v>20</v>
      </c>
      <c r="E8" s="192">
        <f t="shared" si="0"/>
        <v>200</v>
      </c>
      <c r="F8" s="192"/>
      <c r="G8" s="192"/>
      <c r="H8" s="192">
        <f t="shared" si="1"/>
        <v>200</v>
      </c>
      <c r="I8" s="193"/>
      <c r="J8" s="193"/>
    </row>
    <row r="9" spans="1:10" ht="12" customHeight="1" x14ac:dyDescent="0.25">
      <c r="A9" s="192" t="s">
        <v>150</v>
      </c>
      <c r="B9" s="192" t="s">
        <v>151</v>
      </c>
      <c r="C9" s="192">
        <f>2</f>
        <v>2</v>
      </c>
      <c r="D9" s="192">
        <f>100</f>
        <v>100</v>
      </c>
      <c r="E9" s="192">
        <f t="shared" si="0"/>
        <v>200</v>
      </c>
      <c r="F9" s="192"/>
      <c r="G9" s="192"/>
      <c r="H9" s="192">
        <f t="shared" si="1"/>
        <v>200</v>
      </c>
      <c r="I9" s="193"/>
      <c r="J9" s="193"/>
    </row>
    <row r="10" spans="1:10" ht="12" customHeight="1" x14ac:dyDescent="0.25">
      <c r="A10" s="192" t="s">
        <v>152</v>
      </c>
      <c r="B10" s="192" t="s">
        <v>153</v>
      </c>
      <c r="C10" s="192">
        <f>3</f>
        <v>3</v>
      </c>
      <c r="D10" s="192">
        <f>150</f>
        <v>150</v>
      </c>
      <c r="E10" s="192">
        <f t="shared" si="0"/>
        <v>450</v>
      </c>
      <c r="F10" s="192"/>
      <c r="G10" s="192"/>
      <c r="H10" s="192">
        <f t="shared" si="1"/>
        <v>450</v>
      </c>
      <c r="I10" s="193"/>
      <c r="J10" s="193"/>
    </row>
    <row r="11" spans="1:10" ht="12" customHeight="1" x14ac:dyDescent="0.25">
      <c r="A11" s="192" t="s">
        <v>154</v>
      </c>
      <c r="B11" s="192" t="s">
        <v>155</v>
      </c>
      <c r="C11" s="192">
        <f>1</f>
        <v>1</v>
      </c>
      <c r="D11" s="192">
        <f>20</f>
        <v>20</v>
      </c>
      <c r="E11" s="192">
        <f t="shared" si="0"/>
        <v>20</v>
      </c>
      <c r="F11" s="192"/>
      <c r="G11" s="192"/>
      <c r="H11" s="192">
        <f t="shared" si="1"/>
        <v>20</v>
      </c>
      <c r="I11" s="193"/>
      <c r="J11" s="193"/>
    </row>
    <row r="12" spans="1:10" ht="12" customHeight="1" x14ac:dyDescent="0.25">
      <c r="A12" s="192" t="s">
        <v>156</v>
      </c>
      <c r="B12" s="192" t="s">
        <v>157</v>
      </c>
      <c r="C12" s="192">
        <f>5</f>
        <v>5</v>
      </c>
      <c r="D12" s="192">
        <f>7</f>
        <v>7</v>
      </c>
      <c r="E12" s="192">
        <f t="shared" si="0"/>
        <v>35</v>
      </c>
      <c r="F12" s="192"/>
      <c r="G12" s="192"/>
      <c r="H12" s="192">
        <f>G12+E12</f>
        <v>35</v>
      </c>
      <c r="I12" s="193"/>
      <c r="J12" s="193"/>
    </row>
    <row r="13" spans="1:10" ht="12" customHeight="1" x14ac:dyDescent="0.25">
      <c r="A13" s="192" t="s">
        <v>158</v>
      </c>
      <c r="B13" s="192" t="s">
        <v>159</v>
      </c>
      <c r="C13" s="192">
        <v>1</v>
      </c>
      <c r="D13" s="192">
        <f>38</f>
        <v>38</v>
      </c>
      <c r="E13" s="192">
        <f t="shared" si="0"/>
        <v>38</v>
      </c>
      <c r="F13" s="192"/>
      <c r="G13" s="192"/>
      <c r="H13" s="192">
        <f>G13+E13</f>
        <v>38</v>
      </c>
      <c r="I13" s="193"/>
      <c r="J13" s="193"/>
    </row>
    <row r="14" spans="1:10" ht="12" customHeight="1" x14ac:dyDescent="0.25">
      <c r="A14" s="192" t="s">
        <v>160</v>
      </c>
      <c r="B14" s="192" t="s">
        <v>161</v>
      </c>
      <c r="C14" s="192">
        <f>8</f>
        <v>8</v>
      </c>
      <c r="D14" s="192">
        <f>10</f>
        <v>10</v>
      </c>
      <c r="E14" s="192">
        <f t="shared" si="0"/>
        <v>80</v>
      </c>
      <c r="F14" s="192"/>
      <c r="G14" s="192"/>
      <c r="H14" s="192">
        <f>G14+E14</f>
        <v>80</v>
      </c>
      <c r="I14" s="193"/>
      <c r="J14" s="193"/>
    </row>
    <row r="15" spans="1:10" ht="12" customHeight="1" x14ac:dyDescent="0.25">
      <c r="A15" s="192" t="s">
        <v>162</v>
      </c>
      <c r="B15" s="192" t="s">
        <v>163</v>
      </c>
      <c r="C15" s="192">
        <f>8</f>
        <v>8</v>
      </c>
      <c r="D15" s="192">
        <f>2</f>
        <v>2</v>
      </c>
      <c r="E15" s="192">
        <f t="shared" si="0"/>
        <v>16</v>
      </c>
      <c r="F15" s="192"/>
      <c r="G15" s="192"/>
      <c r="H15" s="192">
        <f t="shared" ref="H15:H28" si="2">G15+E15</f>
        <v>16</v>
      </c>
      <c r="I15" s="193"/>
      <c r="J15" s="193"/>
    </row>
    <row r="16" spans="1:10" ht="12" customHeight="1" x14ac:dyDescent="0.25">
      <c r="A16" s="192" t="s">
        <v>164</v>
      </c>
      <c r="B16" s="192" t="s">
        <v>165</v>
      </c>
      <c r="C16" s="192">
        <f>5</f>
        <v>5</v>
      </c>
      <c r="D16" s="192">
        <f>2</f>
        <v>2</v>
      </c>
      <c r="E16" s="192">
        <f t="shared" si="0"/>
        <v>10</v>
      </c>
      <c r="F16" s="192"/>
      <c r="G16" s="192"/>
      <c r="H16" s="192">
        <f t="shared" si="2"/>
        <v>10</v>
      </c>
      <c r="I16" s="193"/>
      <c r="J16" s="193"/>
    </row>
    <row r="17" spans="1:10" ht="12" customHeight="1" x14ac:dyDescent="0.25">
      <c r="A17" s="192" t="s">
        <v>166</v>
      </c>
      <c r="B17" s="192" t="s">
        <v>167</v>
      </c>
      <c r="C17" s="192">
        <v>1</v>
      </c>
      <c r="D17" s="192">
        <f>8</f>
        <v>8</v>
      </c>
      <c r="E17" s="192">
        <f t="shared" si="0"/>
        <v>8</v>
      </c>
      <c r="F17" s="192"/>
      <c r="G17" s="192"/>
      <c r="H17" s="192">
        <f t="shared" si="2"/>
        <v>8</v>
      </c>
      <c r="I17" s="193"/>
      <c r="J17" s="193"/>
    </row>
    <row r="18" spans="1:10" ht="12" customHeight="1" x14ac:dyDescent="0.25">
      <c r="A18" s="192" t="s">
        <v>168</v>
      </c>
      <c r="B18" s="192" t="s">
        <v>169</v>
      </c>
      <c r="C18" s="192">
        <f>6</f>
        <v>6</v>
      </c>
      <c r="D18" s="192">
        <f>3</f>
        <v>3</v>
      </c>
      <c r="E18" s="192">
        <f t="shared" si="0"/>
        <v>18</v>
      </c>
      <c r="F18" s="192"/>
      <c r="G18" s="192"/>
      <c r="H18" s="192">
        <f t="shared" si="2"/>
        <v>18</v>
      </c>
      <c r="I18" s="193"/>
      <c r="J18" s="193"/>
    </row>
    <row r="19" spans="1:10" ht="12" customHeight="1" x14ac:dyDescent="0.25">
      <c r="A19" s="192" t="s">
        <v>168</v>
      </c>
      <c r="B19" s="192" t="s">
        <v>170</v>
      </c>
      <c r="C19" s="192">
        <f>8</f>
        <v>8</v>
      </c>
      <c r="D19" s="192">
        <f>5</f>
        <v>5</v>
      </c>
      <c r="E19" s="192">
        <f t="shared" si="0"/>
        <v>40</v>
      </c>
      <c r="F19" s="192"/>
      <c r="G19" s="192"/>
      <c r="H19" s="192">
        <f t="shared" si="2"/>
        <v>40</v>
      </c>
      <c r="I19" s="193"/>
      <c r="J19" s="193"/>
    </row>
    <row r="20" spans="1:10" ht="12" customHeight="1" x14ac:dyDescent="0.25">
      <c r="A20" s="192" t="s">
        <v>171</v>
      </c>
      <c r="B20" s="192" t="s">
        <v>172</v>
      </c>
      <c r="C20" s="192">
        <v>1</v>
      </c>
      <c r="D20" s="192">
        <f>30</f>
        <v>30</v>
      </c>
      <c r="E20" s="192">
        <f t="shared" si="0"/>
        <v>30</v>
      </c>
      <c r="F20" s="192"/>
      <c r="G20" s="192"/>
      <c r="H20" s="192">
        <f t="shared" si="2"/>
        <v>30</v>
      </c>
      <c r="I20" s="193"/>
      <c r="J20" s="193"/>
    </row>
    <row r="21" spans="1:10" ht="12" customHeight="1" x14ac:dyDescent="0.25">
      <c r="A21" s="192" t="s">
        <v>168</v>
      </c>
      <c r="B21" s="192" t="s">
        <v>173</v>
      </c>
      <c r="C21" s="192">
        <f>4</f>
        <v>4</v>
      </c>
      <c r="D21" s="192">
        <f>3</f>
        <v>3</v>
      </c>
      <c r="E21" s="192">
        <f t="shared" si="0"/>
        <v>12</v>
      </c>
      <c r="F21" s="192"/>
      <c r="G21" s="192"/>
      <c r="H21" s="192">
        <f t="shared" si="2"/>
        <v>12</v>
      </c>
      <c r="I21" s="193"/>
      <c r="J21" s="193"/>
    </row>
    <row r="22" spans="1:10" ht="12" customHeight="1" x14ac:dyDescent="0.25">
      <c r="A22" s="192" t="s">
        <v>168</v>
      </c>
      <c r="B22" s="192" t="s">
        <v>174</v>
      </c>
      <c r="C22" s="192">
        <f>4</f>
        <v>4</v>
      </c>
      <c r="D22" s="192">
        <f>4</f>
        <v>4</v>
      </c>
      <c r="E22" s="192">
        <f t="shared" si="0"/>
        <v>16</v>
      </c>
      <c r="F22" s="192"/>
      <c r="G22" s="192"/>
      <c r="H22" s="192">
        <f t="shared" si="2"/>
        <v>16</v>
      </c>
      <c r="I22" s="193"/>
      <c r="J22" s="193"/>
    </row>
    <row r="23" spans="1:10" ht="12" customHeight="1" x14ac:dyDescent="0.25">
      <c r="A23" s="192" t="s">
        <v>175</v>
      </c>
      <c r="B23" s="192" t="s">
        <v>176</v>
      </c>
      <c r="C23" s="192">
        <f>6</f>
        <v>6</v>
      </c>
      <c r="D23" s="192">
        <f>140</f>
        <v>140</v>
      </c>
      <c r="E23" s="192">
        <f t="shared" si="0"/>
        <v>840</v>
      </c>
      <c r="F23" s="192"/>
      <c r="G23" s="192"/>
      <c r="H23" s="192">
        <f t="shared" si="2"/>
        <v>840</v>
      </c>
      <c r="I23" s="193"/>
      <c r="J23" s="193"/>
    </row>
    <row r="24" spans="1:10" ht="12" customHeight="1" x14ac:dyDescent="0.25">
      <c r="A24" s="295" t="s">
        <v>177</v>
      </c>
      <c r="B24" s="192" t="s">
        <v>178</v>
      </c>
      <c r="C24" s="192">
        <f>8</f>
        <v>8</v>
      </c>
      <c r="D24" s="192">
        <f>13</f>
        <v>13</v>
      </c>
      <c r="E24" s="192">
        <f t="shared" si="0"/>
        <v>104</v>
      </c>
      <c r="F24" s="192"/>
      <c r="G24" s="192"/>
      <c r="H24" s="192">
        <f t="shared" si="2"/>
        <v>104</v>
      </c>
      <c r="I24" s="193"/>
      <c r="J24" s="193"/>
    </row>
    <row r="25" spans="1:10" ht="12" customHeight="1" x14ac:dyDescent="0.25">
      <c r="A25" s="296"/>
      <c r="B25" s="192" t="s">
        <v>179</v>
      </c>
      <c r="C25" s="192">
        <f>4</f>
        <v>4</v>
      </c>
      <c r="D25" s="192">
        <f>13</f>
        <v>13</v>
      </c>
      <c r="E25" s="192">
        <f t="shared" si="0"/>
        <v>52</v>
      </c>
      <c r="F25" s="192"/>
      <c r="G25" s="192"/>
      <c r="H25" s="192">
        <f t="shared" si="2"/>
        <v>52</v>
      </c>
      <c r="I25" s="193"/>
      <c r="J25" s="193"/>
    </row>
    <row r="26" spans="1:10" ht="12" customHeight="1" x14ac:dyDescent="0.25">
      <c r="A26" s="297"/>
      <c r="B26" s="192" t="s">
        <v>180</v>
      </c>
      <c r="C26" s="192">
        <f>2</f>
        <v>2</v>
      </c>
      <c r="D26" s="192">
        <f>5</f>
        <v>5</v>
      </c>
      <c r="E26" s="192">
        <f t="shared" si="0"/>
        <v>10</v>
      </c>
      <c r="F26" s="192"/>
      <c r="G26" s="192"/>
      <c r="H26" s="192">
        <f t="shared" si="2"/>
        <v>10</v>
      </c>
      <c r="I26" s="193"/>
      <c r="J26" s="193"/>
    </row>
    <row r="27" spans="1:10" ht="12" customHeight="1" x14ac:dyDescent="0.25">
      <c r="A27" s="194" t="s">
        <v>181</v>
      </c>
      <c r="B27" s="192" t="s">
        <v>182</v>
      </c>
      <c r="C27" s="192">
        <f>4</f>
        <v>4</v>
      </c>
      <c r="D27" s="192">
        <f>30</f>
        <v>30</v>
      </c>
      <c r="E27" s="192">
        <f t="shared" si="0"/>
        <v>120</v>
      </c>
      <c r="F27" s="192"/>
      <c r="G27" s="192"/>
      <c r="H27" s="192">
        <f t="shared" si="2"/>
        <v>120</v>
      </c>
      <c r="I27" s="193"/>
      <c r="J27" s="193"/>
    </row>
    <row r="28" spans="1:10" ht="12" customHeight="1" x14ac:dyDescent="0.25">
      <c r="A28" s="192" t="s">
        <v>183</v>
      </c>
      <c r="B28" s="192" t="s">
        <v>184</v>
      </c>
      <c r="C28" s="192">
        <f>2</f>
        <v>2</v>
      </c>
      <c r="D28" s="192">
        <f>20</f>
        <v>20</v>
      </c>
      <c r="E28" s="192">
        <f t="shared" si="0"/>
        <v>40</v>
      </c>
      <c r="F28" s="192"/>
      <c r="G28" s="192"/>
      <c r="H28" s="192">
        <f t="shared" si="2"/>
        <v>40</v>
      </c>
      <c r="I28" s="193"/>
      <c r="J28" s="193"/>
    </row>
    <row r="29" spans="1:10" ht="12" customHeight="1" thickBot="1" x14ac:dyDescent="0.3">
      <c r="A29" s="195"/>
      <c r="B29" s="195"/>
      <c r="C29" s="195"/>
      <c r="D29" s="195"/>
      <c r="E29" s="196">
        <f>SUM(E3:E28)</f>
        <v>3379.4</v>
      </c>
      <c r="F29" s="196">
        <f>SUM(F3:F28)</f>
        <v>0</v>
      </c>
      <c r="G29" s="196">
        <f>SUM(G3:G28)</f>
        <v>0</v>
      </c>
      <c r="H29" s="196">
        <f>SUM(H3:H28)</f>
        <v>3379.4</v>
      </c>
      <c r="I29" s="193"/>
      <c r="J29" s="193"/>
    </row>
    <row r="30" spans="1:10" ht="15.75" thickBot="1" x14ac:dyDescent="0.3">
      <c r="A30" s="298" t="s">
        <v>185</v>
      </c>
      <c r="B30" s="299"/>
      <c r="C30" s="299"/>
      <c r="D30" s="299"/>
      <c r="E30" s="299"/>
      <c r="F30" s="299"/>
      <c r="G30" s="299"/>
      <c r="H30" s="300"/>
      <c r="I30" s="301" t="s">
        <v>186</v>
      </c>
      <c r="J30" s="302"/>
    </row>
    <row r="31" spans="1:10" ht="30" x14ac:dyDescent="0.25">
      <c r="A31" s="197"/>
      <c r="B31" s="198" t="s">
        <v>187</v>
      </c>
      <c r="C31" s="199">
        <f>1</f>
        <v>1</v>
      </c>
      <c r="D31" s="194">
        <f>1500</f>
        <v>1500</v>
      </c>
      <c r="E31" s="194">
        <f t="shared" ref="E31:E56" si="3">D31*C31</f>
        <v>1500</v>
      </c>
      <c r="F31" s="194"/>
      <c r="G31" s="194"/>
      <c r="H31" s="194">
        <f t="shared" ref="H31:H56" si="4">G31+E31</f>
        <v>1500</v>
      </c>
      <c r="I31" s="193">
        <v>20</v>
      </c>
      <c r="J31" s="193">
        <f>H31*I31/100</f>
        <v>300</v>
      </c>
    </row>
    <row r="32" spans="1:10" ht="45" x14ac:dyDescent="0.25">
      <c r="A32" s="200"/>
      <c r="B32" s="201" t="s">
        <v>188</v>
      </c>
      <c r="C32" s="202">
        <v>320</v>
      </c>
      <c r="D32" s="192">
        <f>2.5</f>
        <v>2.5</v>
      </c>
      <c r="E32" s="192">
        <f t="shared" si="3"/>
        <v>800</v>
      </c>
      <c r="F32" s="192"/>
      <c r="G32" s="192"/>
      <c r="H32" s="192">
        <f t="shared" si="4"/>
        <v>800</v>
      </c>
      <c r="I32" s="193">
        <f>100</f>
        <v>100</v>
      </c>
      <c r="J32" s="193">
        <f t="shared" ref="J32:J56" si="5">H32*I32/100</f>
        <v>800</v>
      </c>
    </row>
    <row r="33" spans="1:10" ht="90" x14ac:dyDescent="0.25">
      <c r="A33" s="200"/>
      <c r="B33" s="201" t="s">
        <v>189</v>
      </c>
      <c r="C33" s="202">
        <f>7*2</f>
        <v>14</v>
      </c>
      <c r="D33" s="192">
        <f>500</f>
        <v>500</v>
      </c>
      <c r="E33" s="192">
        <f t="shared" si="3"/>
        <v>7000</v>
      </c>
      <c r="F33" s="192"/>
      <c r="G33" s="192"/>
      <c r="H33" s="192">
        <f t="shared" si="4"/>
        <v>7000</v>
      </c>
      <c r="I33" s="193">
        <f>100</f>
        <v>100</v>
      </c>
      <c r="J33" s="193">
        <f t="shared" si="5"/>
        <v>7000</v>
      </c>
    </row>
    <row r="34" spans="1:10" ht="90" x14ac:dyDescent="0.25">
      <c r="A34" s="200"/>
      <c r="B34" s="201" t="s">
        <v>190</v>
      </c>
      <c r="C34" s="202"/>
      <c r="D34" s="192">
        <f>500</f>
        <v>500</v>
      </c>
      <c r="E34" s="192">
        <f t="shared" si="3"/>
        <v>0</v>
      </c>
      <c r="F34" s="192"/>
      <c r="G34" s="192"/>
      <c r="H34" s="192">
        <f>500</f>
        <v>500</v>
      </c>
      <c r="I34" s="193">
        <f>100</f>
        <v>100</v>
      </c>
      <c r="J34" s="193">
        <f t="shared" si="5"/>
        <v>500</v>
      </c>
    </row>
    <row r="35" spans="1:10" x14ac:dyDescent="0.25">
      <c r="A35" s="200"/>
      <c r="B35" s="201" t="s">
        <v>191</v>
      </c>
      <c r="C35" s="202">
        <f>3</f>
        <v>3</v>
      </c>
      <c r="D35" s="192">
        <f>800</f>
        <v>800</v>
      </c>
      <c r="E35" s="192">
        <f t="shared" si="3"/>
        <v>2400</v>
      </c>
      <c r="F35" s="192"/>
      <c r="G35" s="192"/>
      <c r="H35" s="192">
        <f t="shared" si="4"/>
        <v>2400</v>
      </c>
      <c r="I35" s="193">
        <f>100</f>
        <v>100</v>
      </c>
      <c r="J35" s="193">
        <f t="shared" si="5"/>
        <v>2400</v>
      </c>
    </row>
    <row r="36" spans="1:10" ht="90" x14ac:dyDescent="0.25">
      <c r="A36" s="200"/>
      <c r="B36" s="201" t="s">
        <v>192</v>
      </c>
      <c r="C36" s="202">
        <f>93</f>
        <v>93</v>
      </c>
      <c r="D36" s="192">
        <f>15</f>
        <v>15</v>
      </c>
      <c r="E36" s="192">
        <f t="shared" si="3"/>
        <v>1395</v>
      </c>
      <c r="F36" s="192"/>
      <c r="G36" s="192"/>
      <c r="H36" s="192">
        <f t="shared" si="4"/>
        <v>1395</v>
      </c>
      <c r="I36" s="193">
        <f>100</f>
        <v>100</v>
      </c>
      <c r="J36" s="193">
        <f t="shared" si="5"/>
        <v>1395</v>
      </c>
    </row>
    <row r="37" spans="1:10" x14ac:dyDescent="0.25">
      <c r="A37" s="200"/>
      <c r="B37" s="201" t="s">
        <v>193</v>
      </c>
      <c r="C37" s="202">
        <f>1</f>
        <v>1</v>
      </c>
      <c r="D37" s="202">
        <f>2000</f>
        <v>2000</v>
      </c>
      <c r="E37" s="192">
        <f t="shared" si="3"/>
        <v>2000</v>
      </c>
      <c r="F37" s="192"/>
      <c r="G37" s="192"/>
      <c r="H37" s="192">
        <f t="shared" si="4"/>
        <v>2000</v>
      </c>
      <c r="I37" s="193">
        <v>10</v>
      </c>
      <c r="J37" s="193">
        <f t="shared" si="5"/>
        <v>200</v>
      </c>
    </row>
    <row r="38" spans="1:10" ht="45" x14ac:dyDescent="0.25">
      <c r="A38" s="200"/>
      <c r="B38" s="201" t="s">
        <v>194</v>
      </c>
      <c r="C38" s="202">
        <f>1</f>
        <v>1</v>
      </c>
      <c r="D38" s="202">
        <f>2000</f>
        <v>2000</v>
      </c>
      <c r="E38" s="192">
        <f t="shared" si="3"/>
        <v>2000</v>
      </c>
      <c r="F38" s="192"/>
      <c r="G38" s="192"/>
      <c r="H38" s="192">
        <f t="shared" si="4"/>
        <v>2000</v>
      </c>
      <c r="I38" s="193">
        <v>10</v>
      </c>
      <c r="J38" s="193">
        <f t="shared" si="5"/>
        <v>200</v>
      </c>
    </row>
    <row r="39" spans="1:10" ht="30" x14ac:dyDescent="0.25">
      <c r="A39" s="200"/>
      <c r="B39" s="201" t="s">
        <v>195</v>
      </c>
      <c r="C39" s="202">
        <f>2</f>
        <v>2</v>
      </c>
      <c r="D39" s="202">
        <f>200</f>
        <v>200</v>
      </c>
      <c r="E39" s="192">
        <f t="shared" si="3"/>
        <v>400</v>
      </c>
      <c r="F39" s="192"/>
      <c r="G39" s="192"/>
      <c r="H39" s="192">
        <f t="shared" si="4"/>
        <v>400</v>
      </c>
      <c r="I39" s="193">
        <f>20</f>
        <v>20</v>
      </c>
      <c r="J39" s="193">
        <f t="shared" si="5"/>
        <v>80</v>
      </c>
    </row>
    <row r="40" spans="1:10" ht="45" x14ac:dyDescent="0.25">
      <c r="A40" s="200"/>
      <c r="B40" s="201" t="s">
        <v>196</v>
      </c>
      <c r="C40" s="202">
        <f>4</f>
        <v>4</v>
      </c>
      <c r="D40" s="202">
        <v>100</v>
      </c>
      <c r="E40" s="192">
        <f t="shared" si="3"/>
        <v>400</v>
      </c>
      <c r="F40" s="192"/>
      <c r="G40" s="192"/>
      <c r="H40" s="192">
        <f t="shared" si="4"/>
        <v>400</v>
      </c>
      <c r="I40" s="193">
        <v>100</v>
      </c>
      <c r="J40" s="193">
        <f t="shared" si="5"/>
        <v>400</v>
      </c>
    </row>
    <row r="41" spans="1:10" ht="45" x14ac:dyDescent="0.25">
      <c r="A41" s="200"/>
      <c r="B41" s="201" t="s">
        <v>197</v>
      </c>
      <c r="C41" s="202">
        <f>4</f>
        <v>4</v>
      </c>
      <c r="D41" s="202">
        <f>250</f>
        <v>250</v>
      </c>
      <c r="E41" s="192">
        <f t="shared" si="3"/>
        <v>1000</v>
      </c>
      <c r="F41" s="192"/>
      <c r="G41" s="192"/>
      <c r="H41" s="192">
        <f t="shared" si="4"/>
        <v>1000</v>
      </c>
      <c r="I41" s="193">
        <v>50</v>
      </c>
      <c r="J41" s="193">
        <f t="shared" si="5"/>
        <v>500</v>
      </c>
    </row>
    <row r="42" spans="1:10" ht="75" x14ac:dyDescent="0.25">
      <c r="A42" s="200"/>
      <c r="B42" s="201" t="s">
        <v>198</v>
      </c>
      <c r="C42" s="202">
        <f>1</f>
        <v>1</v>
      </c>
      <c r="D42" s="202">
        <f>250</f>
        <v>250</v>
      </c>
      <c r="E42" s="192">
        <f t="shared" si="3"/>
        <v>250</v>
      </c>
      <c r="F42" s="192"/>
      <c r="G42" s="192"/>
      <c r="H42" s="192">
        <f t="shared" si="4"/>
        <v>250</v>
      </c>
      <c r="I42" s="193">
        <f>20</f>
        <v>20</v>
      </c>
      <c r="J42" s="193">
        <f t="shared" si="5"/>
        <v>50</v>
      </c>
    </row>
    <row r="43" spans="1:10" ht="75" x14ac:dyDescent="0.25">
      <c r="A43" s="200"/>
      <c r="B43" s="201" t="s">
        <v>199</v>
      </c>
      <c r="C43" s="202">
        <f>2</f>
        <v>2</v>
      </c>
      <c r="D43" s="202">
        <f>80</f>
        <v>80</v>
      </c>
      <c r="E43" s="192">
        <f t="shared" si="3"/>
        <v>160</v>
      </c>
      <c r="F43" s="192"/>
      <c r="G43" s="192"/>
      <c r="H43" s="192">
        <f t="shared" si="4"/>
        <v>160</v>
      </c>
      <c r="I43" s="193">
        <f>50</f>
        <v>50</v>
      </c>
      <c r="J43" s="193">
        <f t="shared" si="5"/>
        <v>80</v>
      </c>
    </row>
    <row r="44" spans="1:10" ht="75" x14ac:dyDescent="0.25">
      <c r="A44" s="200"/>
      <c r="B44" s="201" t="s">
        <v>200</v>
      </c>
      <c r="C44" s="202">
        <f>4</f>
        <v>4</v>
      </c>
      <c r="D44" s="202">
        <f>55</f>
        <v>55</v>
      </c>
      <c r="E44" s="192">
        <f t="shared" si="3"/>
        <v>220</v>
      </c>
      <c r="F44" s="192"/>
      <c r="G44" s="192"/>
      <c r="H44" s="192">
        <f t="shared" si="4"/>
        <v>220</v>
      </c>
      <c r="I44" s="193">
        <f>50</f>
        <v>50</v>
      </c>
      <c r="J44" s="193">
        <f t="shared" si="5"/>
        <v>110</v>
      </c>
    </row>
    <row r="45" spans="1:10" ht="75" x14ac:dyDescent="0.25">
      <c r="A45" s="200"/>
      <c r="B45" s="201" t="s">
        <v>201</v>
      </c>
      <c r="C45" s="202">
        <f>10</f>
        <v>10</v>
      </c>
      <c r="D45" s="202">
        <f>20</f>
        <v>20</v>
      </c>
      <c r="E45" s="192">
        <f t="shared" si="3"/>
        <v>200</v>
      </c>
      <c r="F45" s="192"/>
      <c r="G45" s="192"/>
      <c r="H45" s="192">
        <f t="shared" si="4"/>
        <v>200</v>
      </c>
      <c r="I45" s="193">
        <v>100</v>
      </c>
      <c r="J45" s="193">
        <f t="shared" si="5"/>
        <v>200</v>
      </c>
    </row>
    <row r="46" spans="1:10" ht="120" x14ac:dyDescent="0.25">
      <c r="A46" s="200"/>
      <c r="B46" s="201" t="s">
        <v>202</v>
      </c>
      <c r="C46" s="202">
        <f>10</f>
        <v>10</v>
      </c>
      <c r="D46" s="202">
        <f>120</f>
        <v>120</v>
      </c>
      <c r="E46" s="192">
        <f t="shared" si="3"/>
        <v>1200</v>
      </c>
      <c r="F46" s="192"/>
      <c r="G46" s="192"/>
      <c r="H46" s="192">
        <f t="shared" si="4"/>
        <v>1200</v>
      </c>
      <c r="I46" s="193">
        <f>90</f>
        <v>90</v>
      </c>
      <c r="J46" s="193">
        <f t="shared" si="5"/>
        <v>1080</v>
      </c>
    </row>
    <row r="47" spans="1:10" ht="60" x14ac:dyDescent="0.25">
      <c r="A47" s="200"/>
      <c r="B47" s="201" t="s">
        <v>203</v>
      </c>
      <c r="C47" s="202">
        <f>3</f>
        <v>3</v>
      </c>
      <c r="D47" s="202">
        <f>78</f>
        <v>78</v>
      </c>
      <c r="E47" s="192">
        <f t="shared" si="3"/>
        <v>234</v>
      </c>
      <c r="F47" s="192"/>
      <c r="G47" s="192"/>
      <c r="H47" s="192">
        <f t="shared" si="4"/>
        <v>234</v>
      </c>
      <c r="I47" s="193">
        <f>100</f>
        <v>100</v>
      </c>
      <c r="J47" s="193">
        <f t="shared" si="5"/>
        <v>234</v>
      </c>
    </row>
    <row r="48" spans="1:10" ht="75" x14ac:dyDescent="0.25">
      <c r="A48" s="200"/>
      <c r="B48" s="201" t="s">
        <v>204</v>
      </c>
      <c r="C48" s="202">
        <f>2</f>
        <v>2</v>
      </c>
      <c r="D48" s="202">
        <f>30</f>
        <v>30</v>
      </c>
      <c r="E48" s="192">
        <f t="shared" si="3"/>
        <v>60</v>
      </c>
      <c r="F48" s="192"/>
      <c r="G48" s="192"/>
      <c r="H48" s="192">
        <f t="shared" si="4"/>
        <v>60</v>
      </c>
      <c r="I48" s="193">
        <f>60</f>
        <v>60</v>
      </c>
      <c r="J48" s="193">
        <f t="shared" si="5"/>
        <v>36</v>
      </c>
    </row>
    <row r="49" spans="1:10" ht="75" x14ac:dyDescent="0.25">
      <c r="A49" s="200"/>
      <c r="B49" s="201" t="s">
        <v>205</v>
      </c>
      <c r="C49" s="202">
        <f>2</f>
        <v>2</v>
      </c>
      <c r="D49" s="202">
        <f>80</f>
        <v>80</v>
      </c>
      <c r="E49" s="192">
        <f t="shared" si="3"/>
        <v>160</v>
      </c>
      <c r="F49" s="192"/>
      <c r="G49" s="192"/>
      <c r="H49" s="192">
        <f t="shared" si="4"/>
        <v>160</v>
      </c>
      <c r="I49" s="193">
        <f>100</f>
        <v>100</v>
      </c>
      <c r="J49" s="193">
        <f t="shared" si="5"/>
        <v>160</v>
      </c>
    </row>
    <row r="50" spans="1:10" ht="120" x14ac:dyDescent="0.25">
      <c r="A50" s="200"/>
      <c r="B50" s="201" t="s">
        <v>206</v>
      </c>
      <c r="C50" s="202">
        <f>4</f>
        <v>4</v>
      </c>
      <c r="D50" s="202">
        <f>12</f>
        <v>12</v>
      </c>
      <c r="E50" s="192">
        <f t="shared" si="3"/>
        <v>48</v>
      </c>
      <c r="F50" s="192"/>
      <c r="G50" s="192"/>
      <c r="H50" s="192">
        <f t="shared" si="4"/>
        <v>48</v>
      </c>
      <c r="I50" s="193">
        <f>100</f>
        <v>100</v>
      </c>
      <c r="J50" s="193">
        <f t="shared" si="5"/>
        <v>48</v>
      </c>
    </row>
    <row r="51" spans="1:10" ht="120" x14ac:dyDescent="0.25">
      <c r="A51" s="200"/>
      <c r="B51" s="201" t="s">
        <v>207</v>
      </c>
      <c r="C51" s="202">
        <f>2</f>
        <v>2</v>
      </c>
      <c r="D51" s="202">
        <f>40</f>
        <v>40</v>
      </c>
      <c r="E51" s="192">
        <f t="shared" si="3"/>
        <v>80</v>
      </c>
      <c r="F51" s="192"/>
      <c r="G51" s="192"/>
      <c r="H51" s="192">
        <f t="shared" si="4"/>
        <v>80</v>
      </c>
      <c r="I51" s="193">
        <f>50</f>
        <v>50</v>
      </c>
      <c r="J51" s="193">
        <f t="shared" si="5"/>
        <v>40</v>
      </c>
    </row>
    <row r="52" spans="1:10" ht="210" x14ac:dyDescent="0.25">
      <c r="A52" s="200"/>
      <c r="B52" s="201" t="s">
        <v>208</v>
      </c>
      <c r="C52" s="202">
        <f>4</f>
        <v>4</v>
      </c>
      <c r="D52" s="202">
        <f>70</f>
        <v>70</v>
      </c>
      <c r="E52" s="192">
        <f t="shared" si="3"/>
        <v>280</v>
      </c>
      <c r="F52" s="192"/>
      <c r="G52" s="192"/>
      <c r="H52" s="192">
        <f t="shared" si="4"/>
        <v>280</v>
      </c>
      <c r="I52" s="193">
        <v>100</v>
      </c>
      <c r="J52" s="193">
        <f t="shared" si="5"/>
        <v>280</v>
      </c>
    </row>
    <row r="53" spans="1:10" ht="210" x14ac:dyDescent="0.25">
      <c r="A53" s="200"/>
      <c r="B53" s="201" t="s">
        <v>209</v>
      </c>
      <c r="C53" s="202">
        <f>4</f>
        <v>4</v>
      </c>
      <c r="D53" s="202">
        <f>40</f>
        <v>40</v>
      </c>
      <c r="E53" s="192">
        <f t="shared" si="3"/>
        <v>160</v>
      </c>
      <c r="F53" s="192"/>
      <c r="G53" s="192"/>
      <c r="H53" s="192">
        <f t="shared" si="4"/>
        <v>160</v>
      </c>
      <c r="I53" s="193">
        <v>100</v>
      </c>
      <c r="J53" s="193">
        <f t="shared" si="5"/>
        <v>160</v>
      </c>
    </row>
    <row r="54" spans="1:10" ht="210" x14ac:dyDescent="0.25">
      <c r="A54" s="200"/>
      <c r="B54" s="201" t="s">
        <v>210</v>
      </c>
      <c r="C54" s="202">
        <f>4</f>
        <v>4</v>
      </c>
      <c r="D54" s="202">
        <f>17</f>
        <v>17</v>
      </c>
      <c r="E54" s="192">
        <f t="shared" si="3"/>
        <v>68</v>
      </c>
      <c r="F54" s="192"/>
      <c r="G54" s="192"/>
      <c r="H54" s="192">
        <f t="shared" si="4"/>
        <v>68</v>
      </c>
      <c r="I54" s="193">
        <v>100</v>
      </c>
      <c r="J54" s="193">
        <f t="shared" si="5"/>
        <v>68</v>
      </c>
    </row>
    <row r="55" spans="1:10" ht="60" x14ac:dyDescent="0.25">
      <c r="A55" s="200"/>
      <c r="B55" s="201" t="s">
        <v>211</v>
      </c>
      <c r="C55" s="202">
        <f>10</f>
        <v>10</v>
      </c>
      <c r="D55" s="202">
        <f>16</f>
        <v>16</v>
      </c>
      <c r="E55" s="192">
        <f t="shared" si="3"/>
        <v>160</v>
      </c>
      <c r="F55" s="192"/>
      <c r="G55" s="192"/>
      <c r="H55" s="192">
        <f t="shared" si="4"/>
        <v>160</v>
      </c>
      <c r="I55" s="193">
        <v>100</v>
      </c>
      <c r="J55" s="193">
        <f t="shared" si="5"/>
        <v>160</v>
      </c>
    </row>
    <row r="56" spans="1:10" ht="60" x14ac:dyDescent="0.25">
      <c r="A56" s="200"/>
      <c r="B56" s="201" t="s">
        <v>212</v>
      </c>
      <c r="C56" s="202">
        <f>2</f>
        <v>2</v>
      </c>
      <c r="D56" s="202">
        <f>120</f>
        <v>120</v>
      </c>
      <c r="E56" s="192">
        <f t="shared" si="3"/>
        <v>240</v>
      </c>
      <c r="F56" s="192"/>
      <c r="G56" s="192"/>
      <c r="H56" s="192">
        <f t="shared" si="4"/>
        <v>240</v>
      </c>
      <c r="I56" s="193">
        <v>80</v>
      </c>
      <c r="J56" s="193">
        <f t="shared" si="5"/>
        <v>192</v>
      </c>
    </row>
    <row r="57" spans="1:10" ht="15.75" thickBot="1" x14ac:dyDescent="0.3">
      <c r="B57" s="203"/>
      <c r="C57" s="193"/>
      <c r="D57" s="193"/>
      <c r="I57" s="193"/>
      <c r="J57" s="193"/>
    </row>
    <row r="58" spans="1:10" ht="15.75" thickBot="1" x14ac:dyDescent="0.3">
      <c r="B58" s="193"/>
      <c r="C58" s="193"/>
      <c r="D58" s="193"/>
      <c r="G58" t="s">
        <v>213</v>
      </c>
      <c r="H58" s="204">
        <f>SUM(H31:H56)</f>
        <v>22915</v>
      </c>
      <c r="I58" s="204"/>
      <c r="J58" s="204">
        <f>SUM(J31:J56)</f>
        <v>16673</v>
      </c>
    </row>
    <row r="59" spans="1:10" x14ac:dyDescent="0.25">
      <c r="B59" s="193"/>
      <c r="C59" s="193"/>
      <c r="D59" s="193"/>
      <c r="I59" s="193"/>
      <c r="J59" s="193">
        <v>3379.4</v>
      </c>
    </row>
    <row r="60" spans="1:10" x14ac:dyDescent="0.25">
      <c r="B60" s="193"/>
      <c r="C60" s="193"/>
      <c r="D60" s="193"/>
      <c r="I60" s="193"/>
      <c r="J60" s="193"/>
    </row>
    <row r="61" spans="1:10" x14ac:dyDescent="0.25">
      <c r="A61">
        <f>SUM(H29+J58)</f>
        <v>20052.400000000001</v>
      </c>
      <c r="B61" s="193"/>
      <c r="C61" s="193"/>
      <c r="D61" s="193"/>
      <c r="I61" s="193"/>
      <c r="J61" s="193"/>
    </row>
    <row r="62" spans="1:10" x14ac:dyDescent="0.25">
      <c r="B62" s="193"/>
      <c r="C62" s="193"/>
      <c r="D62" s="193"/>
      <c r="I62" s="193"/>
      <c r="J62" s="193"/>
    </row>
    <row r="63" spans="1:10" x14ac:dyDescent="0.25">
      <c r="B63" s="193"/>
      <c r="C63" s="193"/>
      <c r="D63" s="193"/>
      <c r="I63" s="193"/>
      <c r="J63" s="193"/>
    </row>
    <row r="64" spans="1:10" x14ac:dyDescent="0.25">
      <c r="A64" s="256" t="s">
        <v>259</v>
      </c>
      <c r="B64" s="193"/>
      <c r="C64" s="193"/>
      <c r="D64" s="193"/>
      <c r="I64" s="193"/>
      <c r="J64" s="193"/>
    </row>
    <row r="65" spans="1:1" x14ac:dyDescent="0.25">
      <c r="A65" s="256" t="s">
        <v>260</v>
      </c>
    </row>
    <row r="88" ht="28.9" customHeight="1" x14ac:dyDescent="0.25"/>
  </sheetData>
  <mergeCells count="4">
    <mergeCell ref="A2:H2"/>
    <mergeCell ref="A24:A26"/>
    <mergeCell ref="A30:H30"/>
    <mergeCell ref="I30:J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F80B-6A23-4443-81A3-0AE871FCB37A}">
  <sheetPr>
    <tabColor rgb="FFFFC000"/>
  </sheetPr>
  <dimension ref="A1:D10"/>
  <sheetViews>
    <sheetView workbookViewId="0">
      <selection activeCell="B8" sqref="B8"/>
    </sheetView>
  </sheetViews>
  <sheetFormatPr defaultRowHeight="15" x14ac:dyDescent="0.25"/>
  <cols>
    <col min="2" max="2" width="12.7109375" customWidth="1"/>
  </cols>
  <sheetData>
    <row r="1" spans="1:4" x14ac:dyDescent="0.25">
      <c r="A1" s="134">
        <v>1</v>
      </c>
      <c r="B1" s="126">
        <f>SUM(мр1!J1)</f>
        <v>7285</v>
      </c>
    </row>
    <row r="2" spans="1:4" x14ac:dyDescent="0.25">
      <c r="A2" s="135" t="s">
        <v>67</v>
      </c>
      <c r="B2" s="126">
        <f>SUM('мр1-1'!J1)</f>
        <v>3195.4</v>
      </c>
    </row>
    <row r="3" spans="1:4" x14ac:dyDescent="0.25">
      <c r="A3" s="135" t="s">
        <v>68</v>
      </c>
      <c r="B3" s="126">
        <f>SUM('мр1-2'!J1)</f>
        <v>3671.4</v>
      </c>
    </row>
    <row r="4" spans="1:4" x14ac:dyDescent="0.25">
      <c r="A4" s="134">
        <v>2</v>
      </c>
      <c r="B4" s="126">
        <f>SUM(мр2!J1)</f>
        <v>5257.7</v>
      </c>
      <c r="C4" s="127"/>
    </row>
    <row r="5" spans="1:4" x14ac:dyDescent="0.25">
      <c r="A5" s="134">
        <v>3</v>
      </c>
      <c r="B5" s="126">
        <f>SUM(мр3!J1)</f>
        <v>4812.2</v>
      </c>
      <c r="C5" s="127"/>
      <c r="D5" s="127"/>
    </row>
    <row r="6" spans="1:4" x14ac:dyDescent="0.25">
      <c r="A6" s="134">
        <v>4</v>
      </c>
      <c r="B6" s="126">
        <f>SUM(мр4!J1)</f>
        <v>5282.4</v>
      </c>
      <c r="C6" s="127"/>
      <c r="D6" s="127"/>
    </row>
    <row r="7" spans="1:4" x14ac:dyDescent="0.25">
      <c r="A7" s="134">
        <v>5</v>
      </c>
      <c r="B7" s="126">
        <f>SUM(мр5!J1)</f>
        <v>4812.6000000000004</v>
      </c>
      <c r="C7" s="127"/>
      <c r="D7" s="127"/>
    </row>
    <row r="8" spans="1:4" ht="25.5" customHeight="1" x14ac:dyDescent="0.25">
      <c r="A8" s="134" t="s">
        <v>108</v>
      </c>
      <c r="B8" s="126">
        <f>SUM(B1:B7)</f>
        <v>34316.699999999997</v>
      </c>
      <c r="C8" s="127"/>
      <c r="D8" s="127"/>
    </row>
    <row r="9" spans="1:4" x14ac:dyDescent="0.25">
      <c r="A9" s="135" t="s">
        <v>89</v>
      </c>
      <c r="B9" s="126">
        <f>'мр1-3'!J1</f>
        <v>101.2</v>
      </c>
    </row>
    <row r="10" spans="1:4" x14ac:dyDescent="0.25">
      <c r="A10" t="s">
        <v>256</v>
      </c>
      <c r="B10" s="126"/>
    </row>
  </sheetData>
  <phoneticPr fontId="2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054-89F9-4A61-B320-E7756DA7039B}">
  <sheetPr>
    <tabColor rgb="FFFFC000"/>
  </sheetPr>
  <dimension ref="A1:N18"/>
  <sheetViews>
    <sheetView topLeftCell="A13" workbookViewId="0">
      <selection activeCell="C18" sqref="C18:F18"/>
    </sheetView>
  </sheetViews>
  <sheetFormatPr defaultRowHeight="15" x14ac:dyDescent="0.25"/>
  <sheetData>
    <row r="1" spans="1:14" x14ac:dyDescent="0.25">
      <c r="A1" s="205"/>
      <c r="B1" s="205"/>
      <c r="C1" s="200">
        <v>1</v>
      </c>
      <c r="D1" s="200">
        <v>2</v>
      </c>
      <c r="E1" s="200">
        <v>3</v>
      </c>
      <c r="F1" s="200">
        <v>4</v>
      </c>
      <c r="G1" s="200">
        <v>5</v>
      </c>
      <c r="H1" s="200">
        <v>6</v>
      </c>
      <c r="I1" s="200">
        <v>7</v>
      </c>
      <c r="J1" s="200">
        <v>8</v>
      </c>
      <c r="K1" s="200">
        <v>9</v>
      </c>
      <c r="L1" s="200">
        <v>10</v>
      </c>
      <c r="M1" s="200">
        <v>11</v>
      </c>
      <c r="N1" s="200">
        <v>12</v>
      </c>
    </row>
    <row r="2" spans="1:14" x14ac:dyDescent="0.25">
      <c r="A2" s="205" t="s">
        <v>261</v>
      </c>
      <c r="B2" s="205"/>
      <c r="C2" s="200">
        <v>8407</v>
      </c>
      <c r="D2" s="200">
        <v>7634</v>
      </c>
      <c r="E2" s="200">
        <v>6963</v>
      </c>
      <c r="F2" s="200">
        <v>3778</v>
      </c>
      <c r="G2" s="200">
        <v>2533</v>
      </c>
      <c r="H2" s="200">
        <v>2277</v>
      </c>
      <c r="I2" s="200">
        <v>2449</v>
      </c>
      <c r="J2" s="200">
        <v>3180</v>
      </c>
      <c r="K2" s="200">
        <v>2791</v>
      </c>
      <c r="L2" s="200">
        <v>3309</v>
      </c>
      <c r="M2" s="200">
        <v>4055</v>
      </c>
      <c r="N2" s="200">
        <v>1641</v>
      </c>
    </row>
    <row r="3" spans="1:14" x14ac:dyDescent="0.25">
      <c r="A3" s="205"/>
      <c r="B3" s="205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</row>
    <row r="4" spans="1:14" ht="60" x14ac:dyDescent="0.25">
      <c r="A4" s="205" t="s">
        <v>216</v>
      </c>
      <c r="B4" s="205"/>
      <c r="C4" s="200">
        <v>0.40550418438743302</v>
      </c>
      <c r="D4" s="200">
        <v>0.40550418438743302</v>
      </c>
      <c r="E4" s="200">
        <v>0.40550418438743302</v>
      </c>
      <c r="F4" s="200">
        <v>0.40550418438743302</v>
      </c>
      <c r="G4" s="200">
        <v>0.40550418438743302</v>
      </c>
      <c r="H4" s="200">
        <v>0.40550418438743302</v>
      </c>
      <c r="I4" s="200">
        <v>0.40550418438743302</v>
      </c>
      <c r="J4" s="200">
        <v>0.40550418438743302</v>
      </c>
      <c r="K4" s="200">
        <v>0.40550418438743302</v>
      </c>
      <c r="L4" s="200">
        <v>0.40550418438743302</v>
      </c>
      <c r="M4" s="200">
        <v>0.40550418438743302</v>
      </c>
      <c r="N4" s="200">
        <v>0.40550418438743302</v>
      </c>
    </row>
    <row r="5" spans="1:14" x14ac:dyDescent="0.25">
      <c r="A5" s="205"/>
      <c r="B5" s="205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</row>
    <row r="6" spans="1:14" x14ac:dyDescent="0.25">
      <c r="A6" s="205"/>
      <c r="B6" s="205"/>
      <c r="C6" s="200">
        <f>SUM(C2*C4)</f>
        <v>3409.0736781451492</v>
      </c>
      <c r="D6" s="200">
        <f t="shared" ref="D6:N6" si="0">SUM(D2*D4)</f>
        <v>3095.6189436136638</v>
      </c>
      <c r="E6" s="200">
        <f t="shared" si="0"/>
        <v>2823.5256358896963</v>
      </c>
      <c r="F6" s="200">
        <f t="shared" si="0"/>
        <v>1531.9948086157219</v>
      </c>
      <c r="G6" s="200">
        <f t="shared" si="0"/>
        <v>1027.1420990533679</v>
      </c>
      <c r="H6" s="200">
        <f t="shared" si="0"/>
        <v>923.33302785018498</v>
      </c>
      <c r="I6" s="200">
        <f t="shared" si="0"/>
        <v>993.07974756482349</v>
      </c>
      <c r="J6" s="200">
        <f t="shared" si="0"/>
        <v>1289.503306352037</v>
      </c>
      <c r="K6" s="200">
        <f t="shared" si="0"/>
        <v>1131.7621786253255</v>
      </c>
      <c r="L6" s="200">
        <f t="shared" si="0"/>
        <v>1341.813346138016</v>
      </c>
      <c r="M6" s="200">
        <f t="shared" si="0"/>
        <v>1644.3194676910409</v>
      </c>
      <c r="N6" s="200">
        <f t="shared" si="0"/>
        <v>665.43236657977764</v>
      </c>
    </row>
    <row r="7" spans="1:14" x14ac:dyDescent="0.25">
      <c r="A7" s="205"/>
      <c r="B7" s="205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</row>
    <row r="8" spans="1:14" x14ac:dyDescent="0.25">
      <c r="A8" s="205"/>
      <c r="B8" s="205"/>
      <c r="C8" s="200">
        <f>SUM(C6+D6+E6)</f>
        <v>9328.2182576485102</v>
      </c>
      <c r="D8" s="200"/>
      <c r="E8" s="200"/>
      <c r="F8" s="200">
        <f>SUM(F6+G6+H6)</f>
        <v>3482.4699355192747</v>
      </c>
      <c r="G8" s="200"/>
      <c r="H8" s="200"/>
      <c r="I8" s="200">
        <f>SUM(I6+J6+K6)</f>
        <v>3414.3452325421858</v>
      </c>
      <c r="J8" s="200"/>
      <c r="K8" s="200"/>
      <c r="L8" s="200">
        <f>SUM(L6+M6+N6)</f>
        <v>3651.5651804088347</v>
      </c>
      <c r="M8" s="200"/>
      <c r="N8" s="200"/>
    </row>
    <row r="9" spans="1:14" ht="60" x14ac:dyDescent="0.25">
      <c r="A9" s="205" t="s">
        <v>217</v>
      </c>
      <c r="B9" s="205"/>
      <c r="C9" s="200"/>
      <c r="D9" s="200">
        <v>53189.399999999994</v>
      </c>
      <c r="E9" s="200"/>
      <c r="F9" s="200"/>
      <c r="G9" s="200"/>
      <c r="H9" s="200"/>
      <c r="I9" s="200"/>
      <c r="J9" s="200"/>
      <c r="K9" s="200"/>
      <c r="L9" s="200"/>
      <c r="M9" s="200"/>
      <c r="N9" s="200"/>
    </row>
    <row r="10" spans="1:14" x14ac:dyDescent="0.25">
      <c r="A10" s="205"/>
      <c r="B10" s="205"/>
      <c r="C10" s="200" t="s">
        <v>218</v>
      </c>
      <c r="D10" s="200">
        <v>18872.7</v>
      </c>
      <c r="E10" s="200"/>
      <c r="F10" s="200"/>
      <c r="G10" s="200"/>
      <c r="H10" s="200"/>
      <c r="I10" s="200"/>
      <c r="J10" s="200"/>
      <c r="K10" s="200"/>
      <c r="L10" s="200"/>
      <c r="M10" s="200"/>
      <c r="N10" s="200"/>
    </row>
    <row r="11" spans="1:14" x14ac:dyDescent="0.25">
      <c r="A11" s="205"/>
      <c r="B11" s="205"/>
      <c r="C11" s="200" t="s">
        <v>219</v>
      </c>
      <c r="D11" s="200">
        <v>34316.699999999997</v>
      </c>
      <c r="E11" s="200"/>
      <c r="F11" s="200"/>
      <c r="G11" s="200"/>
      <c r="H11" s="200"/>
      <c r="I11" s="200"/>
      <c r="J11" s="200"/>
      <c r="K11" s="200"/>
      <c r="L11" s="200"/>
      <c r="M11" s="200"/>
      <c r="N11" s="200"/>
    </row>
    <row r="12" spans="1:14" x14ac:dyDescent="0.25">
      <c r="A12" s="205"/>
      <c r="B12" s="205"/>
      <c r="C12" s="200" t="s">
        <v>220</v>
      </c>
      <c r="D12" s="200" t="s">
        <v>221</v>
      </c>
      <c r="E12" s="200" t="s">
        <v>222</v>
      </c>
      <c r="F12" s="200" t="s">
        <v>223</v>
      </c>
      <c r="G12" s="200"/>
      <c r="H12" s="200"/>
      <c r="I12" s="200"/>
      <c r="J12" s="200"/>
      <c r="K12" s="200"/>
      <c r="L12" s="200"/>
      <c r="M12" s="200"/>
      <c r="N12" s="200"/>
    </row>
    <row r="13" spans="1:14" x14ac:dyDescent="0.25">
      <c r="A13" s="205" t="s">
        <v>218</v>
      </c>
      <c r="B13" s="205"/>
      <c r="C13" s="200">
        <f>SUM(C8/D9*D10)</f>
        <v>3309.8449072770713</v>
      </c>
      <c r="D13" s="200">
        <f>SUM(F8/D9*D10)</f>
        <v>1235.652411045709</v>
      </c>
      <c r="E13" s="200">
        <f>SUM(I8/D9*D10)</f>
        <v>1211.4803564281401</v>
      </c>
      <c r="F13" s="200">
        <f>SUM(L8/D9*D10)</f>
        <v>1295.6509037571739</v>
      </c>
      <c r="G13" s="200"/>
      <c r="H13" s="200"/>
      <c r="I13" s="200"/>
      <c r="J13" s="200"/>
      <c r="K13" s="200"/>
      <c r="L13" s="200"/>
      <c r="M13" s="200"/>
      <c r="N13" s="200"/>
    </row>
    <row r="14" spans="1:14" x14ac:dyDescent="0.25">
      <c r="A14" s="200" t="s">
        <v>219</v>
      </c>
      <c r="B14" s="200"/>
      <c r="C14" s="200">
        <f>SUM(C8/D9*D11)</f>
        <v>6018.3733503714393</v>
      </c>
      <c r="D14" s="200">
        <f>SUM(F8/D9*D11)</f>
        <v>2246.8175244735662</v>
      </c>
      <c r="E14" s="200">
        <f>SUM(I8/D9*D11)</f>
        <v>2202.8648761140457</v>
      </c>
      <c r="F14" s="200">
        <f>SUM(L8/D9*D11)</f>
        <v>2355.9142766516611</v>
      </c>
      <c r="G14" s="200"/>
      <c r="H14" s="200"/>
      <c r="I14" s="200"/>
      <c r="J14" s="200"/>
      <c r="K14" s="200"/>
      <c r="L14" s="200"/>
      <c r="M14" s="200"/>
      <c r="N14" s="200"/>
    </row>
    <row r="17" spans="1:6" x14ac:dyDescent="0.25">
      <c r="A17" s="205" t="s">
        <v>218</v>
      </c>
      <c r="B17" s="257"/>
      <c r="C17">
        <v>3309.8449072770713</v>
      </c>
      <c r="D17">
        <v>1235.652411045709</v>
      </c>
      <c r="E17">
        <v>1211.4803564281401</v>
      </c>
      <c r="F17">
        <v>1295.6509037571739</v>
      </c>
    </row>
    <row r="18" spans="1:6" x14ac:dyDescent="0.25">
      <c r="A18" s="200" t="s">
        <v>219</v>
      </c>
      <c r="C18">
        <v>6018.3733503714393</v>
      </c>
      <c r="D18">
        <v>2246.8175244735662</v>
      </c>
      <c r="E18">
        <v>2202.8648761140457</v>
      </c>
      <c r="F18">
        <v>2355.9142766516611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6013-DA52-4E93-9094-EE1DBD7E14A7}">
  <sheetPr>
    <tabColor rgb="FFFFC000"/>
  </sheetPr>
  <dimension ref="A1:M22"/>
  <sheetViews>
    <sheetView topLeftCell="A9" workbookViewId="0">
      <selection activeCell="B22" sqref="B22"/>
    </sheetView>
  </sheetViews>
  <sheetFormatPr defaultRowHeight="15" x14ac:dyDescent="0.25"/>
  <sheetData>
    <row r="1" spans="1:13" x14ac:dyDescent="0.25">
      <c r="A1" s="200" t="s">
        <v>228</v>
      </c>
      <c r="B1" s="200" t="s">
        <v>229</v>
      </c>
      <c r="C1" s="200" t="s">
        <v>230</v>
      </c>
      <c r="D1" s="200" t="s">
        <v>231</v>
      </c>
      <c r="E1" s="200" t="s">
        <v>232</v>
      </c>
      <c r="F1" s="200" t="s">
        <v>233</v>
      </c>
      <c r="G1" s="200" t="s">
        <v>234</v>
      </c>
      <c r="H1" s="200" t="s">
        <v>235</v>
      </c>
      <c r="I1" s="200" t="s">
        <v>236</v>
      </c>
      <c r="J1" s="200" t="s">
        <v>237</v>
      </c>
      <c r="K1" s="200" t="s">
        <v>238</v>
      </c>
      <c r="L1" s="200" t="s">
        <v>239</v>
      </c>
      <c r="M1" s="200" t="s">
        <v>240</v>
      </c>
    </row>
    <row r="2" spans="1:13" x14ac:dyDescent="0.25">
      <c r="A2" s="200" t="s">
        <v>241</v>
      </c>
      <c r="B2" s="200">
        <v>5008</v>
      </c>
      <c r="C2" s="200">
        <v>4665</v>
      </c>
      <c r="D2" s="200">
        <v>4714</v>
      </c>
      <c r="E2" s="200">
        <v>3741</v>
      </c>
      <c r="F2" s="200">
        <v>3779</v>
      </c>
      <c r="G2" s="200">
        <v>3258</v>
      </c>
      <c r="H2" s="200">
        <v>3534</v>
      </c>
      <c r="I2" s="200">
        <v>4872</v>
      </c>
      <c r="J2" s="200">
        <v>4359</v>
      </c>
      <c r="K2" s="200">
        <v>5316</v>
      </c>
      <c r="L2" s="200">
        <v>4032</v>
      </c>
      <c r="M2" s="200">
        <v>4886</v>
      </c>
    </row>
    <row r="3" spans="1:13" x14ac:dyDescent="0.25">
      <c r="A3" s="200" t="s">
        <v>242</v>
      </c>
      <c r="B3" s="200">
        <v>2161</v>
      </c>
      <c r="C3" s="200">
        <v>2029</v>
      </c>
      <c r="D3" s="200">
        <v>2043.1039999999994</v>
      </c>
      <c r="E3" s="200">
        <v>1881.8960000000006</v>
      </c>
      <c r="F3" s="200">
        <v>1637</v>
      </c>
      <c r="G3" s="200">
        <v>1337</v>
      </c>
      <c r="H3" s="200">
        <v>1477</v>
      </c>
      <c r="I3" s="200">
        <v>1648</v>
      </c>
      <c r="J3" s="200">
        <v>1814</v>
      </c>
      <c r="K3" s="200">
        <v>2108</v>
      </c>
      <c r="L3" s="200">
        <v>2234</v>
      </c>
      <c r="M3" s="200">
        <v>2358</v>
      </c>
    </row>
    <row r="4" spans="1:13" x14ac:dyDescent="0.25">
      <c r="A4" s="200" t="s">
        <v>243</v>
      </c>
      <c r="B4" s="200">
        <v>1812</v>
      </c>
      <c r="C4" s="200">
        <v>1536</v>
      </c>
      <c r="D4" s="200">
        <v>1627</v>
      </c>
      <c r="E4" s="200">
        <v>1551</v>
      </c>
      <c r="F4" s="200">
        <v>1376</v>
      </c>
      <c r="G4" s="200">
        <v>1193</v>
      </c>
      <c r="H4" s="200">
        <v>1317</v>
      </c>
      <c r="I4" s="200">
        <v>1586</v>
      </c>
      <c r="J4" s="200">
        <v>1630</v>
      </c>
      <c r="K4" s="200">
        <v>1743</v>
      </c>
      <c r="L4" s="200">
        <v>1765</v>
      </c>
      <c r="M4" s="200">
        <v>1912</v>
      </c>
    </row>
    <row r="5" spans="1:13" x14ac:dyDescent="0.25">
      <c r="A5" s="200" t="s">
        <v>244</v>
      </c>
      <c r="B5" s="200">
        <v>1864</v>
      </c>
      <c r="C5" s="200">
        <v>1915</v>
      </c>
      <c r="D5" s="200">
        <v>1923</v>
      </c>
      <c r="E5" s="200">
        <v>1776</v>
      </c>
      <c r="F5" s="200">
        <v>1420</v>
      </c>
      <c r="G5" s="200">
        <v>1106</v>
      </c>
      <c r="H5" s="200">
        <v>1220</v>
      </c>
      <c r="I5" s="200">
        <v>1350</v>
      </c>
      <c r="J5" s="200">
        <v>1456</v>
      </c>
      <c r="K5" s="200">
        <v>1671</v>
      </c>
      <c r="L5" s="200">
        <v>1545</v>
      </c>
      <c r="M5" s="200">
        <v>1704</v>
      </c>
    </row>
    <row r="6" spans="1:13" x14ac:dyDescent="0.25">
      <c r="A6" s="200" t="s">
        <v>245</v>
      </c>
      <c r="B6" s="200">
        <v>1598</v>
      </c>
      <c r="C6" s="200">
        <v>1601</v>
      </c>
      <c r="D6" s="200">
        <v>1628.8150000000005</v>
      </c>
      <c r="E6" s="200">
        <v>1523.1849999999995</v>
      </c>
      <c r="F6" s="200">
        <v>1357</v>
      </c>
      <c r="G6" s="200">
        <v>1166</v>
      </c>
      <c r="H6" s="200">
        <v>1353</v>
      </c>
      <c r="I6" s="200">
        <v>1485</v>
      </c>
      <c r="J6" s="200">
        <v>1561</v>
      </c>
      <c r="K6" s="200">
        <v>1667</v>
      </c>
      <c r="L6" s="200">
        <v>1709</v>
      </c>
      <c r="M6" s="200">
        <v>1822</v>
      </c>
    </row>
    <row r="7" spans="1:13" x14ac:dyDescent="0.25">
      <c r="A7" s="200" t="s">
        <v>246</v>
      </c>
      <c r="B7" s="200">
        <v>1113</v>
      </c>
      <c r="C7" s="200">
        <v>998</v>
      </c>
      <c r="D7" s="200">
        <v>1080.241</v>
      </c>
      <c r="E7" s="200">
        <v>1029.759</v>
      </c>
      <c r="F7" s="200">
        <v>862</v>
      </c>
      <c r="G7" s="200">
        <v>764</v>
      </c>
      <c r="H7" s="200">
        <v>898</v>
      </c>
      <c r="I7" s="200">
        <v>1621</v>
      </c>
      <c r="J7" s="200">
        <v>943</v>
      </c>
      <c r="K7" s="200">
        <v>1469</v>
      </c>
      <c r="L7" s="200">
        <v>1059</v>
      </c>
      <c r="M7" s="200">
        <v>1219</v>
      </c>
    </row>
    <row r="8" spans="1:13" x14ac:dyDescent="0.25">
      <c r="A8" s="200" t="s">
        <v>247</v>
      </c>
      <c r="B8" s="200">
        <v>4198</v>
      </c>
      <c r="C8" s="200">
        <v>4375</v>
      </c>
      <c r="D8" s="200">
        <v>4429</v>
      </c>
      <c r="E8" s="200">
        <v>3301</v>
      </c>
      <c r="F8" s="200">
        <v>3571</v>
      </c>
      <c r="G8" s="200">
        <v>3146</v>
      </c>
      <c r="H8" s="200">
        <v>3449</v>
      </c>
      <c r="I8" s="200">
        <v>4090</v>
      </c>
      <c r="J8" s="200">
        <v>3612</v>
      </c>
      <c r="K8" s="200">
        <v>4119</v>
      </c>
      <c r="L8" s="200">
        <v>4281</v>
      </c>
      <c r="M8" s="200">
        <v>4752</v>
      </c>
    </row>
    <row r="9" spans="1:13" x14ac:dyDescent="0.25">
      <c r="A9">
        <v>0.2321</v>
      </c>
      <c r="B9">
        <v>17754</v>
      </c>
      <c r="C9">
        <v>17119</v>
      </c>
      <c r="D9">
        <v>17445.16</v>
      </c>
      <c r="E9">
        <v>14803.84</v>
      </c>
      <c r="F9">
        <v>14002</v>
      </c>
      <c r="G9">
        <v>11970</v>
      </c>
      <c r="H9">
        <v>13248</v>
      </c>
      <c r="I9">
        <v>16652</v>
      </c>
      <c r="J9">
        <v>15375</v>
      </c>
      <c r="K9">
        <v>18093</v>
      </c>
      <c r="L9">
        <v>16625</v>
      </c>
      <c r="M9">
        <v>18653</v>
      </c>
    </row>
    <row r="10" spans="1:13" x14ac:dyDescent="0.25">
      <c r="B10">
        <v>12143.044936</v>
      </c>
      <c r="E10">
        <v>9464.0724639999989</v>
      </c>
      <c r="H10">
        <v>10508.327499999999</v>
      </c>
      <c r="K10">
        <v>12387.409100000001</v>
      </c>
    </row>
    <row r="13" spans="1:13" x14ac:dyDescent="0.25">
      <c r="A13" s="200" t="s">
        <v>248</v>
      </c>
      <c r="B13" s="200" t="s">
        <v>229</v>
      </c>
      <c r="C13" s="200" t="s">
        <v>230</v>
      </c>
      <c r="D13" s="200" t="s">
        <v>231</v>
      </c>
      <c r="E13" s="200" t="s">
        <v>232</v>
      </c>
      <c r="F13" s="200" t="s">
        <v>233</v>
      </c>
      <c r="G13" s="200" t="s">
        <v>234</v>
      </c>
      <c r="H13" s="200" t="s">
        <v>235</v>
      </c>
      <c r="I13" s="200" t="s">
        <v>236</v>
      </c>
      <c r="J13" s="200" t="s">
        <v>237</v>
      </c>
      <c r="K13" s="200" t="s">
        <v>238</v>
      </c>
      <c r="L13" s="200" t="s">
        <v>239</v>
      </c>
      <c r="M13" s="200" t="s">
        <v>240</v>
      </c>
    </row>
    <row r="14" spans="1:13" x14ac:dyDescent="0.25">
      <c r="A14" s="200" t="s">
        <v>241</v>
      </c>
      <c r="B14" s="200">
        <v>919</v>
      </c>
      <c r="C14" s="200">
        <v>422</v>
      </c>
      <c r="D14" s="200">
        <v>477</v>
      </c>
      <c r="E14" s="200">
        <v>420</v>
      </c>
      <c r="F14" s="200">
        <v>469</v>
      </c>
      <c r="G14" s="200">
        <v>450</v>
      </c>
      <c r="H14" s="200">
        <v>498</v>
      </c>
      <c r="I14" s="200">
        <v>557</v>
      </c>
      <c r="J14" s="200">
        <v>464</v>
      </c>
      <c r="K14" s="200">
        <v>461</v>
      </c>
      <c r="L14" s="200">
        <v>476</v>
      </c>
      <c r="M14" s="200">
        <v>500</v>
      </c>
    </row>
    <row r="15" spans="1:13" x14ac:dyDescent="0.25">
      <c r="A15" s="200" t="s">
        <v>242</v>
      </c>
      <c r="B15" s="200">
        <v>352</v>
      </c>
      <c r="C15" s="200">
        <v>346</v>
      </c>
      <c r="D15" s="200">
        <v>362</v>
      </c>
      <c r="E15" s="200">
        <v>377</v>
      </c>
      <c r="F15" s="200">
        <v>390</v>
      </c>
      <c r="G15" s="200">
        <v>375</v>
      </c>
      <c r="H15" s="200">
        <v>413</v>
      </c>
      <c r="I15" s="200">
        <v>434</v>
      </c>
      <c r="J15" s="200">
        <v>425</v>
      </c>
      <c r="K15" s="200">
        <v>400</v>
      </c>
      <c r="L15" s="200">
        <v>416</v>
      </c>
      <c r="M15" s="200">
        <v>424</v>
      </c>
    </row>
    <row r="16" spans="1:13" x14ac:dyDescent="0.25">
      <c r="A16" s="200" t="s">
        <v>243</v>
      </c>
      <c r="B16" s="200">
        <v>441</v>
      </c>
      <c r="C16" s="200">
        <v>369</v>
      </c>
      <c r="D16" s="200">
        <v>403</v>
      </c>
      <c r="E16" s="200">
        <v>405</v>
      </c>
      <c r="F16" s="200">
        <v>422</v>
      </c>
      <c r="G16" s="200">
        <v>400</v>
      </c>
      <c r="H16" s="200">
        <v>444</v>
      </c>
      <c r="I16" s="200">
        <v>473</v>
      </c>
      <c r="J16" s="200">
        <v>426</v>
      </c>
      <c r="K16" s="200">
        <v>385</v>
      </c>
      <c r="L16" s="200">
        <v>408</v>
      </c>
      <c r="M16" s="200">
        <v>430</v>
      </c>
    </row>
    <row r="17" spans="1:13" x14ac:dyDescent="0.25">
      <c r="A17" s="200" t="s">
        <v>244</v>
      </c>
      <c r="B17" s="200">
        <v>389</v>
      </c>
      <c r="C17" s="200">
        <v>441</v>
      </c>
      <c r="D17" s="200">
        <v>432.23199999999997</v>
      </c>
      <c r="E17" s="200">
        <v>411.76800000000003</v>
      </c>
      <c r="F17" s="200">
        <v>400</v>
      </c>
      <c r="G17" s="200">
        <v>377</v>
      </c>
      <c r="H17" s="200">
        <v>411</v>
      </c>
      <c r="I17" s="200">
        <v>435</v>
      </c>
      <c r="J17" s="200">
        <v>412</v>
      </c>
      <c r="K17" s="200">
        <v>375</v>
      </c>
      <c r="L17" s="200">
        <v>392</v>
      </c>
      <c r="M17" s="200">
        <v>392</v>
      </c>
    </row>
    <row r="18" spans="1:13" x14ac:dyDescent="0.25">
      <c r="A18" s="200" t="s">
        <v>245</v>
      </c>
      <c r="B18" s="200">
        <v>349</v>
      </c>
      <c r="C18" s="200">
        <v>335</v>
      </c>
      <c r="D18" s="200">
        <v>362</v>
      </c>
      <c r="E18" s="200">
        <v>361</v>
      </c>
      <c r="F18" s="200">
        <v>374</v>
      </c>
      <c r="G18" s="200">
        <v>344</v>
      </c>
      <c r="H18" s="200">
        <v>386</v>
      </c>
      <c r="I18" s="200">
        <v>404</v>
      </c>
      <c r="J18" s="200">
        <v>392</v>
      </c>
      <c r="K18" s="200">
        <v>347</v>
      </c>
      <c r="L18" s="200">
        <v>363</v>
      </c>
      <c r="M18" s="200">
        <v>363</v>
      </c>
    </row>
    <row r="19" spans="1:13" x14ac:dyDescent="0.25">
      <c r="A19" s="200" t="s">
        <v>246</v>
      </c>
      <c r="B19" s="200">
        <v>231</v>
      </c>
      <c r="C19" s="200">
        <v>227</v>
      </c>
      <c r="D19" s="200">
        <v>250</v>
      </c>
      <c r="E19" s="200">
        <v>248</v>
      </c>
      <c r="F19" s="200">
        <v>235</v>
      </c>
      <c r="G19" s="200">
        <v>227</v>
      </c>
      <c r="H19" s="200">
        <v>265</v>
      </c>
      <c r="I19" s="200">
        <v>279</v>
      </c>
      <c r="J19" s="200">
        <v>255</v>
      </c>
      <c r="K19" s="200">
        <v>231</v>
      </c>
      <c r="L19" s="200">
        <v>237</v>
      </c>
      <c r="M19" s="200">
        <v>240</v>
      </c>
    </row>
    <row r="20" spans="1:13" x14ac:dyDescent="0.25">
      <c r="A20" s="200" t="s">
        <v>247</v>
      </c>
      <c r="B20" s="200">
        <v>207</v>
      </c>
      <c r="C20" s="200">
        <v>190</v>
      </c>
      <c r="D20" s="200">
        <v>178</v>
      </c>
      <c r="E20" s="200">
        <v>189</v>
      </c>
      <c r="F20" s="200">
        <v>227</v>
      </c>
      <c r="G20" s="200">
        <v>228</v>
      </c>
      <c r="H20" s="200">
        <v>264</v>
      </c>
      <c r="I20" s="200">
        <v>265</v>
      </c>
      <c r="J20" s="200">
        <v>269</v>
      </c>
      <c r="K20" s="200">
        <v>262</v>
      </c>
      <c r="L20" s="200">
        <v>264</v>
      </c>
      <c r="M20" s="200">
        <v>269</v>
      </c>
    </row>
    <row r="21" spans="1:13" x14ac:dyDescent="0.25">
      <c r="A21">
        <v>0.2321</v>
      </c>
      <c r="B21">
        <v>2888</v>
      </c>
      <c r="C21">
        <v>2330</v>
      </c>
      <c r="D21">
        <v>2464.232</v>
      </c>
      <c r="E21">
        <v>2411.768</v>
      </c>
      <c r="F21">
        <v>2517</v>
      </c>
      <c r="G21">
        <v>2401</v>
      </c>
      <c r="H21">
        <v>2681</v>
      </c>
      <c r="I21">
        <v>2847</v>
      </c>
      <c r="J21">
        <v>2643</v>
      </c>
      <c r="K21">
        <v>2461</v>
      </c>
      <c r="L21">
        <v>2556</v>
      </c>
      <c r="M21">
        <v>2618</v>
      </c>
    </row>
    <row r="22" spans="1:13" x14ac:dyDescent="0.25">
      <c r="B22">
        <v>1783.0460472</v>
      </c>
      <c r="E22">
        <v>1701.2391528000001</v>
      </c>
      <c r="H22">
        <v>1896.4891</v>
      </c>
      <c r="K22">
        <v>1772.0835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CCD3-7AF2-45F6-A985-45DDCBE859F8}">
  <sheetPr>
    <tabColor rgb="FFFFC000"/>
    <pageSetUpPr fitToPage="1"/>
  </sheetPr>
  <dimension ref="A1:P89"/>
  <sheetViews>
    <sheetView showGridLines="0" view="pageBreakPreview" topLeftCell="A44" zoomScale="60" zoomScaleNormal="70" workbookViewId="0">
      <selection activeCell="C56" sqref="C5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3" width="42.140625" style="3" customWidth="1"/>
    <col min="4" max="4" width="56.28515625" style="2" customWidth="1"/>
    <col min="5" max="5" width="43" style="2" customWidth="1"/>
    <col min="6" max="6" width="23.7109375" style="2" bestFit="1" customWidth="1"/>
    <col min="7" max="7" width="13.28515625" style="2" bestFit="1" customWidth="1"/>
    <col min="8" max="8" width="11.5703125" style="2" bestFit="1" customWidth="1"/>
    <col min="9" max="9" width="10.42578125" style="2" bestFit="1" customWidth="1"/>
    <col min="10" max="10" width="10.140625" style="2"/>
    <col min="11" max="11" width="19.140625" style="2" customWidth="1"/>
    <col min="12" max="13" width="10.140625" style="2"/>
    <col min="14" max="14" width="64.7109375" style="2" customWidth="1"/>
    <col min="15" max="16384" width="10.140625" style="2"/>
  </cols>
  <sheetData>
    <row r="1" spans="1:11" x14ac:dyDescent="0.25">
      <c r="A1" s="283"/>
      <c r="B1" s="283"/>
      <c r="C1" s="283"/>
      <c r="D1" s="3">
        <f>SUM(Площадь!B8)</f>
        <v>34316.699999999997</v>
      </c>
      <c r="E1" s="2" t="s">
        <v>128</v>
      </c>
      <c r="F1" s="4" t="s">
        <v>120</v>
      </c>
      <c r="K1" s="2">
        <v>34340.31</v>
      </c>
    </row>
    <row r="2" spans="1:11" x14ac:dyDescent="0.25">
      <c r="A2" s="283" t="s">
        <v>66</v>
      </c>
      <c r="B2" s="283"/>
      <c r="C2" s="283"/>
      <c r="D2" s="3">
        <f>SUM('мр1-3'!J1)</f>
        <v>101.2</v>
      </c>
      <c r="E2" s="2" t="s">
        <v>109</v>
      </c>
    </row>
    <row r="3" spans="1:11" ht="19.5" thickBot="1" x14ac:dyDescent="0.3">
      <c r="A3" s="284" t="s">
        <v>253</v>
      </c>
      <c r="B3" s="284"/>
      <c r="C3" s="284"/>
      <c r="D3" s="2">
        <f>SUM(мр1!J5+'мр1-1'!J5+'мр1-2'!J6+'мр1-2'!J5+мр2!J5+мр3!J5+мр4!J5+мр5!J5)</f>
        <v>534</v>
      </c>
      <c r="E3" s="2" t="s">
        <v>110</v>
      </c>
    </row>
    <row r="4" spans="1:11" x14ac:dyDescent="0.25">
      <c r="A4" s="276" t="s">
        <v>0</v>
      </c>
      <c r="B4" s="278" t="s">
        <v>1</v>
      </c>
      <c r="C4" s="245"/>
      <c r="D4" s="2">
        <f>SUM('мр1-3'!J5)</f>
        <v>8</v>
      </c>
      <c r="E4" s="2" t="s">
        <v>105</v>
      </c>
    </row>
    <row r="5" spans="1:11" ht="18" customHeight="1" x14ac:dyDescent="0.25">
      <c r="A5" s="277"/>
      <c r="B5" s="279"/>
      <c r="C5" s="275" t="s">
        <v>254</v>
      </c>
    </row>
    <row r="6" spans="1:11" x14ac:dyDescent="0.25">
      <c r="A6" s="277"/>
      <c r="B6" s="279"/>
      <c r="C6" s="275"/>
    </row>
    <row r="7" spans="1:11" ht="19.5" thickBot="1" x14ac:dyDescent="0.3">
      <c r="A7" s="119">
        <v>1</v>
      </c>
      <c r="B7" s="16">
        <v>2</v>
      </c>
      <c r="C7" s="17">
        <v>3</v>
      </c>
    </row>
    <row r="8" spans="1:11" ht="26.1" customHeight="1" thickBot="1" x14ac:dyDescent="0.3">
      <c r="A8" s="274" t="s">
        <v>2</v>
      </c>
      <c r="B8" s="274"/>
      <c r="C8" s="19" t="s">
        <v>8</v>
      </c>
    </row>
    <row r="9" spans="1:11" ht="20.100000000000001" customHeight="1" x14ac:dyDescent="0.25">
      <c r="A9" s="243">
        <v>1</v>
      </c>
      <c r="B9" s="21" t="s">
        <v>15</v>
      </c>
      <c r="C9" s="22">
        <f>SUM(C10:C13)</f>
        <v>35132.358817259999</v>
      </c>
    </row>
    <row r="10" spans="1:11" ht="20.100000000000001" customHeight="1" x14ac:dyDescent="0.25">
      <c r="A10" s="244"/>
      <c r="B10" s="10" t="s">
        <v>3</v>
      </c>
      <c r="C10" s="12">
        <f>14392.42398+(14392.42398*15/100)</f>
        <v>16551.287576999999</v>
      </c>
      <c r="D10" s="41"/>
      <c r="E10" s="41"/>
      <c r="F10" s="40"/>
      <c r="G10" s="40"/>
      <c r="H10" s="40"/>
      <c r="I10" s="41"/>
      <c r="J10" s="41"/>
      <c r="K10" s="40"/>
    </row>
    <row r="11" spans="1:11" ht="20.100000000000001" customHeight="1" x14ac:dyDescent="0.25">
      <c r="A11" s="244"/>
      <c r="B11" s="10" t="s">
        <v>10</v>
      </c>
      <c r="C11" s="12">
        <f>4498.91937+(4498.91937*15/100)</f>
        <v>5173.7572754999992</v>
      </c>
      <c r="D11" s="41"/>
      <c r="E11" s="41"/>
      <c r="F11" s="40"/>
      <c r="G11" s="40"/>
      <c r="H11" s="40"/>
      <c r="I11" s="41"/>
      <c r="J11" s="41"/>
      <c r="K11" s="40"/>
    </row>
    <row r="12" spans="1:11" ht="20.100000000000001" customHeight="1" outlineLevel="1" x14ac:dyDescent="0.25">
      <c r="A12" s="24"/>
      <c r="B12" s="10" t="s">
        <v>11</v>
      </c>
      <c r="C12" s="12">
        <f>6609.39642+(6609.39642*15/100)</f>
        <v>7600.805883</v>
      </c>
      <c r="D12" s="41"/>
      <c r="E12" s="41"/>
      <c r="F12" s="40"/>
      <c r="G12" s="40"/>
      <c r="H12" s="40"/>
      <c r="I12" s="41"/>
      <c r="J12" s="41"/>
      <c r="K12" s="40"/>
    </row>
    <row r="13" spans="1:11" ht="20.100000000000001" customHeight="1" outlineLevel="1" thickBot="1" x14ac:dyDescent="0.3">
      <c r="A13" s="24"/>
      <c r="B13" s="10" t="s">
        <v>12</v>
      </c>
      <c r="C13" s="12">
        <f>5049.1374624+(5049.1374624*15/100)</f>
        <v>5806.5080817600001</v>
      </c>
      <c r="D13" s="41"/>
      <c r="E13" s="41"/>
      <c r="F13" s="40"/>
      <c r="G13" s="40"/>
      <c r="H13" s="40"/>
      <c r="I13" s="41"/>
      <c r="J13" s="41"/>
      <c r="K13" s="40"/>
    </row>
    <row r="14" spans="1:11" ht="20.100000000000001" customHeight="1" x14ac:dyDescent="0.25">
      <c r="A14" s="243">
        <v>2</v>
      </c>
      <c r="B14" s="28" t="s">
        <v>16</v>
      </c>
      <c r="C14" s="35">
        <f>SUM(C15:C17)</f>
        <v>8643.284539736942</v>
      </c>
      <c r="D14" s="41"/>
      <c r="E14" s="41"/>
      <c r="I14" s="3"/>
      <c r="J14" s="3"/>
      <c r="K14" s="40"/>
    </row>
    <row r="15" spans="1:11" ht="39" customHeight="1" outlineLevel="1" x14ac:dyDescent="0.25">
      <c r="A15" s="29"/>
      <c r="B15" s="10" t="s">
        <v>20</v>
      </c>
      <c r="C15" s="12">
        <f>2264.9022+(2264.9022*15/100)</f>
        <v>2604.63753</v>
      </c>
      <c r="D15" s="41"/>
      <c r="E15" s="41"/>
      <c r="I15" s="41"/>
      <c r="J15" s="41"/>
      <c r="K15" s="40"/>
    </row>
    <row r="16" spans="1:11" ht="40.5" customHeight="1" outlineLevel="1" x14ac:dyDescent="0.25">
      <c r="A16" s="29"/>
      <c r="B16" s="10" t="s">
        <v>14</v>
      </c>
      <c r="C16" s="12">
        <f>2114.64+(2264.9022*15/100)</f>
        <v>2454.3753299999998</v>
      </c>
      <c r="D16" s="41"/>
      <c r="E16" s="41"/>
      <c r="I16" s="41"/>
      <c r="J16" s="41"/>
      <c r="K16" s="40"/>
    </row>
    <row r="17" spans="1:11" ht="40.5" customHeight="1" outlineLevel="1" thickBot="1" x14ac:dyDescent="0.3">
      <c r="A17" s="121"/>
      <c r="B17" s="122" t="s">
        <v>64</v>
      </c>
      <c r="C17" s="125">
        <f>3116.75798237995+(3116.75798237995*15/100)</f>
        <v>3584.2716797369426</v>
      </c>
      <c r="D17" s="41"/>
      <c r="E17" s="41"/>
      <c r="I17" s="41"/>
      <c r="J17" s="41"/>
      <c r="K17" s="40"/>
    </row>
    <row r="18" spans="1:11" ht="20.100000000000001" customHeight="1" outlineLevel="1" x14ac:dyDescent="0.25">
      <c r="A18" s="243">
        <v>3</v>
      </c>
      <c r="B18" s="28" t="s">
        <v>17</v>
      </c>
      <c r="C18" s="22">
        <f>SUM(C19:C20)</f>
        <v>5014.26</v>
      </c>
      <c r="D18" s="41"/>
      <c r="E18" s="41"/>
    </row>
    <row r="19" spans="1:11" ht="20.100000000000001" customHeight="1" outlineLevel="1" x14ac:dyDescent="0.25">
      <c r="A19" s="29"/>
      <c r="B19" s="10" t="s">
        <v>40</v>
      </c>
      <c r="C19" s="125">
        <v>1810.26</v>
      </c>
      <c r="D19" s="41">
        <f>1.06+(1.06*7/100)</f>
        <v>1.1342000000000001</v>
      </c>
      <c r="E19" s="41"/>
    </row>
    <row r="20" spans="1:11" ht="20.100000000000001" customHeight="1" outlineLevel="1" thickBot="1" x14ac:dyDescent="0.3">
      <c r="A20" s="27"/>
      <c r="B20" s="25" t="s">
        <v>18</v>
      </c>
      <c r="C20" s="125">
        <v>3204</v>
      </c>
      <c r="D20" s="41"/>
      <c r="E20" s="41"/>
    </row>
    <row r="21" spans="1:11" ht="20.100000000000001" customHeight="1" x14ac:dyDescent="0.25">
      <c r="A21" s="31" t="s">
        <v>9</v>
      </c>
      <c r="B21" s="28" t="s">
        <v>22</v>
      </c>
      <c r="C21" s="22">
        <f>SUM(C22:C23)</f>
        <v>95849.852999999988</v>
      </c>
      <c r="D21" s="45">
        <v>95849.852999999988</v>
      </c>
      <c r="E21" s="2">
        <v>95849.852999999988</v>
      </c>
      <c r="F21" s="2">
        <v>95849.852999999988</v>
      </c>
      <c r="G21" s="2">
        <v>95849.852999999988</v>
      </c>
      <c r="H21" s="2">
        <v>383399.41199999995</v>
      </c>
    </row>
    <row r="22" spans="1:11" ht="20.100000000000001" customHeight="1" outlineLevel="1" x14ac:dyDescent="0.25">
      <c r="A22" s="233"/>
      <c r="B22" s="234" t="s">
        <v>21</v>
      </c>
      <c r="C22" s="235">
        <v>63829.061999999991</v>
      </c>
      <c r="D22" s="43" t="s">
        <v>130</v>
      </c>
      <c r="E22" s="43"/>
      <c r="F22" s="43"/>
    </row>
    <row r="23" spans="1:11" ht="20.100000000000001" customHeight="1" outlineLevel="1" thickBot="1" x14ac:dyDescent="0.3">
      <c r="A23" s="221"/>
      <c r="B23" s="222" t="s">
        <v>49</v>
      </c>
      <c r="C23" s="223">
        <v>32020.790999999994</v>
      </c>
      <c r="D23" s="43"/>
      <c r="E23" s="43"/>
      <c r="F23" s="43"/>
    </row>
    <row r="24" spans="1:11" ht="20.100000000000001" customHeight="1" outlineLevel="1" x14ac:dyDescent="0.25">
      <c r="A24" s="225" t="s">
        <v>7</v>
      </c>
      <c r="B24" s="226" t="s">
        <v>4</v>
      </c>
      <c r="C24" s="227">
        <f>SUM(C25:C27)</f>
        <v>1700</v>
      </c>
    </row>
    <row r="25" spans="1:11" s="1" customFormat="1" ht="20.100000000000001" customHeight="1" outlineLevel="1" x14ac:dyDescent="0.25">
      <c r="A25" s="218"/>
      <c r="B25" s="229" t="s">
        <v>5</v>
      </c>
      <c r="C25" s="230">
        <v>1200</v>
      </c>
    </row>
    <row r="26" spans="1:11" s="1" customFormat="1" ht="21.75" customHeight="1" outlineLevel="1" x14ac:dyDescent="0.25">
      <c r="A26" s="218"/>
      <c r="B26" s="229" t="s">
        <v>19</v>
      </c>
      <c r="C26" s="230">
        <v>500</v>
      </c>
    </row>
    <row r="27" spans="1:11" s="1" customFormat="1" ht="36" customHeight="1" outlineLevel="1" x14ac:dyDescent="0.25">
      <c r="A27" s="218"/>
      <c r="B27" s="80" t="s">
        <v>104</v>
      </c>
      <c r="C27" s="219">
        <v>0</v>
      </c>
    </row>
    <row r="28" spans="1:11" ht="26.1" customHeight="1" outlineLevel="1" thickBot="1" x14ac:dyDescent="0.3">
      <c r="A28" s="282" t="s">
        <v>6</v>
      </c>
      <c r="B28" s="273"/>
      <c r="C28" s="154">
        <f>C9+C14+C18+C21+C24</f>
        <v>146339.75635699692</v>
      </c>
    </row>
    <row r="29" spans="1:11" ht="26.1" customHeight="1" thickBot="1" x14ac:dyDescent="0.3">
      <c r="A29" s="280" t="s">
        <v>34</v>
      </c>
      <c r="B29" s="281"/>
      <c r="C29" s="54" t="s">
        <v>8</v>
      </c>
    </row>
    <row r="30" spans="1:11" ht="20.100000000000001" customHeight="1" x14ac:dyDescent="0.25">
      <c r="A30" s="243">
        <v>1</v>
      </c>
      <c r="B30" s="21" t="s">
        <v>15</v>
      </c>
      <c r="C30" s="64">
        <f>SUM(C31:C34)</f>
        <v>34928.844852499999</v>
      </c>
    </row>
    <row r="31" spans="1:11" ht="20.100000000000001" customHeight="1" x14ac:dyDescent="0.25">
      <c r="A31" s="46"/>
      <c r="B31" s="10" t="s">
        <v>3</v>
      </c>
      <c r="C31" s="42">
        <f>SUM(C10)</f>
        <v>16551.287576999999</v>
      </c>
    </row>
    <row r="32" spans="1:11" ht="20.100000000000001" customHeight="1" x14ac:dyDescent="0.25">
      <c r="A32" s="207"/>
      <c r="B32" s="80" t="s">
        <v>10</v>
      </c>
      <c r="C32" s="68">
        <f>SUM(C11)</f>
        <v>5173.7572754999992</v>
      </c>
    </row>
    <row r="33" spans="1:16" ht="57.75" customHeight="1" x14ac:dyDescent="0.25">
      <c r="A33" s="207"/>
      <c r="B33" s="80" t="s">
        <v>62</v>
      </c>
      <c r="C33" s="247">
        <v>8630</v>
      </c>
      <c r="D33" s="149" t="s">
        <v>127</v>
      </c>
      <c r="F33" s="96"/>
      <c r="G33" s="96"/>
      <c r="H33" s="96"/>
    </row>
    <row r="34" spans="1:16" s="174" customFormat="1" ht="20.100000000000001" customHeight="1" thickBot="1" x14ac:dyDescent="0.3">
      <c r="A34" s="207"/>
      <c r="B34" s="80" t="s">
        <v>12</v>
      </c>
      <c r="C34" s="246">
        <v>4573.8</v>
      </c>
      <c r="D34" s="175" t="s">
        <v>225</v>
      </c>
      <c r="F34" s="177"/>
      <c r="G34" s="176"/>
      <c r="H34" s="178"/>
    </row>
    <row r="35" spans="1:16" ht="20.100000000000001" customHeight="1" x14ac:dyDescent="0.25">
      <c r="A35" s="208">
        <v>2</v>
      </c>
      <c r="B35" s="209" t="s">
        <v>16</v>
      </c>
      <c r="C35" s="210">
        <f>SUM(C36:C38)</f>
        <v>19599.276310416943</v>
      </c>
      <c r="F35" s="96"/>
      <c r="G35" s="96"/>
      <c r="H35" s="96"/>
    </row>
    <row r="36" spans="1:16" ht="39.950000000000003" customHeight="1" x14ac:dyDescent="0.25">
      <c r="A36" s="212"/>
      <c r="B36" s="80" t="s">
        <v>20</v>
      </c>
      <c r="C36" s="68">
        <f>12143.044936+(12143.044936*15/100)</f>
        <v>13964.501676400001</v>
      </c>
      <c r="D36" s="149" t="s">
        <v>227</v>
      </c>
      <c r="I36" s="150" t="s">
        <v>97</v>
      </c>
      <c r="O36" s="2">
        <v>0.2092</v>
      </c>
      <c r="P36" s="2" t="s">
        <v>94</v>
      </c>
    </row>
    <row r="37" spans="1:16" ht="39.950000000000003" customHeight="1" x14ac:dyDescent="0.25">
      <c r="A37" s="29"/>
      <c r="B37" s="80" t="s">
        <v>14</v>
      </c>
      <c r="C37" s="68">
        <f>1783.0460472+(1783.0460472*15/100)</f>
        <v>2050.5029542799998</v>
      </c>
      <c r="D37" s="149" t="s">
        <v>93</v>
      </c>
      <c r="I37" s="149">
        <v>3100</v>
      </c>
      <c r="J37" s="2" t="s">
        <v>95</v>
      </c>
      <c r="K37" s="2">
        <v>0.2092</v>
      </c>
      <c r="L37" s="2" t="s">
        <v>94</v>
      </c>
    </row>
    <row r="38" spans="1:16" ht="39.950000000000003" customHeight="1" thickBot="1" x14ac:dyDescent="0.3">
      <c r="A38" s="27"/>
      <c r="B38" s="147" t="s">
        <v>64</v>
      </c>
      <c r="C38" s="146">
        <f>SUM(C17)</f>
        <v>3584.2716797369426</v>
      </c>
      <c r="D38" s="149" t="s">
        <v>93</v>
      </c>
      <c r="I38" s="149">
        <v>0.38894299999999998</v>
      </c>
      <c r="J38" s="2" t="s">
        <v>96</v>
      </c>
    </row>
    <row r="39" spans="1:16" ht="20.100000000000001" customHeight="1" x14ac:dyDescent="0.25">
      <c r="A39" s="152" t="s">
        <v>28</v>
      </c>
      <c r="B39" s="36" t="s">
        <v>17</v>
      </c>
      <c r="C39" s="148">
        <f>SUM(C40:C40)</f>
        <v>3780</v>
      </c>
    </row>
    <row r="40" spans="1:16" s="174" customFormat="1" ht="87" customHeight="1" thickBot="1" x14ac:dyDescent="0.3">
      <c r="A40" s="236"/>
      <c r="B40" s="234" t="s">
        <v>99</v>
      </c>
      <c r="C40" s="172">
        <v>3780</v>
      </c>
      <c r="D40" s="174" t="s">
        <v>226</v>
      </c>
    </row>
    <row r="41" spans="1:16" ht="20.100000000000001" customHeight="1" x14ac:dyDescent="0.25">
      <c r="A41" s="208" t="s">
        <v>9</v>
      </c>
      <c r="B41" s="209" t="s">
        <v>33</v>
      </c>
      <c r="C41" s="211">
        <f>SUM(C42:C59)</f>
        <v>85496.866160000005</v>
      </c>
    </row>
    <row r="42" spans="1:16" ht="20.100000000000001" customHeight="1" x14ac:dyDescent="0.25">
      <c r="A42" s="214"/>
      <c r="B42" s="80" t="s">
        <v>38</v>
      </c>
      <c r="C42" s="68">
        <v>63867.75</v>
      </c>
      <c r="D42" s="2">
        <f>0.62*34340.31*12</f>
        <v>255491.90639999998</v>
      </c>
      <c r="E42" s="2" t="s">
        <v>129</v>
      </c>
    </row>
    <row r="43" spans="1:16" ht="20.100000000000001" customHeight="1" x14ac:dyDescent="0.25">
      <c r="A43" s="217"/>
      <c r="B43" s="80" t="s">
        <v>23</v>
      </c>
      <c r="C43" s="68">
        <v>4883.76</v>
      </c>
      <c r="D43" s="2">
        <v>1627.92</v>
      </c>
      <c r="E43" s="2">
        <f>D43*14/100</f>
        <v>227.90880000000001</v>
      </c>
      <c r="F43" s="2">
        <f>D43-E43</f>
        <v>1400.0112000000001</v>
      </c>
    </row>
    <row r="44" spans="1:16" ht="20.100000000000001" customHeight="1" x14ac:dyDescent="0.25">
      <c r="A44" s="217"/>
      <c r="B44" s="80" t="s">
        <v>31</v>
      </c>
      <c r="C44" s="68">
        <v>566.51616000000001</v>
      </c>
      <c r="D44" s="2">
        <v>11.6</v>
      </c>
    </row>
    <row r="45" spans="1:16" s="173" customFormat="1" ht="20.100000000000001" customHeight="1" x14ac:dyDescent="0.25">
      <c r="A45" s="217"/>
      <c r="B45" s="80" t="s">
        <v>29</v>
      </c>
      <c r="C45" s="303">
        <v>67.5</v>
      </c>
      <c r="D45" s="173" t="s">
        <v>118</v>
      </c>
      <c r="E45" s="173" t="s">
        <v>60</v>
      </c>
    </row>
    <row r="46" spans="1:16" s="173" customFormat="1" ht="20.100000000000001" customHeight="1" x14ac:dyDescent="0.25">
      <c r="A46" s="207"/>
      <c r="B46" s="80" t="s">
        <v>30</v>
      </c>
      <c r="C46" s="68">
        <v>400</v>
      </c>
    </row>
    <row r="47" spans="1:16" ht="20.100000000000001" customHeight="1" x14ac:dyDescent="0.25">
      <c r="A47" s="214"/>
      <c r="B47" s="80" t="s">
        <v>63</v>
      </c>
      <c r="C47" s="68">
        <v>235</v>
      </c>
      <c r="D47" s="215" t="s">
        <v>98</v>
      </c>
      <c r="F47" s="149" t="s">
        <v>125</v>
      </c>
    </row>
    <row r="48" spans="1:16" ht="20.100000000000001" customHeight="1" x14ac:dyDescent="0.25">
      <c r="A48" s="214"/>
      <c r="B48" s="80" t="s">
        <v>65</v>
      </c>
      <c r="C48" s="68">
        <v>0</v>
      </c>
      <c r="D48" s="215" t="s">
        <v>124</v>
      </c>
      <c r="L48" s="2" t="s">
        <v>126</v>
      </c>
    </row>
    <row r="49" spans="1:10" ht="20.100000000000001" customHeight="1" x14ac:dyDescent="0.25">
      <c r="A49" s="207"/>
      <c r="B49" s="80" t="s">
        <v>24</v>
      </c>
      <c r="C49" s="68">
        <v>135</v>
      </c>
      <c r="D49" s="215"/>
      <c r="G49" s="43"/>
      <c r="H49" s="43"/>
    </row>
    <row r="50" spans="1:10" ht="20.100000000000001" customHeight="1" x14ac:dyDescent="0.25">
      <c r="A50" s="216"/>
      <c r="B50" s="80" t="s">
        <v>36</v>
      </c>
      <c r="C50" s="68">
        <v>1946.25</v>
      </c>
      <c r="D50" s="1"/>
      <c r="E50" s="4"/>
      <c r="F50" s="4"/>
      <c r="G50" s="4"/>
      <c r="H50" s="4"/>
      <c r="I50" s="4"/>
      <c r="J50" s="4"/>
    </row>
    <row r="51" spans="1:10" ht="20.100000000000001" customHeight="1" x14ac:dyDescent="0.25">
      <c r="A51" s="213"/>
      <c r="B51" s="80" t="s">
        <v>250</v>
      </c>
      <c r="C51" s="68">
        <v>613.41</v>
      </c>
      <c r="D51" s="149" t="s">
        <v>249</v>
      </c>
    </row>
    <row r="52" spans="1:10" ht="41.25" customHeight="1" x14ac:dyDescent="0.25">
      <c r="A52" s="213"/>
      <c r="B52" s="80" t="s">
        <v>92</v>
      </c>
      <c r="C52" s="68">
        <v>100</v>
      </c>
      <c r="D52" s="1"/>
    </row>
    <row r="53" spans="1:10" ht="41.25" customHeight="1" x14ac:dyDescent="0.25">
      <c r="A53" s="213"/>
      <c r="B53" s="80" t="s">
        <v>90</v>
      </c>
      <c r="C53" s="68">
        <v>400</v>
      </c>
    </row>
    <row r="54" spans="1:10" s="173" customFormat="1" ht="41.25" customHeight="1" x14ac:dyDescent="0.25">
      <c r="A54" s="213"/>
      <c r="B54" s="80" t="s">
        <v>91</v>
      </c>
      <c r="C54" s="68">
        <v>36</v>
      </c>
    </row>
    <row r="55" spans="1:10" s="173" customFormat="1" ht="41.25" customHeight="1" x14ac:dyDescent="0.25">
      <c r="A55" s="213"/>
      <c r="B55" s="229" t="s">
        <v>252</v>
      </c>
      <c r="C55" s="322">
        <v>2672.58</v>
      </c>
    </row>
    <row r="56" spans="1:10" s="173" customFormat="1" ht="41.25" customHeight="1" x14ac:dyDescent="0.25">
      <c r="A56" s="213"/>
      <c r="B56" s="229" t="s">
        <v>267</v>
      </c>
      <c r="C56" s="326">
        <v>2000</v>
      </c>
    </row>
    <row r="57" spans="1:10" ht="39" customHeight="1" x14ac:dyDescent="0.25">
      <c r="A57" s="304"/>
      <c r="B57" s="80" t="s">
        <v>44</v>
      </c>
      <c r="C57" s="68">
        <v>5013.1000000000004</v>
      </c>
      <c r="D57" s="149" t="s">
        <v>251</v>
      </c>
    </row>
    <row r="58" spans="1:10" ht="60" customHeight="1" x14ac:dyDescent="0.25">
      <c r="A58" s="305"/>
      <c r="B58" s="323" t="s">
        <v>45</v>
      </c>
      <c r="C58" s="68">
        <v>2500</v>
      </c>
      <c r="D58" s="149" t="s">
        <v>255</v>
      </c>
    </row>
    <row r="59" spans="1:10" ht="20.100000000000001" customHeight="1" thickBot="1" x14ac:dyDescent="0.3">
      <c r="A59" s="306"/>
      <c r="B59" s="307" t="s">
        <v>27</v>
      </c>
      <c r="C59" s="246">
        <v>60</v>
      </c>
      <c r="D59" s="2" t="s">
        <v>61</v>
      </c>
    </row>
    <row r="60" spans="1:10" ht="20.100000000000001" customHeight="1" thickBot="1" x14ac:dyDescent="0.3">
      <c r="A60" s="157">
        <v>5</v>
      </c>
      <c r="B60" s="158" t="s">
        <v>102</v>
      </c>
      <c r="C60" s="159"/>
    </row>
    <row r="61" spans="1:10" ht="20.100000000000001" customHeight="1" thickBot="1" x14ac:dyDescent="0.3">
      <c r="A61" s="231"/>
      <c r="B61" s="158" t="s">
        <v>103</v>
      </c>
      <c r="C61" s="232"/>
    </row>
    <row r="62" spans="1:10" ht="20.100000000000001" customHeight="1" outlineLevel="1" thickBot="1" x14ac:dyDescent="0.3">
      <c r="A62" s="272" t="s">
        <v>37</v>
      </c>
      <c r="B62" s="273"/>
      <c r="C62" s="154">
        <f>C30+C35+C39+C41</f>
        <v>143804.98732291695</v>
      </c>
    </row>
    <row r="63" spans="1:10" ht="26.1" customHeight="1" outlineLevel="1" x14ac:dyDescent="0.25">
      <c r="A63" s="237"/>
      <c r="B63" s="71"/>
      <c r="C63" s="72">
        <f>C28-C62</f>
        <v>2534.7690340799745</v>
      </c>
    </row>
    <row r="64" spans="1:10" ht="26.1" customHeight="1" outlineLevel="1" x14ac:dyDescent="0.25">
      <c r="A64" s="237"/>
      <c r="B64" s="71"/>
      <c r="C64" s="72"/>
    </row>
    <row r="65" spans="1:8" ht="37.5" x14ac:dyDescent="0.25">
      <c r="A65" s="69"/>
      <c r="B65" s="80" t="s">
        <v>42</v>
      </c>
      <c r="C65" s="238" t="s">
        <v>117</v>
      </c>
      <c r="D65" s="2">
        <f>SUM(0.28*(D3+D4))*12</f>
        <v>1821.1200000000003</v>
      </c>
    </row>
    <row r="66" spans="1:8" ht="39.75" customHeight="1" x14ac:dyDescent="0.25">
      <c r="A66" s="69"/>
      <c r="B66" s="80" t="s">
        <v>215</v>
      </c>
      <c r="C66" s="238" t="s">
        <v>214</v>
      </c>
      <c r="D66" s="2">
        <v>389.19</v>
      </c>
    </row>
    <row r="67" spans="1:8" x14ac:dyDescent="0.25">
      <c r="A67" s="69"/>
      <c r="B67" s="80" t="s">
        <v>13</v>
      </c>
      <c r="C67" s="238" t="s">
        <v>48</v>
      </c>
    </row>
    <row r="68" spans="1:8" x14ac:dyDescent="0.25">
      <c r="A68" s="69"/>
      <c r="B68" s="49" t="s">
        <v>43</v>
      </c>
      <c r="C68" s="239" t="s">
        <v>116</v>
      </c>
      <c r="D68" s="265"/>
      <c r="E68" s="265"/>
      <c r="F68" s="265"/>
      <c r="G68" s="265"/>
      <c r="H68" s="265"/>
    </row>
    <row r="69" spans="1:8" ht="19.5" thickBot="1" x14ac:dyDescent="0.3">
      <c r="A69" s="69"/>
      <c r="B69" s="82"/>
      <c r="C69" s="240"/>
      <c r="D69" s="240"/>
      <c r="E69" s="240"/>
      <c r="F69" s="240"/>
      <c r="G69" s="240"/>
      <c r="H69" s="240"/>
    </row>
    <row r="70" spans="1:8" ht="19.5" thickBot="1" x14ac:dyDescent="0.3">
      <c r="A70" s="69"/>
      <c r="B70" s="153" t="s">
        <v>102</v>
      </c>
      <c r="C70" s="241">
        <v>-5647.46</v>
      </c>
      <c r="D70" s="240"/>
      <c r="E70" s="240"/>
      <c r="F70" s="240"/>
      <c r="G70" s="240"/>
      <c r="H70" s="240"/>
    </row>
    <row r="71" spans="1:8" ht="19.5" thickBot="1" x14ac:dyDescent="0.3">
      <c r="A71" s="69"/>
      <c r="B71" s="153" t="s">
        <v>103</v>
      </c>
      <c r="C71" s="242">
        <v>-14565.37</v>
      </c>
      <c r="D71" s="240"/>
      <c r="E71" s="240"/>
      <c r="F71" s="240"/>
      <c r="G71" s="240"/>
      <c r="H71" s="240"/>
    </row>
    <row r="72" spans="1:8" ht="19.5" thickBot="1" x14ac:dyDescent="0.3">
      <c r="A72" s="69"/>
      <c r="B72" s="170" t="s">
        <v>106</v>
      </c>
      <c r="C72" s="171"/>
      <c r="D72" s="240"/>
      <c r="E72" s="240"/>
      <c r="F72" s="240"/>
      <c r="G72" s="240"/>
      <c r="H72" s="240"/>
    </row>
    <row r="73" spans="1:8" x14ac:dyDescent="0.25">
      <c r="A73" s="69"/>
      <c r="B73" s="82"/>
      <c r="C73" s="240"/>
      <c r="D73" s="240"/>
      <c r="E73" s="240"/>
      <c r="F73" s="240"/>
      <c r="G73" s="240"/>
      <c r="H73" s="240"/>
    </row>
    <row r="74" spans="1:8" x14ac:dyDescent="0.25">
      <c r="A74" s="69"/>
      <c r="B74" s="85" t="s">
        <v>47</v>
      </c>
      <c r="C74" s="240"/>
      <c r="D74" s="240"/>
      <c r="E74" s="240"/>
      <c r="F74" s="240"/>
      <c r="G74" s="240"/>
      <c r="H74" s="240"/>
    </row>
    <row r="75" spans="1:8" x14ac:dyDescent="0.25">
      <c r="A75" s="69"/>
      <c r="B75" s="82" t="s">
        <v>100</v>
      </c>
      <c r="C75" s="240"/>
      <c r="D75" s="240"/>
      <c r="E75" s="240"/>
      <c r="F75" s="240"/>
      <c r="G75" s="240"/>
      <c r="H75" s="240"/>
    </row>
    <row r="76" spans="1:8" x14ac:dyDescent="0.25">
      <c r="A76" s="69"/>
      <c r="B76" s="82" t="s">
        <v>101</v>
      </c>
      <c r="C76" s="240"/>
      <c r="D76" s="240"/>
      <c r="E76" s="240"/>
      <c r="F76" s="240"/>
      <c r="G76" s="240"/>
      <c r="H76" s="240"/>
    </row>
    <row r="77" spans="1:8" ht="19.5" thickBot="1" x14ac:dyDescent="0.3">
      <c r="A77" s="69"/>
      <c r="B77" s="82"/>
      <c r="C77" s="86">
        <v>2022</v>
      </c>
      <c r="D77" s="240"/>
      <c r="E77" s="240"/>
      <c r="F77" s="240"/>
      <c r="G77" s="240"/>
      <c r="H77" s="240"/>
    </row>
    <row r="78" spans="1:8" ht="19.5" customHeight="1" x14ac:dyDescent="0.25">
      <c r="A78" s="69"/>
      <c r="B78" s="184" t="s">
        <v>46</v>
      </c>
      <c r="C78" s="186">
        <f>C79+C80</f>
        <v>0.92999999999999994</v>
      </c>
      <c r="D78" s="240"/>
      <c r="E78" s="240"/>
      <c r="F78" s="240"/>
      <c r="G78" s="240"/>
      <c r="H78" s="240"/>
    </row>
    <row r="79" spans="1:8" ht="19.5" customHeight="1" x14ac:dyDescent="0.25">
      <c r="A79" s="69"/>
      <c r="B79" s="187" t="s">
        <v>21</v>
      </c>
      <c r="C79" s="188">
        <v>0.62</v>
      </c>
      <c r="D79" s="240"/>
      <c r="E79" s="240"/>
      <c r="F79" s="240"/>
      <c r="G79" s="240"/>
      <c r="H79" s="240"/>
    </row>
    <row r="80" spans="1:8" ht="19.5" customHeight="1" thickBot="1" x14ac:dyDescent="0.3">
      <c r="A80" s="69"/>
      <c r="B80" s="189" t="s">
        <v>49</v>
      </c>
      <c r="C80" s="191">
        <v>0.31</v>
      </c>
      <c r="D80" s="240"/>
      <c r="E80" s="240"/>
      <c r="F80" s="240"/>
      <c r="G80" s="240"/>
      <c r="H80" s="240"/>
    </row>
    <row r="81" spans="1:8" ht="19.5" customHeight="1" x14ac:dyDescent="0.25">
      <c r="A81" s="69"/>
      <c r="B81" s="88"/>
      <c r="C81" s="240"/>
      <c r="D81" s="240"/>
      <c r="E81" s="240"/>
      <c r="F81" s="240"/>
      <c r="G81" s="240"/>
      <c r="H81" s="240"/>
    </row>
    <row r="82" spans="1:8" ht="19.5" customHeight="1" x14ac:dyDescent="0.25">
      <c r="A82" s="69"/>
      <c r="B82" s="259" t="s">
        <v>50</v>
      </c>
      <c r="C82" s="259"/>
      <c r="D82" s="240"/>
      <c r="E82" s="240"/>
      <c r="F82" s="240"/>
      <c r="G82" s="240"/>
      <c r="H82" s="240"/>
    </row>
    <row r="83" spans="1:8" ht="39.75" customHeight="1" x14ac:dyDescent="0.25">
      <c r="A83" s="69"/>
      <c r="B83" s="82"/>
      <c r="C83" s="240"/>
      <c r="D83" s="240"/>
      <c r="E83" s="240"/>
      <c r="F83" s="240"/>
      <c r="G83" s="240"/>
      <c r="H83" s="240"/>
    </row>
    <row r="84" spans="1:8" x14ac:dyDescent="0.25">
      <c r="A84" s="69"/>
      <c r="C84" s="67">
        <f>(C15+C16)*1.2/100</f>
        <v>60.708154319999991</v>
      </c>
    </row>
    <row r="85" spans="1:8" x14ac:dyDescent="0.25">
      <c r="A85" s="70"/>
      <c r="C85" s="67">
        <f>(C15+C16-C84)*0.5/100</f>
        <v>24.991523528399998</v>
      </c>
    </row>
    <row r="86" spans="1:8" x14ac:dyDescent="0.25">
      <c r="C86" s="3">
        <f>C9*1.2/100</f>
        <v>421.58830580711998</v>
      </c>
    </row>
    <row r="87" spans="1:8" x14ac:dyDescent="0.25">
      <c r="C87" s="3">
        <f>(C9-C86)*4/100</f>
        <v>1388.4308204581152</v>
      </c>
    </row>
    <row r="88" spans="1:8" x14ac:dyDescent="0.25">
      <c r="C88" s="3">
        <f>(D1*0.13)*1.2/100</f>
        <v>53.534051999999996</v>
      </c>
    </row>
    <row r="89" spans="1:8" x14ac:dyDescent="0.25">
      <c r="C89" s="3">
        <f>SUM(C84:C88)</f>
        <v>1949.2528561136351</v>
      </c>
    </row>
  </sheetData>
  <dataConsolidate/>
  <mergeCells count="12">
    <mergeCell ref="A1:C1"/>
    <mergeCell ref="A2:C2"/>
    <mergeCell ref="A3:C3"/>
    <mergeCell ref="A4:A6"/>
    <mergeCell ref="B4:B6"/>
    <mergeCell ref="C5:C6"/>
    <mergeCell ref="D68:H68"/>
    <mergeCell ref="B82:C82"/>
    <mergeCell ref="A8:B8"/>
    <mergeCell ref="A28:B28"/>
    <mergeCell ref="A29:B29"/>
    <mergeCell ref="A62:B62"/>
  </mergeCells>
  <pageMargins left="0.70866141732283472" right="0.70866141732283472" top="0.74803149606299213" bottom="0.74803149606299213" header="0.31496062992125984" footer="0.31496062992125984"/>
  <pageSetup paperSize="9" scale="33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6F85-A866-42E5-9DF3-A8CBA65DBB9E}">
  <sheetPr>
    <tabColor rgb="FFFFC000"/>
    <pageSetUpPr fitToPage="1"/>
  </sheetPr>
  <dimension ref="A1:AI61"/>
  <sheetViews>
    <sheetView showGridLines="0" view="pageBreakPreview" topLeftCell="A4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61" style="2" customWidth="1"/>
    <col min="9" max="9" width="26.7109375" style="2" customWidth="1"/>
    <col min="10" max="10" width="11.7109375" style="2" bestFit="1" customWidth="1"/>
    <col min="11" max="12" width="15.85546875" style="2" customWidth="1"/>
    <col min="13" max="13" width="24.5703125" style="2" customWidth="1"/>
    <col min="14" max="14" width="10.140625" style="2"/>
    <col min="15" max="15" width="30.7109375" style="2" customWidth="1"/>
    <col min="16" max="16" width="10.140625" style="2" customWidth="1"/>
    <col min="17" max="17" width="44.42578125" style="2" customWidth="1"/>
    <col min="18" max="18" width="17.7109375" style="2" customWidth="1"/>
    <col min="19" max="19" width="14.42578125" style="2" customWidth="1"/>
    <col min="20" max="20" width="10.140625" style="2" customWidth="1"/>
    <col min="21" max="21" width="16.28515625" style="2" customWidth="1"/>
    <col min="22" max="24" width="10.140625" style="2" customWidth="1"/>
    <col min="25" max="25" width="20.42578125" style="2" customWidth="1"/>
    <col min="26" max="29" width="10.140625" style="2" customWidth="1"/>
    <col min="30" max="16384" width="10.140625" style="2"/>
  </cols>
  <sheetData>
    <row r="1" spans="1:26" x14ac:dyDescent="0.25">
      <c r="A1" s="283"/>
      <c r="B1" s="283"/>
      <c r="C1" s="283"/>
      <c r="D1" s="94"/>
      <c r="E1" s="94"/>
      <c r="F1" s="94"/>
      <c r="G1" s="94"/>
      <c r="I1" s="99" t="s">
        <v>119</v>
      </c>
      <c r="J1" s="98">
        <v>7285</v>
      </c>
      <c r="K1" s="4" t="s">
        <v>120</v>
      </c>
      <c r="O1" s="2">
        <v>7287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94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95"/>
    </row>
    <row r="4" spans="1:26" x14ac:dyDescent="0.25">
      <c r="A4" s="276" t="s">
        <v>0</v>
      </c>
      <c r="B4" s="278" t="s">
        <v>1</v>
      </c>
      <c r="C4" s="93"/>
      <c r="D4" s="93"/>
      <c r="E4" s="93"/>
      <c r="F4" s="93"/>
      <c r="G4" s="14"/>
      <c r="I4" s="4" t="s">
        <v>55</v>
      </c>
      <c r="J4" s="4">
        <v>99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109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9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123</v>
      </c>
    </row>
    <row r="8" spans="1:26" ht="42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91">
        <v>1</v>
      </c>
      <c r="B9" s="21" t="s">
        <v>15</v>
      </c>
      <c r="C9" s="22">
        <f>SUM(C10:C15)</f>
        <v>6444.1126824000003</v>
      </c>
      <c r="D9" s="22">
        <f>SUM(D10:D15)</f>
        <v>6444.1126824000003</v>
      </c>
      <c r="E9" s="22">
        <f>SUM(E10:E15)</f>
        <v>6444.1126824000003</v>
      </c>
      <c r="F9" s="22">
        <f>SUM(F10:F15)</f>
        <v>6444.1126824000003</v>
      </c>
      <c r="G9" s="8">
        <f>SUM(G10:G15)</f>
        <v>25776.450729600001</v>
      </c>
      <c r="I9" s="120" t="s">
        <v>73</v>
      </c>
      <c r="J9" s="120" t="s">
        <v>74</v>
      </c>
      <c r="K9" s="136" t="s">
        <v>75</v>
      </c>
      <c r="L9" s="136" t="s">
        <v>76</v>
      </c>
      <c r="M9" s="136" t="s">
        <v>54</v>
      </c>
      <c r="N9" s="120"/>
      <c r="O9" s="120" t="s">
        <v>58</v>
      </c>
      <c r="P9" s="120" t="s">
        <v>74</v>
      </c>
      <c r="Q9" s="120" t="s">
        <v>53</v>
      </c>
      <c r="R9" s="120" t="s">
        <v>76</v>
      </c>
      <c r="S9" s="136" t="s">
        <v>54</v>
      </c>
      <c r="T9" s="120"/>
      <c r="U9" s="120" t="s">
        <v>58</v>
      </c>
      <c r="V9" s="120" t="s">
        <v>74</v>
      </c>
      <c r="W9" s="120" t="s">
        <v>53</v>
      </c>
      <c r="X9" s="120" t="s">
        <v>76</v>
      </c>
      <c r="Y9" s="136" t="s">
        <v>54</v>
      </c>
    </row>
    <row r="10" spans="1:26" ht="20.100000000000001" customHeight="1" x14ac:dyDescent="0.3">
      <c r="A10" s="92"/>
      <c r="B10" s="10" t="s">
        <v>3</v>
      </c>
      <c r="C10" s="12">
        <f>SUM(I10*3)</f>
        <v>3055.3290000000002</v>
      </c>
      <c r="D10" s="12">
        <f>SUM(I10*2+O10*1)</f>
        <v>3055.3290000000002</v>
      </c>
      <c r="E10" s="12">
        <f>SUM(O10*2)+U10*1</f>
        <v>3055.3290000000002</v>
      </c>
      <c r="F10" s="12">
        <f>SUM(U10*3)</f>
        <v>3055.3290000000002</v>
      </c>
      <c r="G10" s="76">
        <f>SUM(C10:F10)</f>
        <v>12221.316000000001</v>
      </c>
      <c r="H10" s="137" t="s">
        <v>77</v>
      </c>
      <c r="I10" s="138">
        <f>SUM(M10*K10)</f>
        <v>1018.4430000000001</v>
      </c>
      <c r="J10" s="138" t="s">
        <v>122</v>
      </c>
      <c r="K10" s="138">
        <v>0.13980000000000001</v>
      </c>
      <c r="L10" s="138"/>
      <c r="M10" s="180">
        <f>SUM(J1)</f>
        <v>7285</v>
      </c>
      <c r="N10" s="140"/>
      <c r="O10" s="138">
        <f>SUM(S10*Q10)</f>
        <v>1018.4430000000001</v>
      </c>
      <c r="P10" s="138" t="s">
        <v>122</v>
      </c>
      <c r="Q10" s="138">
        <v>0.13980000000000001</v>
      </c>
      <c r="R10" s="138"/>
      <c r="S10" s="139">
        <f>SUM(J1)</f>
        <v>7285</v>
      </c>
      <c r="T10" s="140"/>
      <c r="U10" s="138">
        <f>SUM(Y10*W10)</f>
        <v>1018.4430000000001</v>
      </c>
      <c r="V10" s="138" t="s">
        <v>122</v>
      </c>
      <c r="W10" s="138">
        <v>0.13980000000000001</v>
      </c>
      <c r="X10" s="138"/>
      <c r="Y10" s="139">
        <f>SUM(J1)</f>
        <v>7285</v>
      </c>
      <c r="Z10" s="291"/>
    </row>
    <row r="11" spans="1:26" ht="28.5" customHeight="1" x14ac:dyDescent="0.3">
      <c r="A11" s="92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7285</v>
      </c>
      <c r="N11" s="140"/>
      <c r="O11" s="138"/>
      <c r="P11" s="138" t="s">
        <v>122</v>
      </c>
      <c r="Q11" s="138"/>
      <c r="R11" s="138">
        <v>0.15</v>
      </c>
      <c r="S11" s="138">
        <f>SUM(J1)</f>
        <v>7285</v>
      </c>
      <c r="T11" s="140"/>
      <c r="U11" s="138"/>
      <c r="V11" s="138" t="s">
        <v>122</v>
      </c>
      <c r="W11" s="138"/>
      <c r="X11" s="138">
        <v>0.15</v>
      </c>
      <c r="Y11" s="139">
        <f>SUM(J1)</f>
        <v>7285</v>
      </c>
      <c r="Z11" s="291"/>
    </row>
    <row r="12" spans="1:26" ht="48" customHeight="1" x14ac:dyDescent="0.3">
      <c r="A12" s="92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47.25" customHeight="1" x14ac:dyDescent="0.3">
      <c r="A13" s="92"/>
      <c r="B13" s="10" t="s">
        <v>10</v>
      </c>
      <c r="C13" s="12">
        <f>SUM(I13*3)</f>
        <v>955.06350000000009</v>
      </c>
      <c r="D13" s="12">
        <f>SUM(I13*2+O13)</f>
        <v>955.06350000000009</v>
      </c>
      <c r="E13" s="12">
        <f>SUM(O13*2+U13)</f>
        <v>955.06350000000009</v>
      </c>
      <c r="F13" s="12">
        <f>SUM(U13*3)</f>
        <v>955.06350000000009</v>
      </c>
      <c r="G13" s="76">
        <f>SUM(C13:F13)</f>
        <v>3820.2540000000004</v>
      </c>
      <c r="H13" s="137" t="s">
        <v>80</v>
      </c>
      <c r="I13" s="138">
        <f>SUM(K13*M13)</f>
        <v>318.35450000000003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7285</v>
      </c>
      <c r="N13" s="141"/>
      <c r="O13" s="138">
        <f>SUM(Q13*S13)</f>
        <v>318.35450000000003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7285</v>
      </c>
      <c r="T13" s="141"/>
      <c r="U13" s="138">
        <f>SUM(W13*Y13)</f>
        <v>318.35450000000003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7285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1403.0909999999999</v>
      </c>
      <c r="D14" s="12">
        <f>SUM(I14*2+O14)</f>
        <v>1403.0909999999999</v>
      </c>
      <c r="E14" s="12">
        <f>SUM(O14*2+U14)</f>
        <v>1403.0909999999999</v>
      </c>
      <c r="F14" s="12">
        <f>SUM(U14*3)</f>
        <v>1403.0909999999999</v>
      </c>
      <c r="G14" s="76">
        <f t="shared" si="0"/>
        <v>5612.3639999999996</v>
      </c>
      <c r="H14" s="137" t="s">
        <v>11</v>
      </c>
      <c r="I14" s="138">
        <f>SUM(K14*M14)</f>
        <v>467.69699999999995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7285</v>
      </c>
      <c r="N14" s="141"/>
      <c r="O14" s="138">
        <f>SUM(S14*Q14)</f>
        <v>467.69699999999995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7285</v>
      </c>
      <c r="T14" s="141"/>
      <c r="U14" s="138">
        <f>SUM(Y14*W14)</f>
        <v>467.69699999999995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7285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1030.6291823999998</v>
      </c>
      <c r="D15" s="9">
        <f>SUM(I15*2+O15)</f>
        <v>1030.6291823999998</v>
      </c>
      <c r="E15" s="9">
        <f>SUM(O15*2+U15)</f>
        <v>1030.6291823999998</v>
      </c>
      <c r="F15" s="9">
        <f>SUM(U15*3)</f>
        <v>1030.6291823999998</v>
      </c>
      <c r="G15" s="76">
        <f t="shared" ref="G15" si="1">SUM(C15:F15)</f>
        <v>4122.5167295999991</v>
      </c>
      <c r="H15" s="137" t="s">
        <v>81</v>
      </c>
      <c r="I15" s="138">
        <f>SUM(J15*((K15+L15))/2)*M15*1.2</f>
        <v>343.54306079999992</v>
      </c>
      <c r="J15" s="138">
        <v>0.24</v>
      </c>
      <c r="K15" s="138">
        <v>10.1853</v>
      </c>
      <c r="L15" s="138">
        <v>11.702</v>
      </c>
      <c r="M15" s="179">
        <f>SUM(J5)</f>
        <v>109</v>
      </c>
      <c r="N15" s="141"/>
      <c r="O15" s="138">
        <f>SUM(P15*((Q15+R15)/2)*S15)*1.2</f>
        <v>343.54306079999992</v>
      </c>
      <c r="P15" s="138">
        <v>0.24</v>
      </c>
      <c r="Q15" s="138">
        <v>10.1853</v>
      </c>
      <c r="R15" s="138">
        <v>11.702</v>
      </c>
      <c r="S15" s="138">
        <f>SUM(J5)</f>
        <v>109</v>
      </c>
      <c r="T15" s="141"/>
      <c r="U15" s="138">
        <f>SUM(V15*((W15+X15)/2)*Y15)*1.2</f>
        <v>343.54306079999992</v>
      </c>
      <c r="V15" s="138">
        <v>0.24</v>
      </c>
      <c r="W15" s="138">
        <v>10.1853</v>
      </c>
      <c r="X15" s="138">
        <v>11.702</v>
      </c>
      <c r="Y15" s="138">
        <f>SUM(J5)</f>
        <v>109</v>
      </c>
    </row>
    <row r="16" spans="1:26" ht="20.100000000000001" customHeight="1" x14ac:dyDescent="0.3">
      <c r="A16" s="91">
        <v>2</v>
      </c>
      <c r="B16" s="28" t="s">
        <v>16</v>
      </c>
      <c r="C16" s="35">
        <f>SUM(C17:C19)</f>
        <v>912.44999999999993</v>
      </c>
      <c r="D16" s="35">
        <f t="shared" ref="D16:F16" si="2">SUM(D17:D19)</f>
        <v>912.44999999999993</v>
      </c>
      <c r="E16" s="35">
        <f t="shared" si="2"/>
        <v>912.44999999999993</v>
      </c>
      <c r="F16" s="35">
        <f t="shared" si="2"/>
        <v>912.44999999999993</v>
      </c>
      <c r="G16" s="35">
        <f>SUM(G17:G19)</f>
        <v>3649.7999999999997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480.80999999999995</v>
      </c>
      <c r="D17" s="12">
        <f>SUM(I17*2+O17)</f>
        <v>480.80999999999995</v>
      </c>
      <c r="E17" s="12">
        <f>SUM(O17*2+U17)</f>
        <v>480.80999999999995</v>
      </c>
      <c r="F17" s="12">
        <f>SUM(U17*3)</f>
        <v>480.80999999999995</v>
      </c>
      <c r="G17" s="76">
        <f t="shared" ref="G17:G18" si="3">SUM(C17:F17)</f>
        <v>1923.2399999999998</v>
      </c>
      <c r="H17" s="142" t="s">
        <v>82</v>
      </c>
      <c r="I17" s="138">
        <f>SUM(K17*M17)</f>
        <v>160.26999999999998</v>
      </c>
      <c r="J17" s="138" t="s">
        <v>122</v>
      </c>
      <c r="K17" s="138">
        <v>2.1999999999999999E-2</v>
      </c>
      <c r="L17" s="138"/>
      <c r="M17" s="138">
        <f>SUM(J1)</f>
        <v>7285</v>
      </c>
      <c r="N17" s="141"/>
      <c r="O17" s="138">
        <f>SUM(Q17*S17)</f>
        <v>160.26999999999998</v>
      </c>
      <c r="P17" s="138" t="s">
        <v>122</v>
      </c>
      <c r="Q17" s="138">
        <v>2.1999999999999999E-2</v>
      </c>
      <c r="R17" s="138"/>
      <c r="S17" s="138">
        <f>SUM(J1)</f>
        <v>7285</v>
      </c>
      <c r="T17" s="141"/>
      <c r="U17" s="138">
        <f>SUM(W17*Y17)</f>
        <v>160.26999999999998</v>
      </c>
      <c r="V17" s="138" t="s">
        <v>122</v>
      </c>
      <c r="W17" s="138">
        <v>2.1999999999999999E-2</v>
      </c>
      <c r="X17" s="138"/>
      <c r="Y17" s="138">
        <f>SUM(J1)</f>
        <v>7285</v>
      </c>
    </row>
    <row r="18" spans="1:35" ht="40.5" customHeight="1" outlineLevel="1" x14ac:dyDescent="0.3">
      <c r="A18" s="29"/>
      <c r="B18" s="10" t="s">
        <v>14</v>
      </c>
      <c r="C18" s="12">
        <f>SUM(I18*3)</f>
        <v>431.64</v>
      </c>
      <c r="D18" s="12">
        <f>SUM(I18*2+O18)</f>
        <v>431.64</v>
      </c>
      <c r="E18" s="12">
        <f>SUM(O18*2+U18)</f>
        <v>431.64</v>
      </c>
      <c r="F18" s="12">
        <f>SUM(U18*3)</f>
        <v>431.64</v>
      </c>
      <c r="G18" s="76">
        <f t="shared" si="3"/>
        <v>1726.56</v>
      </c>
      <c r="H18" s="142" t="s">
        <v>84</v>
      </c>
      <c r="I18" s="138">
        <f>SUM(K18*M18)*1.5</f>
        <v>143.88</v>
      </c>
      <c r="J18" s="138" t="s">
        <v>83</v>
      </c>
      <c r="K18" s="138">
        <v>0.88</v>
      </c>
      <c r="L18" s="138"/>
      <c r="M18" s="138">
        <f>SUM(J5)</f>
        <v>109</v>
      </c>
      <c r="N18" s="141"/>
      <c r="O18" s="138">
        <f>SUM(Q18*S18)*1.5</f>
        <v>143.88</v>
      </c>
      <c r="P18" s="138" t="s">
        <v>83</v>
      </c>
      <c r="Q18" s="138">
        <v>0.88</v>
      </c>
      <c r="R18" s="138"/>
      <c r="S18" s="138">
        <f>SUM(J5)</f>
        <v>109</v>
      </c>
      <c r="T18" s="141"/>
      <c r="U18" s="138">
        <f>SUM(W18*Y18)*1.5</f>
        <v>143.88</v>
      </c>
      <c r="V18" s="138" t="s">
        <v>83</v>
      </c>
      <c r="W18" s="138">
        <v>0.88</v>
      </c>
      <c r="X18" s="138"/>
      <c r="Y18" s="138">
        <f>SUM(J5)</f>
        <v>109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91">
        <v>3</v>
      </c>
      <c r="B20" s="28" t="s">
        <v>17</v>
      </c>
      <c r="C20" s="22">
        <f>SUM(C21:C22)</f>
        <v>1000.62</v>
      </c>
      <c r="D20" s="22">
        <f t="shared" ref="D20:F20" si="4">SUM(D21:D22)</f>
        <v>1000.62</v>
      </c>
      <c r="E20" s="22">
        <f t="shared" si="4"/>
        <v>1000.62</v>
      </c>
      <c r="F20" s="22">
        <f t="shared" si="4"/>
        <v>1000.62</v>
      </c>
      <c r="G20" s="8">
        <f>SUM(G21:G22)</f>
        <v>4002.48</v>
      </c>
      <c r="H20" s="137"/>
      <c r="I20" s="120" t="s">
        <v>57</v>
      </c>
      <c r="J20" s="120"/>
      <c r="K20" s="120" t="s">
        <v>53</v>
      </c>
      <c r="L20" s="120"/>
      <c r="M20" s="120" t="s">
        <v>58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</row>
    <row r="21" spans="1:35" ht="20.100000000000001" customHeight="1" outlineLevel="1" x14ac:dyDescent="0.3">
      <c r="A21" s="29"/>
      <c r="B21" s="10" t="s">
        <v>40</v>
      </c>
      <c r="C21" s="11">
        <f>SUM(M21)*3</f>
        <v>346.62</v>
      </c>
      <c r="D21" s="11">
        <f>SUM(M21*3)</f>
        <v>346.62</v>
      </c>
      <c r="E21" s="11">
        <f>SUM(M21*3)</f>
        <v>346.62</v>
      </c>
      <c r="F21" s="11">
        <f>SUM(M21*3)</f>
        <v>346.62</v>
      </c>
      <c r="G21" s="77">
        <f>SUM(C21:F21)</f>
        <v>1386.48</v>
      </c>
      <c r="H21" s="137" t="s">
        <v>85</v>
      </c>
      <c r="I21" s="106">
        <f>SUM(J5)</f>
        <v>109</v>
      </c>
      <c r="J21" s="107"/>
      <c r="K21" s="107">
        <v>1.06</v>
      </c>
      <c r="L21" s="107"/>
      <c r="M21" s="108">
        <f>I21*K21</f>
        <v>115.54</v>
      </c>
      <c r="N21" s="120"/>
      <c r="O21" s="106"/>
      <c r="P21" s="107"/>
      <c r="Q21" s="107"/>
      <c r="R21" s="107"/>
      <c r="S21" s="108"/>
      <c r="T21" s="120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654</v>
      </c>
      <c r="D22" s="26">
        <f>SUM(M22*3)</f>
        <v>654</v>
      </c>
      <c r="E22" s="26">
        <f>SUM(M22*3)</f>
        <v>654</v>
      </c>
      <c r="F22" s="26">
        <f>SUM(M22*3)</f>
        <v>654</v>
      </c>
      <c r="G22" s="78">
        <f>SUM(C22:F22)</f>
        <v>2616</v>
      </c>
      <c r="H22" s="142" t="s">
        <v>86</v>
      </c>
      <c r="I22" s="109">
        <f>SUM(J5)</f>
        <v>109</v>
      </c>
      <c r="J22" s="110"/>
      <c r="K22" s="110">
        <v>2</v>
      </c>
      <c r="L22" s="110"/>
      <c r="M22" s="111">
        <f>I22*K22</f>
        <v>218</v>
      </c>
      <c r="N22" s="120"/>
      <c r="O22" s="109"/>
      <c r="P22" s="110"/>
      <c r="Q22" s="110"/>
      <c r="R22" s="110"/>
      <c r="S22" s="111"/>
      <c r="T22" s="120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20325.149999999998</v>
      </c>
      <c r="D23" s="22">
        <f t="shared" ref="D23:F23" si="5">SUM(D24:D25)</f>
        <v>20325.149999999998</v>
      </c>
      <c r="E23" s="22">
        <f t="shared" si="5"/>
        <v>20325.149999999998</v>
      </c>
      <c r="F23" s="22">
        <f t="shared" si="5"/>
        <v>20325.149999999998</v>
      </c>
      <c r="G23" s="8">
        <f>SUM(G24:G25)</f>
        <v>81300.599999999991</v>
      </c>
      <c r="H23" s="143"/>
      <c r="I23" s="120" t="s">
        <v>59</v>
      </c>
      <c r="J23" s="120"/>
      <c r="K23" s="120" t="s">
        <v>53</v>
      </c>
      <c r="L23" s="120"/>
      <c r="M23" s="120" t="s">
        <v>58</v>
      </c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</row>
    <row r="24" spans="1:35" ht="20.100000000000001" customHeight="1" outlineLevel="1" x14ac:dyDescent="0.25">
      <c r="A24" s="32"/>
      <c r="B24" s="10" t="s">
        <v>21</v>
      </c>
      <c r="C24" s="9">
        <f>SUM(J1*K24*3)</f>
        <v>13550.099999999999</v>
      </c>
      <c r="D24" s="9">
        <f>SUM(J1*K24*3)</f>
        <v>13550.099999999999</v>
      </c>
      <c r="E24" s="9">
        <f>SUM(J1*K24*3)</f>
        <v>13550.099999999999</v>
      </c>
      <c r="F24" s="9">
        <f>SUM(J1*K24*3)</f>
        <v>13550.099999999999</v>
      </c>
      <c r="G24" s="77">
        <f t="shared" ref="G24:G29" si="6">SUM(C24:F24)</f>
        <v>54200.399999999994</v>
      </c>
      <c r="H24" s="144" t="s">
        <v>87</v>
      </c>
      <c r="I24" s="100">
        <f>SUM(O1)</f>
        <v>7287</v>
      </c>
      <c r="J24" s="101"/>
      <c r="K24" s="107">
        <v>0.62</v>
      </c>
      <c r="L24" s="107"/>
      <c r="M24" s="102">
        <f>SUM(I24*K24)</f>
        <v>4517.9399999999996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SUM(M25*3)</f>
        <v>6775.0499999999993</v>
      </c>
      <c r="D25" s="26">
        <f>SUM(M25*3)</f>
        <v>6775.0499999999993</v>
      </c>
      <c r="E25" s="26">
        <f>SUM(M25*3)</f>
        <v>6775.0499999999993</v>
      </c>
      <c r="F25" s="26">
        <f>SUM(M25*3)</f>
        <v>6775.0499999999993</v>
      </c>
      <c r="G25" s="78">
        <f t="shared" si="6"/>
        <v>27100.199999999997</v>
      </c>
      <c r="H25" s="144" t="s">
        <v>88</v>
      </c>
      <c r="I25" s="103">
        <f>SUM(J1)</f>
        <v>7285</v>
      </c>
      <c r="J25" s="105"/>
      <c r="K25" s="110">
        <v>0.31</v>
      </c>
      <c r="L25" s="110"/>
      <c r="M25" s="104">
        <f>SUM(I25*K25)</f>
        <v>2258.35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109</v>
      </c>
      <c r="J27" s="166"/>
      <c r="K27" s="169">
        <v>0.28000000000000003</v>
      </c>
      <c r="L27" s="166"/>
      <c r="M27" s="181">
        <f>SUM(I27*K27)</f>
        <v>30.520000000000003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28682.332682399996</v>
      </c>
      <c r="D29" s="52">
        <f>D9+D16+D20+D23+D26</f>
        <v>28682.332682399996</v>
      </c>
      <c r="E29" s="52">
        <f>E9+E16+E20+E23+E26</f>
        <v>28682.332682399996</v>
      </c>
      <c r="F29" s="52">
        <f>F9+F16+F20+F23+F26</f>
        <v>28682.332682399996</v>
      </c>
      <c r="G29" s="53">
        <f t="shared" si="6"/>
        <v>114729.33072959998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91">
        <v>1</v>
      </c>
      <c r="B31" s="21" t="s">
        <v>15</v>
      </c>
      <c r="C31" s="64">
        <f>SUM(C32:C35)</f>
        <v>4392.7290373700416</v>
      </c>
      <c r="D31" s="64">
        <f>SUM(D32:D35)</f>
        <v>4392.7290373700416</v>
      </c>
      <c r="E31" s="64">
        <f>SUM(E32:E35)</f>
        <v>4392.7290373700416</v>
      </c>
      <c r="F31" s="64">
        <f>SUM(F32:F35)</f>
        <v>4392.7290373700416</v>
      </c>
      <c r="G31" s="64">
        <f>SUM(G32:G35)</f>
        <v>17570.916149480166</v>
      </c>
      <c r="H31" s="144" t="s">
        <v>224</v>
      </c>
      <c r="I31" s="100">
        <f>SUM(O1)</f>
        <v>7287</v>
      </c>
      <c r="J31" s="101"/>
      <c r="K31" s="107">
        <v>0.62</v>
      </c>
      <c r="L31" s="107"/>
      <c r="M31" s="102">
        <f>SUM(I31*K31)</f>
        <v>4517.9399999999996</v>
      </c>
    </row>
    <row r="32" spans="1:35" ht="20.100000000000001" customHeight="1" thickBot="1" x14ac:dyDescent="0.3">
      <c r="A32" s="46"/>
      <c r="B32" s="10" t="s">
        <v>3</v>
      </c>
      <c r="C32" s="42">
        <f>C10</f>
        <v>3055.3290000000002</v>
      </c>
      <c r="D32" s="42">
        <f>D10</f>
        <v>3055.3290000000002</v>
      </c>
      <c r="E32" s="42">
        <f>E10</f>
        <v>3055.3290000000002</v>
      </c>
      <c r="F32" s="42">
        <f>F10</f>
        <v>3055.3290000000002</v>
      </c>
      <c r="G32" s="73">
        <f>SUM(C32:F32)</f>
        <v>12221.316000000001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955.06350000000009</v>
      </c>
      <c r="D33" s="42">
        <f t="shared" si="8"/>
        <v>955.06350000000009</v>
      </c>
      <c r="E33" s="42">
        <f t="shared" si="8"/>
        <v>955.06350000000009</v>
      </c>
      <c r="F33" s="42">
        <f t="shared" si="8"/>
        <v>955.06350000000009</v>
      </c>
      <c r="G33" s="73">
        <f>SUM(C33:F33)</f>
        <v>3820.2540000000004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91">
        <v>2</v>
      </c>
      <c r="B36" s="28" t="s">
        <v>16</v>
      </c>
      <c r="C36" s="64">
        <f>SUM(C37:C38)</f>
        <v>0</v>
      </c>
      <c r="D36" s="64">
        <f t="shared" ref="D36:G36" si="9">SUM(D37:D38)</f>
        <v>0</v>
      </c>
      <c r="E36" s="64">
        <f t="shared" si="9"/>
        <v>0</v>
      </c>
      <c r="F36" s="64">
        <f t="shared" si="9"/>
        <v>0</v>
      </c>
      <c r="G36" s="64">
        <f t="shared" si="9"/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91" t="s">
        <v>28</v>
      </c>
      <c r="B39" s="28" t="s">
        <v>17</v>
      </c>
      <c r="C39" s="64">
        <f>SUM(C40:C41)</f>
        <v>1000.62</v>
      </c>
      <c r="D39" s="64">
        <f t="shared" ref="D39:G39" si="10">SUM(D40:D41)</f>
        <v>1000.62</v>
      </c>
      <c r="E39" s="64">
        <f t="shared" si="10"/>
        <v>1000.62</v>
      </c>
      <c r="F39" s="64">
        <f t="shared" si="10"/>
        <v>1000.62</v>
      </c>
      <c r="G39" s="64">
        <f t="shared" si="10"/>
        <v>4002.48</v>
      </c>
    </row>
    <row r="40" spans="1:7" ht="20.100000000000001" customHeight="1" x14ac:dyDescent="0.25">
      <c r="A40" s="46"/>
      <c r="B40" s="10" t="s">
        <v>40</v>
      </c>
      <c r="C40" s="42">
        <f t="shared" ref="C40:F41" si="11">C21</f>
        <v>346.62</v>
      </c>
      <c r="D40" s="42">
        <f t="shared" si="11"/>
        <v>346.62</v>
      </c>
      <c r="E40" s="42">
        <f t="shared" si="11"/>
        <v>346.62</v>
      </c>
      <c r="F40" s="42">
        <f t="shared" si="11"/>
        <v>346.62</v>
      </c>
      <c r="G40" s="73">
        <f>SUM(C40:F40)</f>
        <v>1386.48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1"/>
        <v>654</v>
      </c>
      <c r="D41" s="57">
        <f t="shared" si="11"/>
        <v>654</v>
      </c>
      <c r="E41" s="57">
        <f t="shared" si="11"/>
        <v>654</v>
      </c>
      <c r="F41" s="57">
        <f t="shared" si="11"/>
        <v>654</v>
      </c>
      <c r="G41" s="73">
        <f>SUM(C41:F41)</f>
        <v>2616</v>
      </c>
    </row>
    <row r="42" spans="1:7" ht="20.100000000000001" customHeight="1" x14ac:dyDescent="0.25">
      <c r="A42" s="91" t="s">
        <v>9</v>
      </c>
      <c r="B42" s="28" t="s">
        <v>33</v>
      </c>
      <c r="C42" s="64">
        <f>SUM(C43:C58)</f>
        <v>13553.82</v>
      </c>
      <c r="D42" s="64">
        <f>SUM(D43:D58)</f>
        <v>13553.82</v>
      </c>
      <c r="E42" s="64">
        <f>SUM(E43:E58)</f>
        <v>13553.82</v>
      </c>
      <c r="F42" s="64">
        <f>SUM(F43:F58)</f>
        <v>13553.82</v>
      </c>
      <c r="G42" s="66">
        <f t="shared" ref="G42:G51" si="12">SUM(C42:F42)</f>
        <v>54215.28</v>
      </c>
    </row>
    <row r="43" spans="1:7" ht="20.100000000000001" customHeight="1" x14ac:dyDescent="0.25">
      <c r="A43" s="58"/>
      <c r="B43" s="49" t="s">
        <v>38</v>
      </c>
      <c r="C43" s="42">
        <f>SUM(M24*3)</f>
        <v>13553.82</v>
      </c>
      <c r="D43" s="42">
        <f>SUM(M24*3)</f>
        <v>13553.82</v>
      </c>
      <c r="E43" s="42">
        <f>SUM(M24*3)</f>
        <v>13553.82</v>
      </c>
      <c r="F43" s="42">
        <f>SUM(M24*3)</f>
        <v>13553.82</v>
      </c>
      <c r="G43" s="73">
        <f t="shared" si="12"/>
        <v>54215.28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2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2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2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2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2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2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2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3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3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3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3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3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4.6" customHeight="1" outlineLevel="1" thickBot="1" x14ac:dyDescent="0.3">
      <c r="A59" s="286" t="s">
        <v>37</v>
      </c>
      <c r="B59" s="287"/>
      <c r="C59" s="38">
        <f>C31+C36+C39+C42</f>
        <v>18947.16903737004</v>
      </c>
      <c r="D59" s="38">
        <f>D31+D36+D39+D42</f>
        <v>18947.16903737004</v>
      </c>
      <c r="E59" s="38">
        <f>E31+E36+E39+E42</f>
        <v>18947.16903737004</v>
      </c>
      <c r="F59" s="38">
        <f>F31+F36+F39+F42</f>
        <v>18947.16903737004</v>
      </c>
      <c r="G59" s="39">
        <f>G31+G36+G39+G42</f>
        <v>75788.676149480161</v>
      </c>
    </row>
    <row r="60" spans="1:14" ht="24.6" customHeight="1" outlineLevel="1" x14ac:dyDescent="0.25">
      <c r="A60" s="89"/>
      <c r="B60" s="71"/>
      <c r="C60" s="72">
        <f>C29-C59</f>
        <v>9735.1636450299557</v>
      </c>
      <c r="D60" s="72">
        <f>D29-D59</f>
        <v>9735.1636450299557</v>
      </c>
      <c r="E60" s="72">
        <f>E29-E59</f>
        <v>9735.1636450299557</v>
      </c>
      <c r="F60" s="72">
        <f>F29-F59</f>
        <v>9735.1636450299557</v>
      </c>
      <c r="G60" s="72">
        <f>G29-G59</f>
        <v>38940.654580119823</v>
      </c>
    </row>
    <row r="61" spans="1:14" x14ac:dyDescent="0.25">
      <c r="A61" s="69"/>
      <c r="B61" s="82"/>
      <c r="C61" s="90"/>
      <c r="D61" s="90"/>
      <c r="E61" s="90"/>
      <c r="F61" s="90"/>
      <c r="G61" s="90"/>
      <c r="H61" s="90"/>
      <c r="I61" s="90"/>
      <c r="J61" s="90"/>
      <c r="K61" s="90"/>
      <c r="L61" s="90"/>
    </row>
  </sheetData>
  <dataConsolidate/>
  <mergeCells count="19">
    <mergeCell ref="O8:S8"/>
    <mergeCell ref="U8:Y8"/>
    <mergeCell ref="Z10:Z12"/>
    <mergeCell ref="H28:AA2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A30:B30"/>
    <mergeCell ref="A59:B59"/>
    <mergeCell ref="A8:B8"/>
    <mergeCell ref="A29:B29"/>
    <mergeCell ref="I8:M8"/>
  </mergeCells>
  <pageMargins left="0.70866141732283472" right="0.70866141732283472" top="0.74803149606299213" bottom="0.74803149606299213" header="0.31496062992125984" footer="0.31496062992125984"/>
  <pageSetup paperSize="9" scale="48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89E8-EF9E-4440-B355-AEF0A5289F0B}">
  <sheetPr>
    <tabColor rgb="FFFFC000"/>
    <pageSetUpPr fitToPage="1"/>
  </sheetPr>
  <dimension ref="A1:AI60"/>
  <sheetViews>
    <sheetView showGridLines="0" view="pageBreakPreview" topLeftCell="A7" zoomScale="60" zoomScaleNormal="70" workbookViewId="0">
      <selection activeCell="I14" sqref="I14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41.425781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8" style="2" customWidth="1"/>
    <col min="14" max="14" width="10.140625" style="2"/>
    <col min="15" max="15" width="12.28515625" style="2" bestFit="1" customWidth="1"/>
    <col min="16" max="20" width="10.140625" style="2"/>
    <col min="21" max="21" width="12.28515625" style="2" bestFit="1" customWidth="1"/>
    <col min="22" max="24" width="10.140625" style="2"/>
    <col min="25" max="25" width="17.28515625" style="2" customWidth="1"/>
    <col min="26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3195.4</v>
      </c>
      <c r="K1" s="4" t="s">
        <v>120</v>
      </c>
      <c r="M1" s="2">
        <v>3195.4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60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46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2809.4461656000003</v>
      </c>
      <c r="D9" s="22">
        <f>SUM(D10:D15)</f>
        <v>2809.4461656000003</v>
      </c>
      <c r="E9" s="22">
        <f>SUM(E10:E15)</f>
        <v>2809.4461656000003</v>
      </c>
      <c r="F9" s="22">
        <f>SUM(F10:F15)</f>
        <v>2809.4461656000003</v>
      </c>
      <c r="G9" s="8">
        <f>SUM(G10:G15)</f>
        <v>11237.784662400001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1340.15076</v>
      </c>
      <c r="D10" s="12">
        <f>SUM(I10*2+O10*1)</f>
        <v>1340.15076</v>
      </c>
      <c r="E10" s="12">
        <f>SUM(O10*2)+U10*1</f>
        <v>1340.15076</v>
      </c>
      <c r="F10" s="12">
        <f>SUM(U10*3)</f>
        <v>1340.15076</v>
      </c>
      <c r="G10" s="76">
        <f>SUM(C10:F10)</f>
        <v>5360.60304</v>
      </c>
      <c r="H10" s="137" t="s">
        <v>77</v>
      </c>
      <c r="I10" s="138">
        <f>SUM(M10*K10)</f>
        <v>446.71692000000002</v>
      </c>
      <c r="J10" s="138" t="s">
        <v>122</v>
      </c>
      <c r="K10" s="138">
        <v>0.13980000000000001</v>
      </c>
      <c r="L10" s="138"/>
      <c r="M10" s="180">
        <f>SUM(J1)</f>
        <v>3195.4</v>
      </c>
      <c r="N10" s="140"/>
      <c r="O10" s="138">
        <f>SUM(S10*Q10)</f>
        <v>446.71692000000002</v>
      </c>
      <c r="P10" s="138" t="s">
        <v>122</v>
      </c>
      <c r="Q10" s="138">
        <v>0.13980000000000001</v>
      </c>
      <c r="R10" s="138"/>
      <c r="S10" s="139">
        <f>SUM(J1)</f>
        <v>3195.4</v>
      </c>
      <c r="T10" s="140"/>
      <c r="U10" s="138">
        <f>SUM(Y10*W10)</f>
        <v>446.71692000000002</v>
      </c>
      <c r="V10" s="138" t="s">
        <v>122</v>
      </c>
      <c r="W10" s="138">
        <v>0.13980000000000001</v>
      </c>
      <c r="X10" s="138"/>
      <c r="Y10" s="139">
        <f>SUM(J1)</f>
        <v>3195.4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3195.4</v>
      </c>
      <c r="N11" s="140"/>
      <c r="O11" s="138"/>
      <c r="P11" s="138" t="s">
        <v>122</v>
      </c>
      <c r="Q11" s="138"/>
      <c r="R11" s="138">
        <v>0.15</v>
      </c>
      <c r="S11" s="138">
        <f>SUM(J1)</f>
        <v>3195.4</v>
      </c>
      <c r="T11" s="140"/>
      <c r="U11" s="138"/>
      <c r="V11" s="138" t="s">
        <v>122</v>
      </c>
      <c r="W11" s="138"/>
      <c r="X11" s="138">
        <v>0.15</v>
      </c>
      <c r="Y11" s="139">
        <f>SUM(J1)</f>
        <v>3195.4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418.91694000000001</v>
      </c>
      <c r="D13" s="12">
        <f>SUM(I13*2+O13)</f>
        <v>418.91694000000001</v>
      </c>
      <c r="E13" s="12">
        <f>SUM(O13*2+U13)</f>
        <v>418.91694000000001</v>
      </c>
      <c r="F13" s="12">
        <f>SUM(U13*3)</f>
        <v>418.91694000000001</v>
      </c>
      <c r="G13" s="76">
        <f>SUM(C13:F13)</f>
        <v>1675.66776</v>
      </c>
      <c r="H13" s="137" t="s">
        <v>80</v>
      </c>
      <c r="I13" s="138">
        <f>SUM(K13*M13)</f>
        <v>139.63898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3195.4</v>
      </c>
      <c r="N13" s="141"/>
      <c r="O13" s="138">
        <f>SUM(Q13*S13)</f>
        <v>139.63898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3195.4</v>
      </c>
      <c r="T13" s="141"/>
      <c r="U13" s="138">
        <f>SUM(W13*Y13)</f>
        <v>139.63898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3195.4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615.43403999999998</v>
      </c>
      <c r="D14" s="12">
        <f>SUM(I14*2+O14)</f>
        <v>615.43403999999998</v>
      </c>
      <c r="E14" s="12">
        <f>SUM(O14*2+U14)</f>
        <v>615.43403999999998</v>
      </c>
      <c r="F14" s="12">
        <f>SUM(U14*3)</f>
        <v>615.43403999999998</v>
      </c>
      <c r="G14" s="76">
        <f t="shared" si="0"/>
        <v>2461.7361599999999</v>
      </c>
      <c r="H14" s="137" t="s">
        <v>11</v>
      </c>
      <c r="I14" s="138">
        <f>SUM(K14*M14)</f>
        <v>205.14467999999999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3195.4</v>
      </c>
      <c r="N14" s="141"/>
      <c r="O14" s="138">
        <f>SUM(S14*Q14)</f>
        <v>205.14467999999999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3195.4</v>
      </c>
      <c r="T14" s="141"/>
      <c r="U14" s="138">
        <f>SUM(Y14*W14)</f>
        <v>205.14467999999999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3195.4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434.94442559999993</v>
      </c>
      <c r="D15" s="9">
        <f>SUM(I15*2+O15)</f>
        <v>434.94442559999993</v>
      </c>
      <c r="E15" s="9">
        <f>SUM(O15*2+U15)</f>
        <v>434.94442559999993</v>
      </c>
      <c r="F15" s="9">
        <f>SUM(U15*3)</f>
        <v>434.94442559999993</v>
      </c>
      <c r="G15" s="76">
        <f t="shared" ref="G15" si="1">SUM(C15:F15)</f>
        <v>1739.7777023999997</v>
      </c>
      <c r="H15" s="137" t="s">
        <v>81</v>
      </c>
      <c r="I15" s="138">
        <f>SUM(J15*((K15+L15))/2)*M15*1.2</f>
        <v>144.98147519999998</v>
      </c>
      <c r="J15" s="138">
        <v>0.24</v>
      </c>
      <c r="K15" s="138">
        <v>10.1853</v>
      </c>
      <c r="L15" s="138">
        <v>11.702</v>
      </c>
      <c r="M15" s="179">
        <f>SUM(J5)</f>
        <v>46</v>
      </c>
      <c r="N15" s="141"/>
      <c r="O15" s="138">
        <f>SUM(P15*((Q15+R15)/2)*S15)*1.2</f>
        <v>144.98147519999998</v>
      </c>
      <c r="P15" s="138">
        <v>0.24</v>
      </c>
      <c r="Q15" s="138">
        <v>10.1853</v>
      </c>
      <c r="R15" s="138">
        <v>11.702</v>
      </c>
      <c r="S15" s="138">
        <f>SUM(J5)</f>
        <v>46</v>
      </c>
      <c r="T15" s="141"/>
      <c r="U15" s="138">
        <f>SUM(V15*((W15+X15)/2)*Y15)*1.2</f>
        <v>144.98147519999998</v>
      </c>
      <c r="V15" s="138">
        <v>0.24</v>
      </c>
      <c r="W15" s="138">
        <v>10.1853</v>
      </c>
      <c r="X15" s="138">
        <v>11.702</v>
      </c>
      <c r="Y15" s="138">
        <f>SUM(J5)</f>
        <v>46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393.0564</v>
      </c>
      <c r="D16" s="35">
        <f t="shared" ref="D16:F16" si="2">SUM(D17:D19)</f>
        <v>393.0564</v>
      </c>
      <c r="E16" s="35">
        <f t="shared" si="2"/>
        <v>393.0564</v>
      </c>
      <c r="F16" s="35">
        <f t="shared" si="2"/>
        <v>393.0564</v>
      </c>
      <c r="G16" s="35">
        <f>SUM(G17:G19)</f>
        <v>1572.2256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210.8964</v>
      </c>
      <c r="D17" s="12">
        <f>SUM(I17*2+O17)</f>
        <v>210.8964</v>
      </c>
      <c r="E17" s="12">
        <f>SUM(O17*2+U17)</f>
        <v>210.8964</v>
      </c>
      <c r="F17" s="12">
        <f>SUM(U17*3)</f>
        <v>210.8964</v>
      </c>
      <c r="G17" s="76">
        <f t="shared" ref="G17:G18" si="3">SUM(C17:F17)</f>
        <v>843.5856</v>
      </c>
      <c r="H17" s="142" t="s">
        <v>82</v>
      </c>
      <c r="I17" s="138">
        <f>SUM(K17*M17)</f>
        <v>70.2988</v>
      </c>
      <c r="J17" s="138" t="s">
        <v>122</v>
      </c>
      <c r="K17" s="138">
        <v>2.1999999999999999E-2</v>
      </c>
      <c r="L17" s="138"/>
      <c r="M17" s="138">
        <f>SUM(J1)</f>
        <v>3195.4</v>
      </c>
      <c r="N17" s="141"/>
      <c r="O17" s="138">
        <f>SUM(Q17*S17)</f>
        <v>70.2988</v>
      </c>
      <c r="P17" s="138" t="s">
        <v>122</v>
      </c>
      <c r="Q17" s="138">
        <v>2.1999999999999999E-2</v>
      </c>
      <c r="R17" s="138"/>
      <c r="S17" s="138">
        <f>SUM(J1)</f>
        <v>3195.4</v>
      </c>
      <c r="T17" s="141"/>
      <c r="U17" s="138">
        <f>SUM(W17*Y17)</f>
        <v>70.2988</v>
      </c>
      <c r="V17" s="138" t="s">
        <v>122</v>
      </c>
      <c r="W17" s="138">
        <v>2.1999999999999999E-2</v>
      </c>
      <c r="X17" s="138"/>
      <c r="Y17" s="138">
        <f>SUM(J1)</f>
        <v>3195.4</v>
      </c>
    </row>
    <row r="18" spans="1:35" ht="40.5" customHeight="1" outlineLevel="1" x14ac:dyDescent="0.3">
      <c r="A18" s="29"/>
      <c r="B18" s="10" t="s">
        <v>14</v>
      </c>
      <c r="C18" s="12">
        <f>SUM(I18*3)</f>
        <v>182.16</v>
      </c>
      <c r="D18" s="12">
        <f>SUM(I18*2+O18)</f>
        <v>182.16</v>
      </c>
      <c r="E18" s="12">
        <f>SUM(O18*2+U18)</f>
        <v>182.16</v>
      </c>
      <c r="F18" s="12">
        <f>SUM(U18*3)</f>
        <v>182.16</v>
      </c>
      <c r="G18" s="76">
        <f t="shared" si="3"/>
        <v>728.64</v>
      </c>
      <c r="H18" s="142" t="s">
        <v>84</v>
      </c>
      <c r="I18" s="138">
        <f>SUM(K18*M18)*1.5</f>
        <v>60.72</v>
      </c>
      <c r="J18" s="138" t="s">
        <v>83</v>
      </c>
      <c r="K18" s="138">
        <v>0.88</v>
      </c>
      <c r="L18" s="138"/>
      <c r="M18" s="138">
        <f>SUM(J5)</f>
        <v>46</v>
      </c>
      <c r="N18" s="141"/>
      <c r="O18" s="138">
        <f>SUM(Q18*S18)*1.5</f>
        <v>60.72</v>
      </c>
      <c r="P18" s="138" t="s">
        <v>83</v>
      </c>
      <c r="Q18" s="138">
        <v>0.88</v>
      </c>
      <c r="R18" s="138"/>
      <c r="S18" s="138">
        <f>SUM(J5)</f>
        <v>46</v>
      </c>
      <c r="T18" s="141"/>
      <c r="U18" s="138">
        <f>SUM(W18*Y18)*1.5</f>
        <v>60.72</v>
      </c>
      <c r="V18" s="138" t="s">
        <v>83</v>
      </c>
      <c r="W18" s="138">
        <v>0.88</v>
      </c>
      <c r="X18" s="138"/>
      <c r="Y18" s="138">
        <f>SUM(J5)</f>
        <v>46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422.28000000000003</v>
      </c>
      <c r="D20" s="22">
        <f t="shared" ref="D20:F20" si="4">SUM(D21:D22)</f>
        <v>422.28000000000003</v>
      </c>
      <c r="E20" s="22">
        <f t="shared" si="4"/>
        <v>422.28000000000003</v>
      </c>
      <c r="F20" s="22">
        <f t="shared" si="4"/>
        <v>422.28000000000003</v>
      </c>
      <c r="G20" s="8">
        <f>SUM(G21:G22)</f>
        <v>1689.1200000000001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146.28000000000003</v>
      </c>
      <c r="D21" s="11">
        <f>SUM(M21*3)</f>
        <v>146.28000000000003</v>
      </c>
      <c r="E21" s="11">
        <f>SUM(M21*3)</f>
        <v>146.28000000000003</v>
      </c>
      <c r="F21" s="11">
        <f>SUM(M21*3)</f>
        <v>146.28000000000003</v>
      </c>
      <c r="G21" s="77">
        <f>SUM(C21:F21)</f>
        <v>585.12000000000012</v>
      </c>
      <c r="H21" s="137" t="s">
        <v>85</v>
      </c>
      <c r="I21" s="106">
        <f>SUM(J5)</f>
        <v>46</v>
      </c>
      <c r="J21" s="107"/>
      <c r="K21" s="107">
        <v>1.06</v>
      </c>
      <c r="L21" s="107"/>
      <c r="M21" s="108">
        <f>I21*K21</f>
        <v>48.760000000000005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276</v>
      </c>
      <c r="D22" s="26">
        <f>SUM(M22*3)</f>
        <v>276</v>
      </c>
      <c r="E22" s="26">
        <f>SUM(M22*3)</f>
        <v>276</v>
      </c>
      <c r="F22" s="26">
        <f>SUM(M22*3)</f>
        <v>276</v>
      </c>
      <c r="G22" s="78">
        <f>SUM(C22:F22)</f>
        <v>1104</v>
      </c>
      <c r="H22" s="142" t="s">
        <v>86</v>
      </c>
      <c r="I22" s="109">
        <f>SUM(J5)</f>
        <v>46</v>
      </c>
      <c r="J22" s="110"/>
      <c r="K22" s="110">
        <v>2</v>
      </c>
      <c r="L22" s="110"/>
      <c r="M22" s="111">
        <f>I22*K22</f>
        <v>92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8915.1660000000011</v>
      </c>
      <c r="D23" s="22">
        <f t="shared" ref="D23:F23" si="5">SUM(D24:D25)</f>
        <v>8915.1660000000011</v>
      </c>
      <c r="E23" s="22">
        <f t="shared" si="5"/>
        <v>8915.1660000000011</v>
      </c>
      <c r="F23" s="22">
        <f t="shared" si="5"/>
        <v>8915.1660000000011</v>
      </c>
      <c r="G23" s="8">
        <f>SUM(G24:G25)</f>
        <v>35660.664000000004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5943.4440000000004</v>
      </c>
      <c r="D24" s="9">
        <f>SUM(J1*K24*3)</f>
        <v>5943.4440000000004</v>
      </c>
      <c r="E24" s="9">
        <f>SUM(J1*K24*3)</f>
        <v>5943.4440000000004</v>
      </c>
      <c r="F24" s="9">
        <f>SUM(J1*K24*3)</f>
        <v>5943.4440000000004</v>
      </c>
      <c r="G24" s="77">
        <f t="shared" ref="G24:G29" si="6">SUM(C24:F24)</f>
        <v>23773.776000000002</v>
      </c>
      <c r="H24" s="144" t="s">
        <v>87</v>
      </c>
      <c r="I24" s="100">
        <f>SUM(M1)</f>
        <v>3195.4</v>
      </c>
      <c r="J24" s="101"/>
      <c r="K24" s="107">
        <v>0.62</v>
      </c>
      <c r="L24" s="107"/>
      <c r="M24" s="102">
        <f>SUM(I24*K24)</f>
        <v>1981.1480000000001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2971.7220000000002</v>
      </c>
      <c r="D25" s="26">
        <f>SUM(M25*3)</f>
        <v>2971.7220000000002</v>
      </c>
      <c r="E25" s="26">
        <f>SUM(M25*3)</f>
        <v>2971.7220000000002</v>
      </c>
      <c r="F25" s="26">
        <f>SUM(M25*3)</f>
        <v>2971.7220000000002</v>
      </c>
      <c r="G25" s="78">
        <f t="shared" si="6"/>
        <v>11886.888000000001</v>
      </c>
      <c r="H25" s="144" t="s">
        <v>88</v>
      </c>
      <c r="I25" s="103">
        <f>SUM(J1)</f>
        <v>3195.4</v>
      </c>
      <c r="J25" s="105"/>
      <c r="K25" s="110">
        <v>0.31</v>
      </c>
      <c r="L25" s="110"/>
      <c r="M25" s="104">
        <f>SUM(I25*K25)</f>
        <v>990.57400000000007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46</v>
      </c>
      <c r="J27" s="166"/>
      <c r="K27" s="169">
        <v>0.28000000000000003</v>
      </c>
      <c r="L27" s="166"/>
      <c r="M27" s="181">
        <f>SUM(I27*K27)</f>
        <v>12.88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12539.948565600002</v>
      </c>
      <c r="D29" s="52">
        <f>D9+D16+D20+D23+D26</f>
        <v>12539.948565600002</v>
      </c>
      <c r="E29" s="52">
        <f>E9+E16+E20+E23+E26</f>
        <v>12539.948565600002</v>
      </c>
      <c r="F29" s="52">
        <f>F9+F16+F20+F23+F26</f>
        <v>12539.948565600002</v>
      </c>
      <c r="G29" s="53">
        <f t="shared" si="6"/>
        <v>50159.794262400006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2141.4042373700413</v>
      </c>
      <c r="D31" s="64">
        <f>SUM(D32:D35)</f>
        <v>2141.4042373700413</v>
      </c>
      <c r="E31" s="64">
        <f>SUM(E32:E35)</f>
        <v>2141.4042373700413</v>
      </c>
      <c r="F31" s="64">
        <f>SUM(F32:F35)</f>
        <v>2141.4042373700413</v>
      </c>
      <c r="G31" s="64">
        <f>SUM(G32:G35)</f>
        <v>8565.6169494801652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1340.15076</v>
      </c>
      <c r="D32" s="42">
        <f>D10</f>
        <v>1340.15076</v>
      </c>
      <c r="E32" s="42">
        <f>E10</f>
        <v>1340.15076</v>
      </c>
      <c r="F32" s="42">
        <f>F10</f>
        <v>1340.15076</v>
      </c>
      <c r="G32" s="73">
        <f>SUM(C32:F32)</f>
        <v>5360.60304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418.91694000000001</v>
      </c>
      <c r="D33" s="42">
        <f t="shared" si="8"/>
        <v>418.91694000000001</v>
      </c>
      <c r="E33" s="42">
        <f t="shared" si="8"/>
        <v>418.91694000000001</v>
      </c>
      <c r="F33" s="42">
        <f t="shared" si="8"/>
        <v>418.91694000000001</v>
      </c>
      <c r="G33" s="73">
        <f>SUM(C33:F33)</f>
        <v>1675.66776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422.28000000000003</v>
      </c>
      <c r="D39" s="64">
        <f t="shared" ref="D39:F39" si="11">SUM(D40:D41)</f>
        <v>422.28000000000003</v>
      </c>
      <c r="E39" s="64">
        <f t="shared" si="11"/>
        <v>422.28000000000003</v>
      </c>
      <c r="F39" s="64">
        <f t="shared" si="11"/>
        <v>422.28000000000003</v>
      </c>
      <c r="G39" s="64">
        <f t="shared" ref="G39" si="12">SUM(G40:G41)</f>
        <v>1689.1200000000001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146.28000000000003</v>
      </c>
      <c r="D40" s="42">
        <f t="shared" si="13"/>
        <v>146.28000000000003</v>
      </c>
      <c r="E40" s="42">
        <f t="shared" si="13"/>
        <v>146.28000000000003</v>
      </c>
      <c r="F40" s="42">
        <f t="shared" si="13"/>
        <v>146.28000000000003</v>
      </c>
      <c r="G40" s="73">
        <f>SUM(C40:F40)</f>
        <v>585.12000000000012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276</v>
      </c>
      <c r="D41" s="57">
        <f t="shared" si="13"/>
        <v>276</v>
      </c>
      <c r="E41" s="57">
        <f t="shared" si="13"/>
        <v>276</v>
      </c>
      <c r="F41" s="57">
        <f t="shared" si="13"/>
        <v>276</v>
      </c>
      <c r="G41" s="73">
        <f>SUM(C41:F41)</f>
        <v>1104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5943.4440000000004</v>
      </c>
      <c r="D42" s="64">
        <f>SUM(D43:D58)</f>
        <v>5943.4440000000004</v>
      </c>
      <c r="E42" s="64">
        <f>SUM(E43:E58)</f>
        <v>5943.4440000000004</v>
      </c>
      <c r="F42" s="64">
        <f>SUM(F43:F58)</f>
        <v>5943.4440000000004</v>
      </c>
      <c r="G42" s="66">
        <f t="shared" ref="G42:G51" si="14">SUM(C42:F42)</f>
        <v>23773.776000000002</v>
      </c>
    </row>
    <row r="43" spans="1:7" ht="20.100000000000001" customHeight="1" x14ac:dyDescent="0.25">
      <c r="A43" s="58"/>
      <c r="B43" s="49" t="s">
        <v>38</v>
      </c>
      <c r="C43" s="42">
        <f>SUM(M24*3)</f>
        <v>5943.4440000000004</v>
      </c>
      <c r="D43" s="42">
        <f>SUM(M24*3)</f>
        <v>5943.4440000000004</v>
      </c>
      <c r="E43" s="42">
        <f>SUM(M24*3)</f>
        <v>5943.4440000000004</v>
      </c>
      <c r="F43" s="42">
        <f>SUM(M24*3)</f>
        <v>5943.4440000000004</v>
      </c>
      <c r="G43" s="73">
        <f t="shared" si="14"/>
        <v>23773.776000000002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8507.1282373700415</v>
      </c>
      <c r="D59" s="38">
        <f>D31+D36+D39+D42</f>
        <v>8507.1282373700415</v>
      </c>
      <c r="E59" s="38">
        <f>E31+E36+E39+E42</f>
        <v>8507.1282373700415</v>
      </c>
      <c r="F59" s="38">
        <f>F31+F36+F39+F42</f>
        <v>8507.1282373700415</v>
      </c>
      <c r="G59" s="39">
        <f>G31+G36+G39+G42</f>
        <v>34028.512949480166</v>
      </c>
    </row>
    <row r="60" spans="1:14" ht="26.1" customHeight="1" outlineLevel="1" x14ac:dyDescent="0.25">
      <c r="A60" s="112"/>
      <c r="B60" s="71"/>
      <c r="C60" s="72">
        <f>C29-C59</f>
        <v>4032.8203282299601</v>
      </c>
      <c r="D60" s="72">
        <f>D29-D59</f>
        <v>4032.8203282299601</v>
      </c>
      <c r="E60" s="72">
        <f>E29-E59</f>
        <v>4032.8203282299601</v>
      </c>
      <c r="F60" s="72">
        <f>F29-F59</f>
        <v>4032.8203282299601</v>
      </c>
      <c r="G60" s="72">
        <f>G29-G59</f>
        <v>16131.28131291984</v>
      </c>
    </row>
  </sheetData>
  <dataConsolidate/>
  <mergeCells count="19">
    <mergeCell ref="Z10:Z12"/>
    <mergeCell ref="A29:B29"/>
    <mergeCell ref="A30:B30"/>
    <mergeCell ref="A59:B59"/>
    <mergeCell ref="H28:AA28"/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DABD-6FB5-4A22-A240-A7F01FDA32EC}">
  <sheetPr>
    <tabColor rgb="FFFFC000"/>
    <pageSetUpPr fitToPage="1"/>
  </sheetPr>
  <dimension ref="A1:AI60"/>
  <sheetViews>
    <sheetView showGridLines="0" view="pageBreakPreview" topLeftCell="C1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1" width="23.85546875" style="2" customWidth="1"/>
    <col min="12" max="12" width="29.85546875" style="2" bestFit="1" customWidth="1"/>
    <col min="13" max="13" width="10.42578125" style="2" bestFit="1" customWidth="1"/>
    <col min="14" max="14" width="10.140625" style="2"/>
    <col min="15" max="15" width="12.28515625" style="2" bestFit="1" customWidth="1"/>
    <col min="16" max="20" width="10.140625" style="2"/>
    <col min="21" max="21" width="12.28515625" style="2" bestFit="1" customWidth="1"/>
    <col min="22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3671.4</v>
      </c>
      <c r="K1" s="4" t="s">
        <v>120</v>
      </c>
      <c r="N1" s="2">
        <v>3671.4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46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54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3238.8042744000004</v>
      </c>
      <c r="D9" s="22">
        <f>SUM(D10:D15)</f>
        <v>3238.8042744000004</v>
      </c>
      <c r="E9" s="22">
        <f>SUM(E10:E15)</f>
        <v>3238.8042744000004</v>
      </c>
      <c r="F9" s="22">
        <f>SUM(F10:F15)</f>
        <v>3238.8042744000004</v>
      </c>
      <c r="G9" s="8">
        <f>SUM(G10:G15)</f>
        <v>12955.217097600002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1539.7851600000004</v>
      </c>
      <c r="D10" s="12">
        <f>SUM(I10*2+O10*1)</f>
        <v>1539.7851600000004</v>
      </c>
      <c r="E10" s="12">
        <f>SUM(O10*2)+U10*1</f>
        <v>1539.7851600000004</v>
      </c>
      <c r="F10" s="12">
        <f>SUM(U10*3)</f>
        <v>1539.7851600000004</v>
      </c>
      <c r="G10" s="76">
        <f>SUM(C10:F10)</f>
        <v>6159.1406400000014</v>
      </c>
      <c r="H10" s="137" t="s">
        <v>77</v>
      </c>
      <c r="I10" s="138">
        <f>SUM(M10*K10)</f>
        <v>513.26172000000008</v>
      </c>
      <c r="J10" s="138" t="s">
        <v>122</v>
      </c>
      <c r="K10" s="138">
        <v>0.13980000000000001</v>
      </c>
      <c r="L10" s="138"/>
      <c r="M10" s="180">
        <f>SUM(J1)</f>
        <v>3671.4</v>
      </c>
      <c r="N10" s="140"/>
      <c r="O10" s="138">
        <f>SUM(S10*Q10)</f>
        <v>513.26172000000008</v>
      </c>
      <c r="P10" s="138" t="s">
        <v>122</v>
      </c>
      <c r="Q10" s="138">
        <v>0.13980000000000001</v>
      </c>
      <c r="R10" s="138"/>
      <c r="S10" s="139">
        <f>SUM(J1)</f>
        <v>3671.4</v>
      </c>
      <c r="T10" s="140"/>
      <c r="U10" s="138">
        <f>SUM(Y10*W10)</f>
        <v>513.26172000000008</v>
      </c>
      <c r="V10" s="138" t="s">
        <v>122</v>
      </c>
      <c r="W10" s="138">
        <v>0.13980000000000001</v>
      </c>
      <c r="X10" s="138"/>
      <c r="Y10" s="139">
        <f>SUM(J1)</f>
        <v>3671.4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3671.4</v>
      </c>
      <c r="N11" s="140"/>
      <c r="O11" s="138"/>
      <c r="P11" s="138" t="s">
        <v>122</v>
      </c>
      <c r="Q11" s="138"/>
      <c r="R11" s="138">
        <v>0.15</v>
      </c>
      <c r="S11" s="138">
        <f>SUM(J1)</f>
        <v>3671.4</v>
      </c>
      <c r="T11" s="140"/>
      <c r="U11" s="138"/>
      <c r="V11" s="138" t="s">
        <v>122</v>
      </c>
      <c r="W11" s="138"/>
      <c r="X11" s="138">
        <v>0.15</v>
      </c>
      <c r="Y11" s="139">
        <f>SUM(J1)</f>
        <v>3671.4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481.32054000000005</v>
      </c>
      <c r="D13" s="12">
        <f>SUM(I13*2+O13)</f>
        <v>481.32054000000005</v>
      </c>
      <c r="E13" s="12">
        <f>SUM(O13*2+U13)</f>
        <v>481.32054000000005</v>
      </c>
      <c r="F13" s="12">
        <f>SUM(U13*3)</f>
        <v>481.32054000000005</v>
      </c>
      <c r="G13" s="76">
        <f>SUM(C13:F13)</f>
        <v>1925.2821600000002</v>
      </c>
      <c r="H13" s="137" t="s">
        <v>80</v>
      </c>
      <c r="I13" s="138">
        <f>SUM(K13*M13)</f>
        <v>160.44018000000003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3671.4</v>
      </c>
      <c r="N13" s="141"/>
      <c r="O13" s="138">
        <f>SUM(Q13*S13)</f>
        <v>160.44018000000003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3671.4</v>
      </c>
      <c r="T13" s="141"/>
      <c r="U13" s="138">
        <f>SUM(W13*Y13)</f>
        <v>160.44018000000003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3671.4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707.11163999999985</v>
      </c>
      <c r="D14" s="12">
        <f>SUM(I14*2+O14)</f>
        <v>707.11163999999985</v>
      </c>
      <c r="E14" s="12">
        <f>SUM(O14*2+U14)</f>
        <v>707.11163999999985</v>
      </c>
      <c r="F14" s="12">
        <f>SUM(U14*3)</f>
        <v>707.11163999999985</v>
      </c>
      <c r="G14" s="76">
        <f t="shared" si="0"/>
        <v>2828.4465599999994</v>
      </c>
      <c r="H14" s="137" t="s">
        <v>11</v>
      </c>
      <c r="I14" s="138">
        <f>SUM(K14*M14)</f>
        <v>235.70387999999997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3671.4</v>
      </c>
      <c r="N14" s="141"/>
      <c r="O14" s="138">
        <f>SUM(S14*Q14)</f>
        <v>235.70387999999997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3671.4</v>
      </c>
      <c r="T14" s="141"/>
      <c r="U14" s="138">
        <f>SUM(Y14*W14)</f>
        <v>235.70387999999997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3671.4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510.58693440000002</v>
      </c>
      <c r="D15" s="9">
        <f>SUM(I15*2+O15)</f>
        <v>510.58693440000002</v>
      </c>
      <c r="E15" s="9">
        <f>SUM(O15*2+U15)</f>
        <v>510.58693440000002</v>
      </c>
      <c r="F15" s="9">
        <f>SUM(U15*3)</f>
        <v>510.58693440000002</v>
      </c>
      <c r="G15" s="76">
        <f t="shared" ref="G15" si="1">SUM(C15:F15)</f>
        <v>2042.3477376000001</v>
      </c>
      <c r="H15" s="137" t="s">
        <v>81</v>
      </c>
      <c r="I15" s="138">
        <f>SUM(J15*((K15+L15))/2)*M15*1.2</f>
        <v>170.1956448</v>
      </c>
      <c r="J15" s="138">
        <v>0.24</v>
      </c>
      <c r="K15" s="138">
        <v>10.1853</v>
      </c>
      <c r="L15" s="138">
        <v>11.702</v>
      </c>
      <c r="M15" s="179">
        <f>SUM(J5)</f>
        <v>54</v>
      </c>
      <c r="N15" s="141"/>
      <c r="O15" s="138">
        <f>SUM(P15*((Q15+R15)/2)*S15)*1.2</f>
        <v>170.1956448</v>
      </c>
      <c r="P15" s="138">
        <v>0.24</v>
      </c>
      <c r="Q15" s="138">
        <v>10.1853</v>
      </c>
      <c r="R15" s="138">
        <v>11.702</v>
      </c>
      <c r="S15" s="138">
        <f>SUM(J5)</f>
        <v>54</v>
      </c>
      <c r="T15" s="141"/>
      <c r="U15" s="138">
        <f>SUM(V15*((W15+X15)/2)*Y15)*1.2</f>
        <v>170.1956448</v>
      </c>
      <c r="V15" s="138">
        <v>0.24</v>
      </c>
      <c r="W15" s="138">
        <v>10.1853</v>
      </c>
      <c r="X15" s="138">
        <v>11.702</v>
      </c>
      <c r="Y15" s="138">
        <f>SUM(J5)</f>
        <v>54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456.15239999999994</v>
      </c>
      <c r="D16" s="35">
        <f t="shared" ref="D16:F16" si="2">SUM(D17:D19)</f>
        <v>456.15239999999994</v>
      </c>
      <c r="E16" s="35">
        <f t="shared" si="2"/>
        <v>456.15239999999994</v>
      </c>
      <c r="F16" s="35">
        <f t="shared" si="2"/>
        <v>456.15239999999994</v>
      </c>
      <c r="G16" s="35">
        <f>SUM(G17:G19)</f>
        <v>1824.6095999999998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242.31239999999997</v>
      </c>
      <c r="D17" s="12">
        <f>SUM(I17*2+O17)</f>
        <v>242.31239999999997</v>
      </c>
      <c r="E17" s="12">
        <f>SUM(O17*2+U17)</f>
        <v>242.31239999999997</v>
      </c>
      <c r="F17" s="12">
        <f>SUM(U17*3)</f>
        <v>242.31239999999997</v>
      </c>
      <c r="G17" s="76">
        <f t="shared" ref="G17:G18" si="3">SUM(C17:F17)</f>
        <v>969.24959999999987</v>
      </c>
      <c r="H17" s="142" t="s">
        <v>82</v>
      </c>
      <c r="I17" s="138">
        <f>SUM(K17*M17)</f>
        <v>80.770799999999994</v>
      </c>
      <c r="J17" s="138" t="s">
        <v>122</v>
      </c>
      <c r="K17" s="138">
        <v>2.1999999999999999E-2</v>
      </c>
      <c r="L17" s="138"/>
      <c r="M17" s="138">
        <f>SUM(J1)</f>
        <v>3671.4</v>
      </c>
      <c r="N17" s="141"/>
      <c r="O17" s="138">
        <f>SUM(Q17*S17)</f>
        <v>80.770799999999994</v>
      </c>
      <c r="P17" s="138" t="s">
        <v>122</v>
      </c>
      <c r="Q17" s="138">
        <v>2.1999999999999999E-2</v>
      </c>
      <c r="R17" s="138"/>
      <c r="S17" s="138">
        <f>SUM(J1)</f>
        <v>3671.4</v>
      </c>
      <c r="T17" s="141"/>
      <c r="U17" s="138">
        <f>SUM(W17*Y17)</f>
        <v>80.770799999999994</v>
      </c>
      <c r="V17" s="138" t="s">
        <v>122</v>
      </c>
      <c r="W17" s="138">
        <v>2.1999999999999999E-2</v>
      </c>
      <c r="X17" s="138"/>
      <c r="Y17" s="138">
        <f>SUM(J1)</f>
        <v>3671.4</v>
      </c>
    </row>
    <row r="18" spans="1:35" ht="40.5" customHeight="1" outlineLevel="1" x14ac:dyDescent="0.3">
      <c r="A18" s="29"/>
      <c r="B18" s="10" t="s">
        <v>14</v>
      </c>
      <c r="C18" s="12">
        <f>SUM(I18*3)</f>
        <v>213.84</v>
      </c>
      <c r="D18" s="12">
        <f>SUM(I18*2+O18)</f>
        <v>213.84</v>
      </c>
      <c r="E18" s="12">
        <f>SUM(O18*2+U18)</f>
        <v>213.84</v>
      </c>
      <c r="F18" s="12">
        <f>SUM(U18*3)</f>
        <v>213.84</v>
      </c>
      <c r="G18" s="76">
        <f t="shared" si="3"/>
        <v>855.36</v>
      </c>
      <c r="H18" s="142" t="s">
        <v>84</v>
      </c>
      <c r="I18" s="138">
        <f>SUM(K18*M18)*1.5</f>
        <v>71.28</v>
      </c>
      <c r="J18" s="138" t="s">
        <v>83</v>
      </c>
      <c r="K18" s="138">
        <v>0.88</v>
      </c>
      <c r="L18" s="138"/>
      <c r="M18" s="138">
        <f>SUM(J5)</f>
        <v>54</v>
      </c>
      <c r="N18" s="141"/>
      <c r="O18" s="138">
        <f>SUM(Q18*S18)*1.5</f>
        <v>71.28</v>
      </c>
      <c r="P18" s="138" t="s">
        <v>83</v>
      </c>
      <c r="Q18" s="138">
        <v>0.88</v>
      </c>
      <c r="R18" s="138"/>
      <c r="S18" s="138">
        <f>SUM(J5)</f>
        <v>54</v>
      </c>
      <c r="T18" s="141"/>
      <c r="U18" s="138">
        <f>SUM(W18*Y18)*1.5</f>
        <v>71.28</v>
      </c>
      <c r="V18" s="138" t="s">
        <v>83</v>
      </c>
      <c r="W18" s="138">
        <v>0.88</v>
      </c>
      <c r="X18" s="138"/>
      <c r="Y18" s="138">
        <f>SUM(J5)</f>
        <v>54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495.72</v>
      </c>
      <c r="D20" s="22">
        <f t="shared" ref="D20:F20" si="4">SUM(D21:D22)</f>
        <v>495.72</v>
      </c>
      <c r="E20" s="22">
        <f t="shared" si="4"/>
        <v>495.72</v>
      </c>
      <c r="F20" s="22">
        <f t="shared" si="4"/>
        <v>495.72</v>
      </c>
      <c r="G20" s="8">
        <f>SUM(G21:G22)</f>
        <v>1982.88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171.72</v>
      </c>
      <c r="D21" s="11">
        <f>SUM(M21*3)</f>
        <v>171.72</v>
      </c>
      <c r="E21" s="11">
        <f>SUM(M21*3)</f>
        <v>171.72</v>
      </c>
      <c r="F21" s="11">
        <f>SUM(M21*3)</f>
        <v>171.72</v>
      </c>
      <c r="G21" s="77">
        <f>SUM(C21:F21)</f>
        <v>686.88</v>
      </c>
      <c r="H21" s="137" t="s">
        <v>85</v>
      </c>
      <c r="I21" s="106">
        <f>SUM(J5)</f>
        <v>54</v>
      </c>
      <c r="J21" s="107"/>
      <c r="K21" s="107">
        <v>1.06</v>
      </c>
      <c r="L21" s="107"/>
      <c r="M21" s="108">
        <f>I21*K21</f>
        <v>57.24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324</v>
      </c>
      <c r="D22" s="26">
        <f>SUM(M22*3)</f>
        <v>324</v>
      </c>
      <c r="E22" s="26">
        <f>SUM(M22*3)</f>
        <v>324</v>
      </c>
      <c r="F22" s="26">
        <f>SUM(M22*3)</f>
        <v>324</v>
      </c>
      <c r="G22" s="78">
        <f>SUM(C22:F22)</f>
        <v>1296</v>
      </c>
      <c r="H22" s="142" t="s">
        <v>86</v>
      </c>
      <c r="I22" s="109">
        <f>SUM(J5)</f>
        <v>54</v>
      </c>
      <c r="J22" s="110"/>
      <c r="K22" s="110">
        <v>2</v>
      </c>
      <c r="L22" s="110"/>
      <c r="M22" s="111">
        <f>I22*K22</f>
        <v>108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10243.206</v>
      </c>
      <c r="D23" s="22">
        <f t="shared" ref="D23:F23" si="5">SUM(D24:D25)</f>
        <v>10243.206</v>
      </c>
      <c r="E23" s="22">
        <f t="shared" si="5"/>
        <v>10243.206</v>
      </c>
      <c r="F23" s="22">
        <f t="shared" si="5"/>
        <v>10243.206</v>
      </c>
      <c r="G23" s="8">
        <f>SUM(G24:G25)</f>
        <v>40972.824000000001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6828.8040000000001</v>
      </c>
      <c r="D24" s="9">
        <f>SUM(J1*K24*3)</f>
        <v>6828.8040000000001</v>
      </c>
      <c r="E24" s="9">
        <f>SUM(J1*K24*3)</f>
        <v>6828.8040000000001</v>
      </c>
      <c r="F24" s="9">
        <f>SUM(J1*K24*3)</f>
        <v>6828.8040000000001</v>
      </c>
      <c r="G24" s="77">
        <f t="shared" ref="G24:G29" si="6">SUM(C24:F24)</f>
        <v>27315.216</v>
      </c>
      <c r="H24" s="144" t="s">
        <v>87</v>
      </c>
      <c r="I24" s="100">
        <f>SUM(N1)</f>
        <v>3671.4</v>
      </c>
      <c r="J24" s="101"/>
      <c r="K24" s="107">
        <v>0.62</v>
      </c>
      <c r="L24" s="107"/>
      <c r="M24" s="102">
        <f>SUM(I24*K24)</f>
        <v>2276.268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3414.402</v>
      </c>
      <c r="D25" s="26">
        <f>SUM(M25*3)</f>
        <v>3414.402</v>
      </c>
      <c r="E25" s="26">
        <f>SUM(M25*3)</f>
        <v>3414.402</v>
      </c>
      <c r="F25" s="26">
        <f>SUM(M25*3)</f>
        <v>3414.402</v>
      </c>
      <c r="G25" s="78">
        <f t="shared" si="6"/>
        <v>13657.608</v>
      </c>
      <c r="H25" s="144" t="s">
        <v>88</v>
      </c>
      <c r="I25" s="103">
        <f>SUM(J1)</f>
        <v>3671.4</v>
      </c>
      <c r="J25" s="105"/>
      <c r="K25" s="110">
        <v>0.31</v>
      </c>
      <c r="L25" s="110"/>
      <c r="M25" s="104">
        <f>SUM(I25*K25)</f>
        <v>1138.134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54</v>
      </c>
      <c r="J27" s="166"/>
      <c r="K27" s="169">
        <v>0.28000000000000003</v>
      </c>
      <c r="L27" s="166"/>
      <c r="M27" s="181">
        <f>SUM(I27*K27)</f>
        <v>15.120000000000001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14433.8826744</v>
      </c>
      <c r="D29" s="52">
        <f>D9+D16+D20+D23+D26</f>
        <v>14433.8826744</v>
      </c>
      <c r="E29" s="52">
        <f>E9+E16+E20+E23+E26</f>
        <v>14433.8826744</v>
      </c>
      <c r="F29" s="52">
        <f>F9+F16+F20+F23+F26</f>
        <v>14433.8826744</v>
      </c>
      <c r="G29" s="53">
        <f t="shared" si="6"/>
        <v>57735.530697599999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2403.4422373700418</v>
      </c>
      <c r="D31" s="64">
        <f>SUM(D32:D35)</f>
        <v>2403.4422373700418</v>
      </c>
      <c r="E31" s="64">
        <f>SUM(E32:E35)</f>
        <v>2403.4422373700418</v>
      </c>
      <c r="F31" s="64">
        <f>SUM(F32:F35)</f>
        <v>2403.4422373700418</v>
      </c>
      <c r="G31" s="64">
        <f>SUM(G32:G35)</f>
        <v>6159.1406400000014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1539.7851600000004</v>
      </c>
      <c r="D32" s="42">
        <f>D10</f>
        <v>1539.7851600000004</v>
      </c>
      <c r="E32" s="42">
        <f>E10</f>
        <v>1539.7851600000004</v>
      </c>
      <c r="F32" s="42">
        <f>F10</f>
        <v>1539.7851600000004</v>
      </c>
      <c r="G32" s="73">
        <f>SUM(C32:F32)</f>
        <v>6159.1406400000014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481.32054000000005</v>
      </c>
      <c r="D33" s="42">
        <f t="shared" si="8"/>
        <v>481.32054000000005</v>
      </c>
      <c r="E33" s="42">
        <f t="shared" si="8"/>
        <v>481.32054000000005</v>
      </c>
      <c r="F33" s="42">
        <f t="shared" si="8"/>
        <v>481.32054000000005</v>
      </c>
      <c r="G33" s="73"/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/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/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/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495.72</v>
      </c>
      <c r="D39" s="64">
        <f t="shared" ref="D39:F39" si="11">SUM(D40:D41)</f>
        <v>495.72</v>
      </c>
      <c r="E39" s="64">
        <f t="shared" si="11"/>
        <v>495.72</v>
      </c>
      <c r="F39" s="64">
        <f t="shared" si="11"/>
        <v>495.72</v>
      </c>
      <c r="G39" s="64">
        <f t="shared" ref="G39" si="12">SUM(G40:G41)</f>
        <v>1982.88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171.72</v>
      </c>
      <c r="D40" s="42">
        <f t="shared" si="13"/>
        <v>171.72</v>
      </c>
      <c r="E40" s="42">
        <f t="shared" si="13"/>
        <v>171.72</v>
      </c>
      <c r="F40" s="42">
        <f t="shared" si="13"/>
        <v>171.72</v>
      </c>
      <c r="G40" s="73">
        <f>SUM(C40:F40)</f>
        <v>686.88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324</v>
      </c>
      <c r="D41" s="57">
        <f t="shared" si="13"/>
        <v>324</v>
      </c>
      <c r="E41" s="57">
        <f t="shared" si="13"/>
        <v>324</v>
      </c>
      <c r="F41" s="57">
        <f t="shared" si="13"/>
        <v>324</v>
      </c>
      <c r="G41" s="73">
        <f>SUM(C41:F41)</f>
        <v>1296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6828.8040000000001</v>
      </c>
      <c r="D42" s="64">
        <f>SUM(D43:D58)</f>
        <v>6828.8040000000001</v>
      </c>
      <c r="E42" s="64">
        <f>SUM(E43:E58)</f>
        <v>6828.8040000000001</v>
      </c>
      <c r="F42" s="64">
        <f>SUM(F43:F58)</f>
        <v>6828.8040000000001</v>
      </c>
      <c r="G42" s="66">
        <f t="shared" ref="G42:G51" si="14">SUM(C42:F42)</f>
        <v>27315.216</v>
      </c>
    </row>
    <row r="43" spans="1:7" ht="20.100000000000001" customHeight="1" x14ac:dyDescent="0.25">
      <c r="A43" s="58"/>
      <c r="B43" s="49" t="s">
        <v>38</v>
      </c>
      <c r="C43" s="42">
        <f>SUM(M24*3)</f>
        <v>6828.8040000000001</v>
      </c>
      <c r="D43" s="42">
        <f>SUM(M24*3)</f>
        <v>6828.8040000000001</v>
      </c>
      <c r="E43" s="42">
        <f>SUM(M24*3)</f>
        <v>6828.8040000000001</v>
      </c>
      <c r="F43" s="42">
        <f>SUM(M24*3)</f>
        <v>6828.8040000000001</v>
      </c>
      <c r="G43" s="73">
        <f t="shared" si="14"/>
        <v>27315.216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9727.9662373700412</v>
      </c>
      <c r="D59" s="38">
        <f>D31+D36+D39+D42</f>
        <v>9727.9662373700412</v>
      </c>
      <c r="E59" s="38">
        <f>E31+E36+E39+E42</f>
        <v>9727.9662373700412</v>
      </c>
      <c r="F59" s="38">
        <f>F31+F36+F39+F42</f>
        <v>9727.9662373700412</v>
      </c>
      <c r="G59" s="39">
        <f>G31+G36+G39+G42</f>
        <v>35457.236640000003</v>
      </c>
    </row>
    <row r="60" spans="1:14" ht="26.1" customHeight="1" outlineLevel="1" x14ac:dyDescent="0.25">
      <c r="A60" s="112"/>
      <c r="B60" s="71"/>
      <c r="C60" s="72">
        <f>C29-C59</f>
        <v>4705.9164370299586</v>
      </c>
      <c r="D60" s="72">
        <f>D29-D59</f>
        <v>4705.9164370299586</v>
      </c>
      <c r="E60" s="72">
        <f>E29-E59</f>
        <v>4705.9164370299586</v>
      </c>
      <c r="F60" s="72">
        <f>F29-F59</f>
        <v>4705.9164370299586</v>
      </c>
      <c r="G60" s="72">
        <f>G29-G59</f>
        <v>22278.294057599996</v>
      </c>
    </row>
  </sheetData>
  <dataConsolidate/>
  <mergeCells count="19">
    <mergeCell ref="Z10:Z12"/>
    <mergeCell ref="A29:B29"/>
    <mergeCell ref="A30:B30"/>
    <mergeCell ref="A59:B59"/>
    <mergeCell ref="H28:AA28"/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4923-F261-4CFD-BF4C-62D1375EAFD4}">
  <sheetPr>
    <tabColor rgb="FFFFC000"/>
    <pageSetUpPr fitToPage="1"/>
  </sheetPr>
  <dimension ref="A1:AI60"/>
  <sheetViews>
    <sheetView showGridLines="0" view="pageBreakPreview" topLeftCell="A13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10.140625" style="2"/>
    <col min="15" max="15" width="12.28515625" style="2" bestFit="1" customWidth="1"/>
    <col min="16" max="20" width="10.140625" style="2"/>
    <col min="21" max="21" width="12.28515625" style="2" bestFit="1" customWidth="1"/>
    <col min="22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5257.7</v>
      </c>
      <c r="K1" s="4" t="s">
        <v>120</v>
      </c>
      <c r="N1" s="2">
        <v>5268.8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61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76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4625.6007036000001</v>
      </c>
      <c r="D9" s="22">
        <f>SUM(D10:D15)</f>
        <v>4625.6007036000001</v>
      </c>
      <c r="E9" s="22">
        <f>SUM(E10:E15)</f>
        <v>4625.6007036000001</v>
      </c>
      <c r="F9" s="22">
        <f>SUM(F10:F15)</f>
        <v>4625.6007036000001</v>
      </c>
      <c r="G9" s="8">
        <f>SUM(G10:G15)</f>
        <v>18502.4028144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2205.0793800000001</v>
      </c>
      <c r="D10" s="12">
        <f>SUM(I10*2+O10*1)</f>
        <v>2205.0793800000001</v>
      </c>
      <c r="E10" s="12">
        <f>SUM(O10*2)+U10*1</f>
        <v>2205.0793800000001</v>
      </c>
      <c r="F10" s="12">
        <f>SUM(U10*3)</f>
        <v>2205.0793800000001</v>
      </c>
      <c r="G10" s="76">
        <f>SUM(C10:F10)</f>
        <v>8820.3175200000005</v>
      </c>
      <c r="H10" s="137" t="s">
        <v>77</v>
      </c>
      <c r="I10" s="138">
        <f>SUM(M10*K10)</f>
        <v>735.02646000000004</v>
      </c>
      <c r="J10" s="138" t="s">
        <v>122</v>
      </c>
      <c r="K10" s="138">
        <v>0.13980000000000001</v>
      </c>
      <c r="L10" s="138"/>
      <c r="M10" s="180">
        <f>SUM(J1)</f>
        <v>5257.7</v>
      </c>
      <c r="N10" s="140"/>
      <c r="O10" s="138">
        <f>SUM(S10*Q10)</f>
        <v>735.02646000000004</v>
      </c>
      <c r="P10" s="138" t="s">
        <v>122</v>
      </c>
      <c r="Q10" s="138">
        <v>0.13980000000000001</v>
      </c>
      <c r="R10" s="138"/>
      <c r="S10" s="139">
        <f>SUM(J1)</f>
        <v>5257.7</v>
      </c>
      <c r="T10" s="140"/>
      <c r="U10" s="138">
        <f>SUM(Y10*W10)</f>
        <v>735.02646000000004</v>
      </c>
      <c r="V10" s="138" t="s">
        <v>122</v>
      </c>
      <c r="W10" s="138">
        <v>0.13980000000000001</v>
      </c>
      <c r="X10" s="138"/>
      <c r="Y10" s="139">
        <f>SUM(J1)</f>
        <v>5257.7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5257.7</v>
      </c>
      <c r="N11" s="140"/>
      <c r="O11" s="138"/>
      <c r="P11" s="138" t="s">
        <v>122</v>
      </c>
      <c r="Q11" s="138"/>
      <c r="R11" s="138">
        <v>0.15</v>
      </c>
      <c r="S11" s="138">
        <f>SUM(J1)</f>
        <v>5257.7</v>
      </c>
      <c r="T11" s="140"/>
      <c r="U11" s="138"/>
      <c r="V11" s="138" t="s">
        <v>122</v>
      </c>
      <c r="W11" s="138"/>
      <c r="X11" s="138">
        <v>0.15</v>
      </c>
      <c r="Y11" s="139">
        <f>SUM(J1)</f>
        <v>5257.7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689.28447000000006</v>
      </c>
      <c r="D13" s="12">
        <f>SUM(I13*2+O13)</f>
        <v>689.28447000000006</v>
      </c>
      <c r="E13" s="12">
        <f>SUM(O13*2+U13)</f>
        <v>689.28447000000006</v>
      </c>
      <c r="F13" s="12">
        <f>SUM(U13*3)</f>
        <v>689.28447000000006</v>
      </c>
      <c r="G13" s="76">
        <f>SUM(C13:F13)</f>
        <v>2757.1378800000002</v>
      </c>
      <c r="H13" s="137" t="s">
        <v>80</v>
      </c>
      <c r="I13" s="138">
        <f>SUM(K13*M13)</f>
        <v>229.76149000000001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5257.7</v>
      </c>
      <c r="N13" s="141"/>
      <c r="O13" s="138">
        <f>SUM(Q13*S13)</f>
        <v>229.76149000000001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5257.7</v>
      </c>
      <c r="T13" s="141"/>
      <c r="U13" s="138">
        <f>SUM(W13*Y13)</f>
        <v>229.76149000000001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5257.7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1012.63302</v>
      </c>
      <c r="D14" s="12">
        <f>SUM(I14*2+O14)</f>
        <v>1012.63302</v>
      </c>
      <c r="E14" s="12">
        <f>SUM(O14*2+U14)</f>
        <v>1012.63302</v>
      </c>
      <c r="F14" s="12">
        <f>SUM(U14*3)</f>
        <v>1012.63302</v>
      </c>
      <c r="G14" s="76">
        <f t="shared" si="0"/>
        <v>4050.53208</v>
      </c>
      <c r="H14" s="137" t="s">
        <v>11</v>
      </c>
      <c r="I14" s="138">
        <f>SUM(K14*M14)</f>
        <v>337.54433999999998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5257.7</v>
      </c>
      <c r="N14" s="141"/>
      <c r="O14" s="138">
        <f>SUM(S14*Q14)</f>
        <v>337.54433999999998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5257.7</v>
      </c>
      <c r="T14" s="141"/>
      <c r="U14" s="138">
        <f>SUM(Y14*W14)</f>
        <v>337.54433999999998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5257.7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718.60383359999992</v>
      </c>
      <c r="D15" s="9">
        <f>SUM(I15*2+O15)</f>
        <v>718.60383359999992</v>
      </c>
      <c r="E15" s="9">
        <f>SUM(O15*2+U15)</f>
        <v>718.60383359999992</v>
      </c>
      <c r="F15" s="9">
        <f>SUM(U15*3)</f>
        <v>718.60383359999992</v>
      </c>
      <c r="G15" s="76">
        <f t="shared" ref="G15" si="1">SUM(C15:F15)</f>
        <v>2874.4153343999997</v>
      </c>
      <c r="H15" s="137" t="s">
        <v>81</v>
      </c>
      <c r="I15" s="138">
        <f>SUM(J15*((K15+L15))/2)*M15*1.2</f>
        <v>239.53461119999997</v>
      </c>
      <c r="J15" s="138">
        <v>0.24</v>
      </c>
      <c r="K15" s="138">
        <v>10.1853</v>
      </c>
      <c r="L15" s="138">
        <v>11.702</v>
      </c>
      <c r="M15" s="179">
        <f>SUM(J5)</f>
        <v>76</v>
      </c>
      <c r="N15" s="141"/>
      <c r="O15" s="138">
        <f>SUM(P15*((Q15+R15)/2)*S15)*1.2</f>
        <v>239.53461119999997</v>
      </c>
      <c r="P15" s="138">
        <v>0.24</v>
      </c>
      <c r="Q15" s="138">
        <v>10.1853</v>
      </c>
      <c r="R15" s="138">
        <v>11.702</v>
      </c>
      <c r="S15" s="138">
        <f>SUM(J5)</f>
        <v>76</v>
      </c>
      <c r="T15" s="141"/>
      <c r="U15" s="138">
        <f>SUM(V15*((W15+X15)/2)*Y15)*1.2</f>
        <v>239.53461119999997</v>
      </c>
      <c r="V15" s="138">
        <v>0.24</v>
      </c>
      <c r="W15" s="138">
        <v>10.1853</v>
      </c>
      <c r="X15" s="138">
        <v>11.702</v>
      </c>
      <c r="Y15" s="138">
        <f>SUM(J5)</f>
        <v>76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647.96820000000002</v>
      </c>
      <c r="D16" s="35">
        <f t="shared" ref="D16:F16" si="2">SUM(D17:D19)</f>
        <v>647.96820000000002</v>
      </c>
      <c r="E16" s="35">
        <f t="shared" si="2"/>
        <v>647.96820000000002</v>
      </c>
      <c r="F16" s="35">
        <f t="shared" si="2"/>
        <v>647.96820000000002</v>
      </c>
      <c r="G16" s="35">
        <f>SUM(G17:G19)</f>
        <v>2591.8728000000001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347.00819999999999</v>
      </c>
      <c r="D17" s="12">
        <f>SUM(I17*2+O17)</f>
        <v>347.00819999999999</v>
      </c>
      <c r="E17" s="12">
        <f>SUM(O17*2+U17)</f>
        <v>347.00819999999999</v>
      </c>
      <c r="F17" s="12">
        <f>SUM(U17*3)</f>
        <v>347.00819999999999</v>
      </c>
      <c r="G17" s="76">
        <f t="shared" ref="G17:G18" si="3">SUM(C17:F17)</f>
        <v>1388.0328</v>
      </c>
      <c r="H17" s="142" t="s">
        <v>82</v>
      </c>
      <c r="I17" s="138">
        <f>SUM(K17*M17)</f>
        <v>115.6694</v>
      </c>
      <c r="J17" s="138" t="s">
        <v>122</v>
      </c>
      <c r="K17" s="138">
        <v>2.1999999999999999E-2</v>
      </c>
      <c r="L17" s="138"/>
      <c r="M17" s="138">
        <f>SUM(J1)</f>
        <v>5257.7</v>
      </c>
      <c r="N17" s="141"/>
      <c r="O17" s="138">
        <f>SUM(Q17*S17)</f>
        <v>115.6694</v>
      </c>
      <c r="P17" s="138" t="s">
        <v>122</v>
      </c>
      <c r="Q17" s="138">
        <v>2.1999999999999999E-2</v>
      </c>
      <c r="R17" s="138"/>
      <c r="S17" s="138">
        <f>SUM(J1)</f>
        <v>5257.7</v>
      </c>
      <c r="T17" s="141"/>
      <c r="U17" s="138">
        <f>SUM(W17*Y17)</f>
        <v>115.6694</v>
      </c>
      <c r="V17" s="138" t="s">
        <v>122</v>
      </c>
      <c r="W17" s="138">
        <v>2.1999999999999999E-2</v>
      </c>
      <c r="X17" s="138"/>
      <c r="Y17" s="138">
        <f>SUM(J1)</f>
        <v>5257.7</v>
      </c>
    </row>
    <row r="18" spans="1:35" ht="40.5" customHeight="1" outlineLevel="1" x14ac:dyDescent="0.3">
      <c r="A18" s="29"/>
      <c r="B18" s="10" t="s">
        <v>14</v>
      </c>
      <c r="C18" s="12">
        <f>SUM(I18*3)</f>
        <v>300.95999999999998</v>
      </c>
      <c r="D18" s="12">
        <f>SUM(I18*2+O18)</f>
        <v>300.95999999999998</v>
      </c>
      <c r="E18" s="12">
        <f>SUM(O18*2+U18)</f>
        <v>300.95999999999998</v>
      </c>
      <c r="F18" s="12">
        <f>SUM(U18*3)</f>
        <v>300.95999999999998</v>
      </c>
      <c r="G18" s="76">
        <f t="shared" si="3"/>
        <v>1203.8399999999999</v>
      </c>
      <c r="H18" s="142" t="s">
        <v>84</v>
      </c>
      <c r="I18" s="138">
        <f>SUM(K18*M18)*1.5</f>
        <v>100.32</v>
      </c>
      <c r="J18" s="138" t="s">
        <v>83</v>
      </c>
      <c r="K18" s="138">
        <v>0.88</v>
      </c>
      <c r="L18" s="138"/>
      <c r="M18" s="138">
        <f>SUM(J5)</f>
        <v>76</v>
      </c>
      <c r="N18" s="141"/>
      <c r="O18" s="138">
        <f>SUM(Q18*S18)*1.5</f>
        <v>100.32</v>
      </c>
      <c r="P18" s="138" t="s">
        <v>83</v>
      </c>
      <c r="Q18" s="138">
        <v>0.88</v>
      </c>
      <c r="R18" s="138"/>
      <c r="S18" s="138">
        <f>SUM(J5)</f>
        <v>76</v>
      </c>
      <c r="T18" s="141"/>
      <c r="U18" s="138">
        <f>SUM(W18*Y18)*1.5</f>
        <v>100.32</v>
      </c>
      <c r="V18" s="138" t="s">
        <v>83</v>
      </c>
      <c r="W18" s="138">
        <v>0.88</v>
      </c>
      <c r="X18" s="138"/>
      <c r="Y18" s="138">
        <f>SUM(J5)</f>
        <v>76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697.68000000000006</v>
      </c>
      <c r="D20" s="22">
        <f t="shared" ref="D20:F20" si="4">SUM(D21:D22)</f>
        <v>697.68000000000006</v>
      </c>
      <c r="E20" s="22">
        <f t="shared" si="4"/>
        <v>697.68000000000006</v>
      </c>
      <c r="F20" s="22">
        <f t="shared" si="4"/>
        <v>697.68000000000006</v>
      </c>
      <c r="G20" s="8">
        <f>SUM(G21:G22)</f>
        <v>2790.7200000000003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241.68</v>
      </c>
      <c r="D21" s="11">
        <f>SUM(M21*3)</f>
        <v>241.68</v>
      </c>
      <c r="E21" s="11">
        <f>SUM(M21*3)</f>
        <v>241.68</v>
      </c>
      <c r="F21" s="11">
        <f>SUM(M21*3)</f>
        <v>241.68</v>
      </c>
      <c r="G21" s="77">
        <f>SUM(C21:F21)</f>
        <v>966.72</v>
      </c>
      <c r="H21" s="137" t="s">
        <v>85</v>
      </c>
      <c r="I21" s="106">
        <f>SUM(J5)</f>
        <v>76</v>
      </c>
      <c r="J21" s="107"/>
      <c r="K21" s="107">
        <v>1.06</v>
      </c>
      <c r="L21" s="107"/>
      <c r="M21" s="108">
        <f>I21*K21</f>
        <v>80.56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456</v>
      </c>
      <c r="D22" s="26">
        <f>SUM(M22*3)</f>
        <v>456</v>
      </c>
      <c r="E22" s="26">
        <f>SUM(M22*3)</f>
        <v>456</v>
      </c>
      <c r="F22" s="26">
        <f>SUM(M22*3)</f>
        <v>456</v>
      </c>
      <c r="G22" s="78">
        <f>SUM(C22:F22)</f>
        <v>1824</v>
      </c>
      <c r="H22" s="142" t="s">
        <v>86</v>
      </c>
      <c r="I22" s="109">
        <f>SUM(J5)</f>
        <v>76</v>
      </c>
      <c r="J22" s="110"/>
      <c r="K22" s="110">
        <v>2</v>
      </c>
      <c r="L22" s="110"/>
      <c r="M22" s="111">
        <f>I22*K22</f>
        <v>152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14668.983</v>
      </c>
      <c r="D23" s="22">
        <f t="shared" ref="D23:F23" si="5">SUM(D24:D25)</f>
        <v>14668.983</v>
      </c>
      <c r="E23" s="22">
        <f t="shared" si="5"/>
        <v>14668.983</v>
      </c>
      <c r="F23" s="22">
        <f t="shared" si="5"/>
        <v>14668.983</v>
      </c>
      <c r="G23" s="8">
        <f>SUM(G24:G25)</f>
        <v>58675.932000000001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9779.3220000000001</v>
      </c>
      <c r="D24" s="9">
        <f>SUM(J1*K24*3)</f>
        <v>9779.3220000000001</v>
      </c>
      <c r="E24" s="9">
        <f>SUM(J1*K24*3)</f>
        <v>9779.3220000000001</v>
      </c>
      <c r="F24" s="9">
        <f>SUM(J1*K24*3)</f>
        <v>9779.3220000000001</v>
      </c>
      <c r="G24" s="77">
        <f t="shared" ref="G24:G29" si="6">SUM(C24:F24)</f>
        <v>39117.288</v>
      </c>
      <c r="H24" s="144" t="s">
        <v>87</v>
      </c>
      <c r="I24" s="100">
        <f>SUM(N1)</f>
        <v>5268.8</v>
      </c>
      <c r="J24" s="101"/>
      <c r="K24" s="107">
        <v>0.62</v>
      </c>
      <c r="L24" s="107"/>
      <c r="M24" s="102">
        <f>SUM(I24*K24)</f>
        <v>3266.6559999999999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4889.6610000000001</v>
      </c>
      <c r="D25" s="26">
        <f>SUM(M25*3)</f>
        <v>4889.6610000000001</v>
      </c>
      <c r="E25" s="26">
        <f>SUM(M25*3)</f>
        <v>4889.6610000000001</v>
      </c>
      <c r="F25" s="26">
        <f>SUM(M25*3)</f>
        <v>4889.6610000000001</v>
      </c>
      <c r="G25" s="78">
        <f t="shared" si="6"/>
        <v>19558.644</v>
      </c>
      <c r="H25" s="144" t="s">
        <v>88</v>
      </c>
      <c r="I25" s="103">
        <f>SUM(J1)</f>
        <v>5257.7</v>
      </c>
      <c r="J25" s="105"/>
      <c r="K25" s="110">
        <v>0.31</v>
      </c>
      <c r="L25" s="110"/>
      <c r="M25" s="104">
        <f>SUM(I25*K25)</f>
        <v>1629.8869999999999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76</v>
      </c>
      <c r="J27" s="166"/>
      <c r="K27" s="169">
        <v>0.28000000000000003</v>
      </c>
      <c r="L27" s="166"/>
      <c r="M27" s="181">
        <f>SUM(I27*K27)</f>
        <v>21.28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20640.231903600001</v>
      </c>
      <c r="D29" s="52">
        <f>D9+D16+D20+D23+D26</f>
        <v>20640.231903600001</v>
      </c>
      <c r="E29" s="52">
        <f>E9+E16+E20+E23+E26</f>
        <v>20640.231903600001</v>
      </c>
      <c r="F29" s="52">
        <f>F9+F16+F20+F23+F26</f>
        <v>20640.231903600001</v>
      </c>
      <c r="G29" s="53">
        <f t="shared" si="6"/>
        <v>82560.927614400003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3276.7003873700414</v>
      </c>
      <c r="D31" s="64">
        <f>SUM(D32:D35)</f>
        <v>3276.7003873700414</v>
      </c>
      <c r="E31" s="64">
        <f>SUM(E32:E35)</f>
        <v>3276.7003873700414</v>
      </c>
      <c r="F31" s="64">
        <f>SUM(F32:F35)</f>
        <v>3276.7003873700414</v>
      </c>
      <c r="G31" s="64">
        <f>SUM(G32:G35)</f>
        <v>13106.801549480166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2205.0793800000001</v>
      </c>
      <c r="D32" s="42">
        <f>D10</f>
        <v>2205.0793800000001</v>
      </c>
      <c r="E32" s="42">
        <f>E10</f>
        <v>2205.0793800000001</v>
      </c>
      <c r="F32" s="42">
        <f>F10</f>
        <v>2205.0793800000001</v>
      </c>
      <c r="G32" s="73">
        <f>SUM(C32:F32)</f>
        <v>8820.3175200000005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689.28447000000006</v>
      </c>
      <c r="D33" s="42">
        <f t="shared" si="8"/>
        <v>689.28447000000006</v>
      </c>
      <c r="E33" s="42">
        <f t="shared" si="8"/>
        <v>689.28447000000006</v>
      </c>
      <c r="F33" s="42">
        <f t="shared" si="8"/>
        <v>689.28447000000006</v>
      </c>
      <c r="G33" s="73">
        <f>SUM(C33:F33)</f>
        <v>2757.1378800000002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697.68000000000006</v>
      </c>
      <c r="D39" s="64">
        <f t="shared" ref="D39:F39" si="11">SUM(D40:D41)</f>
        <v>697.68000000000006</v>
      </c>
      <c r="E39" s="64">
        <f t="shared" si="11"/>
        <v>697.68000000000006</v>
      </c>
      <c r="F39" s="64">
        <f t="shared" si="11"/>
        <v>697.68000000000006</v>
      </c>
      <c r="G39" s="64">
        <f t="shared" ref="G39" si="12">SUM(G40:G41)</f>
        <v>2790.7200000000003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241.68</v>
      </c>
      <c r="D40" s="42">
        <f t="shared" si="13"/>
        <v>241.68</v>
      </c>
      <c r="E40" s="42">
        <f t="shared" si="13"/>
        <v>241.68</v>
      </c>
      <c r="F40" s="42">
        <f t="shared" si="13"/>
        <v>241.68</v>
      </c>
      <c r="G40" s="73">
        <f>SUM(C40:F40)</f>
        <v>966.72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456</v>
      </c>
      <c r="D41" s="57">
        <f t="shared" si="13"/>
        <v>456</v>
      </c>
      <c r="E41" s="57">
        <f t="shared" si="13"/>
        <v>456</v>
      </c>
      <c r="F41" s="57">
        <f t="shared" si="13"/>
        <v>456</v>
      </c>
      <c r="G41" s="73">
        <f>SUM(C41:F41)</f>
        <v>1824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9799.9680000000008</v>
      </c>
      <c r="D42" s="64">
        <f>SUM(D43:D58)</f>
        <v>9799.9680000000008</v>
      </c>
      <c r="E42" s="64">
        <f>SUM(E43:E58)</f>
        <v>9799.9680000000008</v>
      </c>
      <c r="F42" s="64">
        <f>SUM(F43:F58)</f>
        <v>9799.9680000000008</v>
      </c>
      <c r="G42" s="66">
        <f t="shared" ref="G42:G51" si="14">SUM(C42:F42)</f>
        <v>39199.872000000003</v>
      </c>
    </row>
    <row r="43" spans="1:7" ht="20.100000000000001" customHeight="1" x14ac:dyDescent="0.25">
      <c r="A43" s="58"/>
      <c r="B43" s="49" t="s">
        <v>38</v>
      </c>
      <c r="C43" s="42">
        <f>SUM(M24*3)</f>
        <v>9799.9680000000008</v>
      </c>
      <c r="D43" s="42">
        <f>SUM(M24*3)</f>
        <v>9799.9680000000008</v>
      </c>
      <c r="E43" s="42">
        <f>SUM(M24*3)</f>
        <v>9799.9680000000008</v>
      </c>
      <c r="F43" s="42">
        <f>SUM(M24*3)</f>
        <v>9799.9680000000008</v>
      </c>
      <c r="G43" s="73">
        <f t="shared" si="14"/>
        <v>39199.872000000003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13774.348387370042</v>
      </c>
      <c r="D59" s="38">
        <f>D31+D36+D39+D42</f>
        <v>13774.348387370042</v>
      </c>
      <c r="E59" s="38">
        <f>E31+E36+E39+E42</f>
        <v>13774.348387370042</v>
      </c>
      <c r="F59" s="38">
        <f>F31+F36+F39+F42</f>
        <v>13774.348387370042</v>
      </c>
      <c r="G59" s="39">
        <f>G31+G36+G39+G42</f>
        <v>55097.39354948017</v>
      </c>
    </row>
    <row r="60" spans="1:14" ht="26.1" customHeight="1" outlineLevel="1" x14ac:dyDescent="0.25">
      <c r="A60" s="112"/>
      <c r="B60" s="71"/>
      <c r="C60" s="72">
        <f>C29-C59</f>
        <v>6865.8835162299583</v>
      </c>
      <c r="D60" s="72">
        <f>D29-D59</f>
        <v>6865.8835162299583</v>
      </c>
      <c r="E60" s="72">
        <f>E29-E59</f>
        <v>6865.8835162299583</v>
      </c>
      <c r="F60" s="72">
        <f>F29-F59</f>
        <v>6865.8835162299583</v>
      </c>
      <c r="G60" s="72">
        <f>G29-G59</f>
        <v>27463.534064919833</v>
      </c>
    </row>
  </sheetData>
  <dataConsolidate/>
  <mergeCells count="19">
    <mergeCell ref="Z10:Z12"/>
    <mergeCell ref="A29:B29"/>
    <mergeCell ref="A30:B30"/>
    <mergeCell ref="A59:B59"/>
    <mergeCell ref="H28:AA28"/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734-5690-4711-AAA0-CA2DFA787F49}">
  <sheetPr>
    <tabColor rgb="FFFFC000"/>
    <pageSetUpPr fitToPage="1"/>
  </sheetPr>
  <dimension ref="A1:AI67"/>
  <sheetViews>
    <sheetView showGridLines="0" view="pageBreakPreview" topLeftCell="D10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10.140625" style="2"/>
    <col min="15" max="15" width="12.28515625" style="2" bestFit="1" customWidth="1"/>
    <col min="16" max="20" width="10.140625" style="2"/>
    <col min="21" max="21" width="12.28515625" style="2" bestFit="1" customWidth="1"/>
    <col min="22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4812.2</v>
      </c>
      <c r="K1" s="4" t="s">
        <v>120</v>
      </c>
      <c r="N1" s="2">
        <v>4813.1000000000004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113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87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4398.5581032</v>
      </c>
      <c r="D9" s="22">
        <f>SUM(D10:D15)</f>
        <v>4398.5581032</v>
      </c>
      <c r="E9" s="22">
        <f>SUM(E10:E15)</f>
        <v>4398.5581032</v>
      </c>
      <c r="F9" s="22">
        <f>SUM(F10:F15)</f>
        <v>4398.5581032</v>
      </c>
      <c r="G9" s="8">
        <f>SUM(G10:G15)</f>
        <v>17594.2324128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2018.23668</v>
      </c>
      <c r="D10" s="12">
        <f>SUM(I10*2+O10*1)</f>
        <v>2018.23668</v>
      </c>
      <c r="E10" s="12">
        <f>SUM(O10*2)+U10*1</f>
        <v>2018.23668</v>
      </c>
      <c r="F10" s="12">
        <f>SUM(U10*3)</f>
        <v>2018.23668</v>
      </c>
      <c r="G10" s="76">
        <f>SUM(C10:F10)</f>
        <v>8072.9467199999999</v>
      </c>
      <c r="H10" s="137" t="s">
        <v>77</v>
      </c>
      <c r="I10" s="138">
        <f>SUM(M10*K10)</f>
        <v>672.74555999999995</v>
      </c>
      <c r="J10" s="138" t="s">
        <v>122</v>
      </c>
      <c r="K10" s="138">
        <v>0.13980000000000001</v>
      </c>
      <c r="L10" s="138"/>
      <c r="M10" s="180">
        <f>SUM(J1)</f>
        <v>4812.2</v>
      </c>
      <c r="N10" s="140"/>
      <c r="O10" s="138">
        <f>SUM(S10*Q10)</f>
        <v>672.74555999999995</v>
      </c>
      <c r="P10" s="138" t="s">
        <v>122</v>
      </c>
      <c r="Q10" s="138">
        <v>0.13980000000000001</v>
      </c>
      <c r="R10" s="138"/>
      <c r="S10" s="139">
        <f>SUM(J1)</f>
        <v>4812.2</v>
      </c>
      <c r="T10" s="140"/>
      <c r="U10" s="138">
        <f>SUM(Y10*W10)</f>
        <v>672.74555999999995</v>
      </c>
      <c r="V10" s="138" t="s">
        <v>122</v>
      </c>
      <c r="W10" s="138">
        <v>0.13980000000000001</v>
      </c>
      <c r="X10" s="138"/>
      <c r="Y10" s="139">
        <f>SUM(J1)</f>
        <v>4812.2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4812.2</v>
      </c>
      <c r="N11" s="140"/>
      <c r="O11" s="138"/>
      <c r="P11" s="138" t="s">
        <v>122</v>
      </c>
      <c r="Q11" s="138"/>
      <c r="R11" s="138">
        <v>0.15</v>
      </c>
      <c r="S11" s="138">
        <f>SUM(J1)</f>
        <v>4812.2</v>
      </c>
      <c r="T11" s="140"/>
      <c r="U11" s="138"/>
      <c r="V11" s="138" t="s">
        <v>122</v>
      </c>
      <c r="W11" s="138"/>
      <c r="X11" s="138">
        <v>0.15</v>
      </c>
      <c r="Y11" s="139">
        <f>SUM(J1)</f>
        <v>4812.2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630.87941999999998</v>
      </c>
      <c r="D13" s="12">
        <f>SUM(I13*2+O13)</f>
        <v>630.87941999999998</v>
      </c>
      <c r="E13" s="12">
        <f>SUM(O13*2+U13)</f>
        <v>630.87941999999998</v>
      </c>
      <c r="F13" s="12">
        <f>SUM(U13*3)</f>
        <v>630.87941999999998</v>
      </c>
      <c r="G13" s="76">
        <f>SUM(C13:F13)</f>
        <v>2523.5176799999999</v>
      </c>
      <c r="H13" s="137" t="s">
        <v>80</v>
      </c>
      <c r="I13" s="138">
        <f>SUM(K13*M13)</f>
        <v>210.29313999999999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4812.2</v>
      </c>
      <c r="N13" s="141"/>
      <c r="O13" s="138">
        <f>SUM(Q13*S13)</f>
        <v>210.29313999999999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4812.2</v>
      </c>
      <c r="T13" s="141"/>
      <c r="U13" s="138">
        <f>SUM(W13*Y13)</f>
        <v>210.29313999999999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4812.2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926.82971999999984</v>
      </c>
      <c r="D14" s="12">
        <f>SUM(I14*2+O14)</f>
        <v>926.82971999999984</v>
      </c>
      <c r="E14" s="12">
        <f>SUM(O14*2+U14)</f>
        <v>926.82971999999984</v>
      </c>
      <c r="F14" s="12">
        <f>SUM(U14*3)</f>
        <v>926.82971999999984</v>
      </c>
      <c r="G14" s="76">
        <f t="shared" si="0"/>
        <v>3707.3188799999994</v>
      </c>
      <c r="H14" s="137" t="s">
        <v>11</v>
      </c>
      <c r="I14" s="138">
        <f>SUM(K14*M14)</f>
        <v>308.94323999999995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4812.2</v>
      </c>
      <c r="N14" s="141"/>
      <c r="O14" s="138">
        <f>SUM(S14*Q14)</f>
        <v>308.94323999999995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4812.2</v>
      </c>
      <c r="T14" s="141"/>
      <c r="U14" s="138">
        <f>SUM(Y14*W14)</f>
        <v>308.94323999999995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4812.2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822.61228319999987</v>
      </c>
      <c r="D15" s="9">
        <f>SUM(I15*2+O15)</f>
        <v>822.61228319999987</v>
      </c>
      <c r="E15" s="9">
        <f>SUM(O15*2+U15)</f>
        <v>822.61228319999987</v>
      </c>
      <c r="F15" s="9">
        <f>SUM(U15*3)</f>
        <v>822.61228319999987</v>
      </c>
      <c r="G15" s="76">
        <f t="shared" ref="G15" si="1">SUM(C15:F15)</f>
        <v>3290.4491327999995</v>
      </c>
      <c r="H15" s="137" t="s">
        <v>81</v>
      </c>
      <c r="I15" s="138">
        <f>SUM(J15*((K15+L15))/2)*M15*1.2</f>
        <v>274.20409439999997</v>
      </c>
      <c r="J15" s="138">
        <v>0.24</v>
      </c>
      <c r="K15" s="138">
        <v>10.1853</v>
      </c>
      <c r="L15" s="138">
        <v>11.702</v>
      </c>
      <c r="M15" s="179">
        <f>SUM(J5)</f>
        <v>87</v>
      </c>
      <c r="N15" s="141"/>
      <c r="O15" s="138">
        <f>SUM(P15*((Q15+R15)/2)*S15)*1.2</f>
        <v>274.20409439999997</v>
      </c>
      <c r="P15" s="138">
        <v>0.24</v>
      </c>
      <c r="Q15" s="138">
        <v>10.1853</v>
      </c>
      <c r="R15" s="138">
        <v>11.702</v>
      </c>
      <c r="S15" s="138">
        <f>SUM(J5)</f>
        <v>87</v>
      </c>
      <c r="T15" s="141"/>
      <c r="U15" s="138">
        <f>SUM(V15*((W15+X15)/2)*Y15)*1.2</f>
        <v>274.20409439999997</v>
      </c>
      <c r="V15" s="138">
        <v>0.24</v>
      </c>
      <c r="W15" s="138">
        <v>10.1853</v>
      </c>
      <c r="X15" s="138">
        <v>11.702</v>
      </c>
      <c r="Y15" s="138">
        <f>SUM(J5)</f>
        <v>87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662.12519999999995</v>
      </c>
      <c r="D16" s="35">
        <f t="shared" ref="D16:F16" si="2">SUM(D17:D19)</f>
        <v>662.12519999999995</v>
      </c>
      <c r="E16" s="35">
        <f t="shared" si="2"/>
        <v>662.12519999999995</v>
      </c>
      <c r="F16" s="35">
        <f t="shared" si="2"/>
        <v>662.12519999999995</v>
      </c>
      <c r="G16" s="35">
        <f>SUM(G17:G19)</f>
        <v>2648.5007999999998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317.60519999999997</v>
      </c>
      <c r="D17" s="12">
        <f>SUM(I17*2+O17)</f>
        <v>317.60519999999997</v>
      </c>
      <c r="E17" s="12">
        <f>SUM(O17*2+U17)</f>
        <v>317.60519999999997</v>
      </c>
      <c r="F17" s="12">
        <f>SUM(U17*3)</f>
        <v>317.60519999999997</v>
      </c>
      <c r="G17" s="76">
        <f t="shared" ref="G17:G18" si="3">SUM(C17:F17)</f>
        <v>1270.4207999999999</v>
      </c>
      <c r="H17" s="142" t="s">
        <v>82</v>
      </c>
      <c r="I17" s="138">
        <f>SUM(K17*M17)</f>
        <v>105.86839999999999</v>
      </c>
      <c r="J17" s="138" t="s">
        <v>122</v>
      </c>
      <c r="K17" s="138">
        <v>2.1999999999999999E-2</v>
      </c>
      <c r="L17" s="138"/>
      <c r="M17" s="138">
        <f>SUM(J1)</f>
        <v>4812.2</v>
      </c>
      <c r="N17" s="141"/>
      <c r="O17" s="138">
        <f>SUM(Q17*S17)</f>
        <v>105.86839999999999</v>
      </c>
      <c r="P17" s="138" t="s">
        <v>122</v>
      </c>
      <c r="Q17" s="138">
        <v>2.1999999999999999E-2</v>
      </c>
      <c r="R17" s="138"/>
      <c r="S17" s="138">
        <f>SUM(J1)</f>
        <v>4812.2</v>
      </c>
      <c r="T17" s="141"/>
      <c r="U17" s="138">
        <f>SUM(W17*Y17)</f>
        <v>105.86839999999999</v>
      </c>
      <c r="V17" s="138" t="s">
        <v>122</v>
      </c>
      <c r="W17" s="138">
        <v>2.1999999999999999E-2</v>
      </c>
      <c r="X17" s="138"/>
      <c r="Y17" s="138">
        <f>SUM(J1)</f>
        <v>4812.2</v>
      </c>
    </row>
    <row r="18" spans="1:35" ht="40.5" customHeight="1" outlineLevel="1" x14ac:dyDescent="0.3">
      <c r="A18" s="29"/>
      <c r="B18" s="10" t="s">
        <v>14</v>
      </c>
      <c r="C18" s="12">
        <f>SUM(I18*3)</f>
        <v>344.52</v>
      </c>
      <c r="D18" s="12">
        <f>SUM(I18*2+O18)</f>
        <v>344.52</v>
      </c>
      <c r="E18" s="12">
        <f>SUM(O18*2+U18)</f>
        <v>344.52</v>
      </c>
      <c r="F18" s="12">
        <f>SUM(U18*3)</f>
        <v>344.52</v>
      </c>
      <c r="G18" s="76">
        <f t="shared" si="3"/>
        <v>1378.08</v>
      </c>
      <c r="H18" s="142" t="s">
        <v>84</v>
      </c>
      <c r="I18" s="138">
        <f>SUM(K18*M18)*1.5</f>
        <v>114.84</v>
      </c>
      <c r="J18" s="138" t="s">
        <v>83</v>
      </c>
      <c r="K18" s="138">
        <v>0.88</v>
      </c>
      <c r="L18" s="138"/>
      <c r="M18" s="138">
        <f>SUM(J5)</f>
        <v>87</v>
      </c>
      <c r="N18" s="141"/>
      <c r="O18" s="138">
        <f>SUM(Q18*S18)*1.5</f>
        <v>114.84</v>
      </c>
      <c r="P18" s="138" t="s">
        <v>83</v>
      </c>
      <c r="Q18" s="138">
        <v>0.88</v>
      </c>
      <c r="R18" s="138"/>
      <c r="S18" s="138">
        <f>SUM(J5)</f>
        <v>87</v>
      </c>
      <c r="T18" s="141"/>
      <c r="U18" s="138">
        <f>SUM(W18*Y18)*1.5</f>
        <v>114.84</v>
      </c>
      <c r="V18" s="138" t="s">
        <v>83</v>
      </c>
      <c r="W18" s="138">
        <v>0.88</v>
      </c>
      <c r="X18" s="138"/>
      <c r="Y18" s="138">
        <f>SUM(J5)</f>
        <v>87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798.66</v>
      </c>
      <c r="D20" s="22">
        <f t="shared" ref="D20:F20" si="4">SUM(D21:D22)</f>
        <v>798.66</v>
      </c>
      <c r="E20" s="22">
        <f t="shared" si="4"/>
        <v>798.66</v>
      </c>
      <c r="F20" s="22">
        <f t="shared" si="4"/>
        <v>798.66</v>
      </c>
      <c r="G20" s="8">
        <f>SUM(G21:G22)</f>
        <v>3194.64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276.65999999999997</v>
      </c>
      <c r="D21" s="11">
        <f>SUM(M21*3)</f>
        <v>276.65999999999997</v>
      </c>
      <c r="E21" s="11">
        <f>SUM(M21*3)</f>
        <v>276.65999999999997</v>
      </c>
      <c r="F21" s="11">
        <f>SUM(M21*3)</f>
        <v>276.65999999999997</v>
      </c>
      <c r="G21" s="77">
        <f>SUM(C21:F21)</f>
        <v>1106.6399999999999</v>
      </c>
      <c r="H21" s="137" t="s">
        <v>85</v>
      </c>
      <c r="I21" s="106">
        <f>SUM(J5)</f>
        <v>87</v>
      </c>
      <c r="J21" s="107"/>
      <c r="K21" s="107">
        <v>1.06</v>
      </c>
      <c r="L21" s="107"/>
      <c r="M21" s="108">
        <f>I21*K21</f>
        <v>92.22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522</v>
      </c>
      <c r="D22" s="26">
        <f>SUM(M22*3)</f>
        <v>522</v>
      </c>
      <c r="E22" s="26">
        <f>SUM(M22*3)</f>
        <v>522</v>
      </c>
      <c r="F22" s="26">
        <f>SUM(M22*3)</f>
        <v>522</v>
      </c>
      <c r="G22" s="78">
        <f>SUM(C22:F22)</f>
        <v>2088</v>
      </c>
      <c r="H22" s="142" t="s">
        <v>86</v>
      </c>
      <c r="I22" s="109">
        <f>SUM(J5)</f>
        <v>87</v>
      </c>
      <c r="J22" s="110"/>
      <c r="K22" s="110">
        <v>2</v>
      </c>
      <c r="L22" s="110"/>
      <c r="M22" s="111">
        <f>I22*K22</f>
        <v>174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13426.037999999999</v>
      </c>
      <c r="D23" s="22">
        <f t="shared" ref="D23:F23" si="5">SUM(D24:D25)</f>
        <v>13426.037999999999</v>
      </c>
      <c r="E23" s="22">
        <f t="shared" si="5"/>
        <v>13426.037999999999</v>
      </c>
      <c r="F23" s="22">
        <f t="shared" si="5"/>
        <v>13426.037999999999</v>
      </c>
      <c r="G23" s="8">
        <f>SUM(G24:G25)</f>
        <v>53704.151999999995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8950.6919999999991</v>
      </c>
      <c r="D24" s="9">
        <f>SUM(J1*K24*3)</f>
        <v>8950.6919999999991</v>
      </c>
      <c r="E24" s="9">
        <f>SUM(J1*K24*3)</f>
        <v>8950.6919999999991</v>
      </c>
      <c r="F24" s="9">
        <f>SUM(J1*K24*3)</f>
        <v>8950.6919999999991</v>
      </c>
      <c r="G24" s="77">
        <f t="shared" ref="G24:G29" si="6">SUM(C24:F24)</f>
        <v>35802.767999999996</v>
      </c>
      <c r="H24" s="144" t="s">
        <v>87</v>
      </c>
      <c r="I24" s="100">
        <f>SUM(N1)</f>
        <v>4813.1000000000004</v>
      </c>
      <c r="J24" s="101"/>
      <c r="K24" s="107">
        <v>0.62</v>
      </c>
      <c r="L24" s="107"/>
      <c r="M24" s="102">
        <f>SUM(I24*K24)</f>
        <v>2984.1220000000003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4475.3459999999995</v>
      </c>
      <c r="D25" s="26">
        <f>SUM(M25*3)</f>
        <v>4475.3459999999995</v>
      </c>
      <c r="E25" s="26">
        <f>SUM(M25*3)</f>
        <v>4475.3459999999995</v>
      </c>
      <c r="F25" s="26">
        <f>SUM(M25*3)</f>
        <v>4475.3459999999995</v>
      </c>
      <c r="G25" s="78">
        <f t="shared" si="6"/>
        <v>17901.383999999998</v>
      </c>
      <c r="H25" s="144" t="s">
        <v>88</v>
      </c>
      <c r="I25" s="103">
        <f>SUM(J1)</f>
        <v>4812.2</v>
      </c>
      <c r="J25" s="105"/>
      <c r="K25" s="110">
        <v>0.31</v>
      </c>
      <c r="L25" s="110"/>
      <c r="M25" s="104">
        <f>SUM(I25*K25)</f>
        <v>1491.7819999999999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87</v>
      </c>
      <c r="J27" s="166"/>
      <c r="K27" s="169">
        <v>0.28000000000000003</v>
      </c>
      <c r="L27" s="166"/>
      <c r="M27" s="181">
        <f>SUM(I27*K27)</f>
        <v>24.360000000000003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19285.381303199996</v>
      </c>
      <c r="D29" s="52">
        <f>D9+D16+D20+D23+D26</f>
        <v>19285.381303199996</v>
      </c>
      <c r="E29" s="52">
        <f>E9+E16+E20+E23+E26</f>
        <v>19285.381303199996</v>
      </c>
      <c r="F29" s="52">
        <f>F9+F16+F20+F23+F26</f>
        <v>19285.381303199996</v>
      </c>
      <c r="G29" s="53">
        <f t="shared" si="6"/>
        <v>77141.525212799985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3031.4526373700414</v>
      </c>
      <c r="D31" s="64">
        <f>SUM(D32:D35)</f>
        <v>3031.4526373700414</v>
      </c>
      <c r="E31" s="64">
        <f>SUM(E32:E35)</f>
        <v>3031.4526373700414</v>
      </c>
      <c r="F31" s="64">
        <f>SUM(F32:F35)</f>
        <v>3031.4526373700414</v>
      </c>
      <c r="G31" s="64">
        <f>SUM(G32:G35)</f>
        <v>12125.810549480166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2018.23668</v>
      </c>
      <c r="D32" s="42">
        <f>D10</f>
        <v>2018.23668</v>
      </c>
      <c r="E32" s="42">
        <f>E10</f>
        <v>2018.23668</v>
      </c>
      <c r="F32" s="42">
        <f>F10</f>
        <v>2018.23668</v>
      </c>
      <c r="G32" s="73">
        <f>SUM(C32:F32)</f>
        <v>8072.9467199999999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630.87941999999998</v>
      </c>
      <c r="D33" s="42">
        <f t="shared" si="8"/>
        <v>630.87941999999998</v>
      </c>
      <c r="E33" s="42">
        <f t="shared" si="8"/>
        <v>630.87941999999998</v>
      </c>
      <c r="F33" s="42">
        <f t="shared" si="8"/>
        <v>630.87941999999998</v>
      </c>
      <c r="G33" s="73">
        <f>SUM(C33:F33)</f>
        <v>2523.5176799999999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798.66</v>
      </c>
      <c r="D39" s="64">
        <f t="shared" ref="D39:F39" si="11">SUM(D40:D41)</f>
        <v>798.66</v>
      </c>
      <c r="E39" s="64">
        <f t="shared" si="11"/>
        <v>798.66</v>
      </c>
      <c r="F39" s="64">
        <f t="shared" si="11"/>
        <v>798.66</v>
      </c>
      <c r="G39" s="64">
        <f t="shared" ref="G39" si="12">SUM(G40:G41)</f>
        <v>3194.64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276.65999999999997</v>
      </c>
      <c r="D40" s="42">
        <f t="shared" si="13"/>
        <v>276.65999999999997</v>
      </c>
      <c r="E40" s="42">
        <f t="shared" si="13"/>
        <v>276.65999999999997</v>
      </c>
      <c r="F40" s="42">
        <f t="shared" si="13"/>
        <v>276.65999999999997</v>
      </c>
      <c r="G40" s="73">
        <f>SUM(C40:F40)</f>
        <v>1106.6399999999999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522</v>
      </c>
      <c r="D41" s="57">
        <f t="shared" si="13"/>
        <v>522</v>
      </c>
      <c r="E41" s="57">
        <f t="shared" si="13"/>
        <v>522</v>
      </c>
      <c r="F41" s="57">
        <f t="shared" si="13"/>
        <v>522</v>
      </c>
      <c r="G41" s="73">
        <f>SUM(C41:F41)</f>
        <v>2088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8952.3660000000018</v>
      </c>
      <c r="D42" s="64">
        <f>SUM(D43:D58)</f>
        <v>8952.3660000000018</v>
      </c>
      <c r="E42" s="64">
        <f>SUM(E43:E58)</f>
        <v>8952.3660000000018</v>
      </c>
      <c r="F42" s="64">
        <f>SUM(F43:F58)</f>
        <v>8952.3660000000018</v>
      </c>
      <c r="G42" s="66">
        <f t="shared" ref="G42:G51" si="14">SUM(C42:F42)</f>
        <v>35809.464000000007</v>
      </c>
    </row>
    <row r="43" spans="1:7" ht="20.100000000000001" customHeight="1" x14ac:dyDescent="0.25">
      <c r="A43" s="58"/>
      <c r="B43" s="49" t="s">
        <v>38</v>
      </c>
      <c r="C43" s="42">
        <f>SUM(M24*3)</f>
        <v>8952.3660000000018</v>
      </c>
      <c r="D43" s="42">
        <f>SUM(M24*3)</f>
        <v>8952.3660000000018</v>
      </c>
      <c r="E43" s="42">
        <f>SUM(M24*3)</f>
        <v>8952.3660000000018</v>
      </c>
      <c r="F43" s="42">
        <f>SUM(M24*3)</f>
        <v>8952.3660000000018</v>
      </c>
      <c r="G43" s="73">
        <f t="shared" si="14"/>
        <v>35809.464000000007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12782.478637370043</v>
      </c>
      <c r="D59" s="38">
        <f>D31+D36+D39+D42</f>
        <v>12782.478637370043</v>
      </c>
      <c r="E59" s="38">
        <f>E31+E36+E39+E42</f>
        <v>12782.478637370043</v>
      </c>
      <c r="F59" s="38">
        <f>F31+F36+F39+F42</f>
        <v>12782.478637370043</v>
      </c>
      <c r="G59" s="39">
        <f>G31+G36+G39+G42</f>
        <v>51129.914549480171</v>
      </c>
    </row>
    <row r="60" spans="1:14" ht="26.1" customHeight="1" outlineLevel="1" x14ac:dyDescent="0.25">
      <c r="A60" s="112"/>
      <c r="B60" s="71"/>
      <c r="C60" s="72">
        <f>C29-C59</f>
        <v>6502.9026658299535</v>
      </c>
      <c r="D60" s="72">
        <f>D29-D59</f>
        <v>6502.9026658299535</v>
      </c>
      <c r="E60" s="72">
        <f>E29-E59</f>
        <v>6502.9026658299535</v>
      </c>
      <c r="F60" s="72">
        <f>F29-F59</f>
        <v>6502.9026658299535</v>
      </c>
      <c r="G60" s="72">
        <f>G29-G59</f>
        <v>26011.610663319814</v>
      </c>
    </row>
    <row r="61" spans="1:14" ht="26.1" customHeight="1" outlineLevel="1" x14ac:dyDescent="0.25">
      <c r="A61" s="112"/>
      <c r="B61" s="71"/>
      <c r="C61" s="72"/>
      <c r="D61" s="72"/>
      <c r="E61" s="72"/>
      <c r="F61" s="72"/>
      <c r="G61" s="79" t="e">
        <f>G60/#REF!/12</f>
        <v>#REF!</v>
      </c>
    </row>
    <row r="62" spans="1:14" ht="39.75" hidden="1" customHeight="1" x14ac:dyDescent="0.25">
      <c r="A62" s="69"/>
      <c r="B62" s="82"/>
      <c r="C62" s="113"/>
      <c r="D62" s="113"/>
      <c r="E62" s="113"/>
      <c r="F62" s="113"/>
      <c r="G62" s="113"/>
      <c r="H62" s="113"/>
      <c r="I62" s="113"/>
      <c r="J62" s="113"/>
      <c r="K62" s="113"/>
      <c r="L62" s="113"/>
    </row>
    <row r="63" spans="1:14" hidden="1" x14ac:dyDescent="0.25">
      <c r="A63" s="69"/>
      <c r="C63" s="67">
        <f>C16*1.2/100</f>
        <v>7.9455023999999987</v>
      </c>
      <c r="D63" s="67">
        <f>D16*1.2/100</f>
        <v>7.9455023999999987</v>
      </c>
      <c r="E63" s="67">
        <f>E16*1.2/100</f>
        <v>7.9455023999999987</v>
      </c>
      <c r="F63" s="67">
        <f>F16*1.2/100</f>
        <v>7.9455023999999987</v>
      </c>
    </row>
    <row r="64" spans="1:14" hidden="1" x14ac:dyDescent="0.25">
      <c r="A64" s="70"/>
      <c r="C64" s="67">
        <f>(C16-C63)*0.5/100</f>
        <v>3.2708984879999998</v>
      </c>
      <c r="D64" s="67">
        <f>(D16-D63)*0.5/100</f>
        <v>3.2708984879999998</v>
      </c>
      <c r="E64" s="67">
        <f>(E16-E63)*0.5/100</f>
        <v>3.2708984879999998</v>
      </c>
      <c r="F64" s="67">
        <f>(F16-F63)*0.5/100</f>
        <v>3.2708984879999998</v>
      </c>
    </row>
    <row r="65" spans="1:15" hidden="1" x14ac:dyDescent="0.25">
      <c r="C65" s="3">
        <f>C9*1.2/100</f>
        <v>52.782697238399997</v>
      </c>
      <c r="D65" s="3">
        <f>D9*1.2/100</f>
        <v>52.782697238399997</v>
      </c>
      <c r="E65" s="3">
        <f>E9*1.2/100</f>
        <v>52.782697238399997</v>
      </c>
      <c r="F65" s="3">
        <f>F9*1.2/100</f>
        <v>52.782697238399997</v>
      </c>
    </row>
    <row r="66" spans="1:15" s="3" customFormat="1" hidden="1" x14ac:dyDescent="0.25">
      <c r="A66" s="2"/>
      <c r="B66" s="2"/>
      <c r="C66" s="3">
        <f>(C9-C65)*4/100</f>
        <v>173.831016238464</v>
      </c>
      <c r="D66" s="3">
        <f>(D9-D65)*4/100</f>
        <v>173.831016238464</v>
      </c>
      <c r="E66" s="3">
        <f>(E9-E65)*4/100</f>
        <v>173.831016238464</v>
      </c>
      <c r="F66" s="3">
        <f>(F9-F65)*4/100</f>
        <v>173.831016238464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 x14ac:dyDescent="0.25">
      <c r="A67" s="2"/>
      <c r="B67" s="2"/>
      <c r="C67" s="3">
        <f>SUM(C63:C66)</f>
        <v>237.83011436486402</v>
      </c>
      <c r="D67" s="3">
        <f t="shared" ref="D67:F67" si="16">SUM(D63:D66)</f>
        <v>237.83011436486402</v>
      </c>
      <c r="E67" s="3">
        <f t="shared" si="16"/>
        <v>237.83011436486402</v>
      </c>
      <c r="F67" s="3">
        <f t="shared" si="16"/>
        <v>237.83011436486402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O8:S8"/>
    <mergeCell ref="U8:Y8"/>
    <mergeCell ref="Z10:Z12"/>
    <mergeCell ref="H28:AA28"/>
    <mergeCell ref="A59:B59"/>
    <mergeCell ref="A8:B8"/>
    <mergeCell ref="A29:B29"/>
    <mergeCell ref="A30:B30"/>
    <mergeCell ref="I8:M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105-0249-4E87-B031-66C0F86CBA28}">
  <sheetPr>
    <tabColor rgb="FFFFC000"/>
    <pageSetUpPr fitToPage="1"/>
  </sheetPr>
  <dimension ref="A1:AI67"/>
  <sheetViews>
    <sheetView showGridLines="0" view="pageBreakPreview" topLeftCell="D4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7.140625" style="2" customWidth="1"/>
    <col min="14" max="14" width="10.140625" style="2"/>
    <col min="15" max="15" width="12.28515625" style="2" bestFit="1" customWidth="1"/>
    <col min="16" max="20" width="10.140625" style="2"/>
    <col min="21" max="21" width="12.28515625" style="2" bestFit="1" customWidth="1"/>
    <col min="22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5282.4</v>
      </c>
      <c r="K1" s="4" t="s">
        <v>120</v>
      </c>
      <c r="N1" s="2">
        <v>5286.1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65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75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4634.4999600000001</v>
      </c>
      <c r="D9" s="22">
        <f>SUM(D10:D15)</f>
        <v>4634.4999600000001</v>
      </c>
      <c r="E9" s="22">
        <f>SUM(E10:E15)</f>
        <v>4634.4999600000001</v>
      </c>
      <c r="F9" s="22">
        <f>SUM(F10:F15)</f>
        <v>4634.4999600000001</v>
      </c>
      <c r="G9" s="8">
        <f>SUM(G10:G15)</f>
        <v>18537.99984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2215.4385600000001</v>
      </c>
      <c r="D10" s="12">
        <f>SUM(I10*2+O10*1)</f>
        <v>2215.4385600000001</v>
      </c>
      <c r="E10" s="12">
        <f>SUM(O10*2)+U10*1</f>
        <v>2215.4385600000001</v>
      </c>
      <c r="F10" s="12">
        <f>SUM(U10*3)</f>
        <v>2215.4385600000001</v>
      </c>
      <c r="G10" s="76">
        <f>SUM(C10:F10)</f>
        <v>8861.7542400000002</v>
      </c>
      <c r="H10" s="137" t="s">
        <v>77</v>
      </c>
      <c r="I10" s="138">
        <f>SUM(M10*K10)</f>
        <v>738.47951999999998</v>
      </c>
      <c r="J10" s="138" t="s">
        <v>122</v>
      </c>
      <c r="K10" s="138">
        <v>0.13980000000000001</v>
      </c>
      <c r="L10" s="138"/>
      <c r="M10" s="180">
        <f>SUM(J1)</f>
        <v>5282.4</v>
      </c>
      <c r="N10" s="140"/>
      <c r="O10" s="138">
        <f>SUM(S10*Q10)</f>
        <v>738.47951999999998</v>
      </c>
      <c r="P10" s="138" t="s">
        <v>122</v>
      </c>
      <c r="Q10" s="138">
        <v>0.13980000000000001</v>
      </c>
      <c r="R10" s="138"/>
      <c r="S10" s="139">
        <f>SUM(J1)</f>
        <v>5282.4</v>
      </c>
      <c r="T10" s="140"/>
      <c r="U10" s="138">
        <f>SUM(Y10*W10)</f>
        <v>738.47951999999998</v>
      </c>
      <c r="V10" s="138" t="s">
        <v>122</v>
      </c>
      <c r="W10" s="138">
        <v>0.13980000000000001</v>
      </c>
      <c r="X10" s="138"/>
      <c r="Y10" s="139">
        <f>SUM(J1)</f>
        <v>5282.4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5282.4</v>
      </c>
      <c r="N11" s="140"/>
      <c r="O11" s="138"/>
      <c r="P11" s="138" t="s">
        <v>122</v>
      </c>
      <c r="Q11" s="138"/>
      <c r="R11" s="138">
        <v>0.15</v>
      </c>
      <c r="S11" s="138">
        <f>SUM(J1)</f>
        <v>5282.4</v>
      </c>
      <c r="T11" s="140"/>
      <c r="U11" s="138"/>
      <c r="V11" s="138" t="s">
        <v>122</v>
      </c>
      <c r="W11" s="138"/>
      <c r="X11" s="138">
        <v>0.15</v>
      </c>
      <c r="Y11" s="139">
        <f>SUM(J1)</f>
        <v>5282.4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692.52264000000002</v>
      </c>
      <c r="D13" s="12">
        <f>SUM(I13*2+O13)</f>
        <v>692.52264000000002</v>
      </c>
      <c r="E13" s="12">
        <f>SUM(O13*2+U13)</f>
        <v>692.52264000000002</v>
      </c>
      <c r="F13" s="12">
        <f>SUM(U13*3)</f>
        <v>692.52264000000002</v>
      </c>
      <c r="G13" s="76">
        <f>SUM(C13:F13)</f>
        <v>2770.0905600000001</v>
      </c>
      <c r="H13" s="137" t="s">
        <v>80</v>
      </c>
      <c r="I13" s="138">
        <f>SUM(K13*M13)</f>
        <v>230.84088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5282.4</v>
      </c>
      <c r="N13" s="141"/>
      <c r="O13" s="138">
        <f>SUM(Q13*S13)</f>
        <v>230.84088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5282.4</v>
      </c>
      <c r="T13" s="141"/>
      <c r="U13" s="138">
        <f>SUM(W13*Y13)</f>
        <v>230.84088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5282.4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1017.3902399999999</v>
      </c>
      <c r="D14" s="12">
        <f>SUM(I14*2+O14)</f>
        <v>1017.3902399999999</v>
      </c>
      <c r="E14" s="12">
        <f>SUM(O14*2+U14)</f>
        <v>1017.3902399999999</v>
      </c>
      <c r="F14" s="12">
        <f>SUM(U14*3)</f>
        <v>1017.3902399999999</v>
      </c>
      <c r="G14" s="76">
        <f t="shared" si="0"/>
        <v>4069.5609599999998</v>
      </c>
      <c r="H14" s="137" t="s">
        <v>11</v>
      </c>
      <c r="I14" s="138">
        <f>SUM(K14*M14)</f>
        <v>339.13007999999996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5282.4</v>
      </c>
      <c r="N14" s="141"/>
      <c r="O14" s="138">
        <f>SUM(S14*Q14)</f>
        <v>339.13007999999996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5282.4</v>
      </c>
      <c r="T14" s="141"/>
      <c r="U14" s="138">
        <f>SUM(Y14*W14)</f>
        <v>339.13007999999996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5282.4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709.14851999999985</v>
      </c>
      <c r="D15" s="9">
        <f>SUM(I15*2+O15)</f>
        <v>709.14851999999985</v>
      </c>
      <c r="E15" s="9">
        <f>SUM(O15*2+U15)</f>
        <v>709.14851999999985</v>
      </c>
      <c r="F15" s="9">
        <f>SUM(U15*3)</f>
        <v>709.14851999999985</v>
      </c>
      <c r="G15" s="76">
        <f t="shared" ref="G15" si="1">SUM(C15:F15)</f>
        <v>2836.5940799999994</v>
      </c>
      <c r="H15" s="137" t="s">
        <v>81</v>
      </c>
      <c r="I15" s="138">
        <f>SUM(J15*((K15+L15))/2)*M15*1.2</f>
        <v>236.38283999999996</v>
      </c>
      <c r="J15" s="138">
        <v>0.24</v>
      </c>
      <c r="K15" s="138">
        <v>10.1853</v>
      </c>
      <c r="L15" s="138">
        <v>11.702</v>
      </c>
      <c r="M15" s="179">
        <f>SUM(J5)</f>
        <v>75</v>
      </c>
      <c r="N15" s="141"/>
      <c r="O15" s="138">
        <f>SUM(P15*((Q15+R15)/2)*S15)*1.2</f>
        <v>236.38283999999996</v>
      </c>
      <c r="P15" s="138">
        <v>0.24</v>
      </c>
      <c r="Q15" s="138">
        <v>10.1853</v>
      </c>
      <c r="R15" s="138">
        <v>11.702</v>
      </c>
      <c r="S15" s="138">
        <f>SUM(J5)</f>
        <v>75</v>
      </c>
      <c r="T15" s="141"/>
      <c r="U15" s="138">
        <f>SUM(V15*((W15+X15)/2)*Y15)*1.2</f>
        <v>236.38283999999996</v>
      </c>
      <c r="V15" s="138">
        <v>0.24</v>
      </c>
      <c r="W15" s="138">
        <v>10.1853</v>
      </c>
      <c r="X15" s="138">
        <v>11.702</v>
      </c>
      <c r="Y15" s="138">
        <f>SUM(J5)</f>
        <v>75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645.63839999999993</v>
      </c>
      <c r="D16" s="35">
        <f t="shared" ref="D16:F16" si="2">SUM(D17:D19)</f>
        <v>645.63839999999993</v>
      </c>
      <c r="E16" s="35">
        <f t="shared" si="2"/>
        <v>645.63839999999993</v>
      </c>
      <c r="F16" s="35">
        <f t="shared" si="2"/>
        <v>645.63839999999993</v>
      </c>
      <c r="G16" s="35">
        <f>SUM(G17:G19)</f>
        <v>2582.5535999999997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348.63839999999993</v>
      </c>
      <c r="D17" s="12">
        <f>SUM(I17*2+O17)</f>
        <v>348.63839999999993</v>
      </c>
      <c r="E17" s="12">
        <f>SUM(O17*2+U17)</f>
        <v>348.63839999999993</v>
      </c>
      <c r="F17" s="12">
        <f>SUM(U17*3)</f>
        <v>348.63839999999993</v>
      </c>
      <c r="G17" s="76">
        <f t="shared" ref="G17:G18" si="3">SUM(C17:F17)</f>
        <v>1394.5535999999997</v>
      </c>
      <c r="H17" s="142" t="s">
        <v>82</v>
      </c>
      <c r="I17" s="138">
        <f>SUM(K17*M17)</f>
        <v>116.21279999999999</v>
      </c>
      <c r="J17" s="138" t="s">
        <v>122</v>
      </c>
      <c r="K17" s="138">
        <v>2.1999999999999999E-2</v>
      </c>
      <c r="L17" s="138"/>
      <c r="M17" s="138">
        <f>SUM(J1)</f>
        <v>5282.4</v>
      </c>
      <c r="N17" s="141"/>
      <c r="O17" s="138">
        <f>SUM(Q17*S17)</f>
        <v>116.21279999999999</v>
      </c>
      <c r="P17" s="138" t="s">
        <v>122</v>
      </c>
      <c r="Q17" s="138">
        <v>2.1999999999999999E-2</v>
      </c>
      <c r="R17" s="138"/>
      <c r="S17" s="138">
        <f>SUM(J1)</f>
        <v>5282.4</v>
      </c>
      <c r="T17" s="141"/>
      <c r="U17" s="138">
        <f>SUM(W17*Y17)</f>
        <v>116.21279999999999</v>
      </c>
      <c r="V17" s="138" t="s">
        <v>122</v>
      </c>
      <c r="W17" s="138">
        <v>2.1999999999999999E-2</v>
      </c>
      <c r="X17" s="138"/>
      <c r="Y17" s="138">
        <f>SUM(J1)</f>
        <v>5282.4</v>
      </c>
    </row>
    <row r="18" spans="1:35" ht="40.5" customHeight="1" outlineLevel="1" x14ac:dyDescent="0.3">
      <c r="A18" s="29"/>
      <c r="B18" s="10" t="s">
        <v>14</v>
      </c>
      <c r="C18" s="12">
        <f>SUM(I18*3)</f>
        <v>297</v>
      </c>
      <c r="D18" s="12">
        <f>SUM(I18*2+O18)</f>
        <v>297</v>
      </c>
      <c r="E18" s="12">
        <f>SUM(O18*2+U18)</f>
        <v>297</v>
      </c>
      <c r="F18" s="12">
        <f>SUM(U18*3)</f>
        <v>297</v>
      </c>
      <c r="G18" s="76">
        <f t="shared" si="3"/>
        <v>1188</v>
      </c>
      <c r="H18" s="142" t="s">
        <v>84</v>
      </c>
      <c r="I18" s="138">
        <f>SUM(K18*M18)*1.5</f>
        <v>99</v>
      </c>
      <c r="J18" s="138" t="s">
        <v>83</v>
      </c>
      <c r="K18" s="138">
        <v>0.88</v>
      </c>
      <c r="L18" s="138"/>
      <c r="M18" s="138">
        <f>SUM(J5)</f>
        <v>75</v>
      </c>
      <c r="N18" s="141"/>
      <c r="O18" s="138">
        <f>SUM(Q18*S18)*1.5</f>
        <v>99</v>
      </c>
      <c r="P18" s="138" t="s">
        <v>83</v>
      </c>
      <c r="Q18" s="138">
        <v>0.88</v>
      </c>
      <c r="R18" s="138"/>
      <c r="S18" s="138">
        <f>SUM(J5)</f>
        <v>75</v>
      </c>
      <c r="T18" s="141"/>
      <c r="U18" s="138">
        <f>SUM(W18*Y18)*1.5</f>
        <v>99</v>
      </c>
      <c r="V18" s="138" t="s">
        <v>83</v>
      </c>
      <c r="W18" s="138">
        <v>0.88</v>
      </c>
      <c r="X18" s="138"/>
      <c r="Y18" s="138">
        <f>SUM(J5)</f>
        <v>75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688.5</v>
      </c>
      <c r="D20" s="22">
        <f t="shared" ref="D20:F20" si="4">SUM(D21:D22)</f>
        <v>688.5</v>
      </c>
      <c r="E20" s="22">
        <f t="shared" si="4"/>
        <v>688.5</v>
      </c>
      <c r="F20" s="22">
        <f t="shared" si="4"/>
        <v>688.5</v>
      </c>
      <c r="G20" s="8">
        <f>SUM(G21:G22)</f>
        <v>2754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238.5</v>
      </c>
      <c r="D21" s="11">
        <f>SUM(M21*3)</f>
        <v>238.5</v>
      </c>
      <c r="E21" s="11">
        <f>SUM(M21*3)</f>
        <v>238.5</v>
      </c>
      <c r="F21" s="11">
        <f>SUM(M21*3)</f>
        <v>238.5</v>
      </c>
      <c r="G21" s="77">
        <f>SUM(C21:F21)</f>
        <v>954</v>
      </c>
      <c r="H21" s="137" t="s">
        <v>85</v>
      </c>
      <c r="I21" s="106">
        <f>SUM(J5)</f>
        <v>75</v>
      </c>
      <c r="J21" s="107"/>
      <c r="K21" s="107">
        <v>1.06</v>
      </c>
      <c r="L21" s="107"/>
      <c r="M21" s="108">
        <f>I21*K21</f>
        <v>79.5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450</v>
      </c>
      <c r="D22" s="26">
        <f>SUM(M22*3)</f>
        <v>450</v>
      </c>
      <c r="E22" s="26">
        <f>SUM(M22*3)</f>
        <v>450</v>
      </c>
      <c r="F22" s="26">
        <f>SUM(M22*3)</f>
        <v>450</v>
      </c>
      <c r="G22" s="78">
        <f>SUM(C22:F22)</f>
        <v>1800</v>
      </c>
      <c r="H22" s="142" t="s">
        <v>86</v>
      </c>
      <c r="I22" s="109">
        <f>SUM(J5)</f>
        <v>75</v>
      </c>
      <c r="J22" s="110"/>
      <c r="K22" s="110">
        <v>2</v>
      </c>
      <c r="L22" s="110"/>
      <c r="M22" s="111">
        <f>I22*K22</f>
        <v>150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14737.895999999999</v>
      </c>
      <c r="D23" s="22">
        <f t="shared" ref="D23:F23" si="5">SUM(D24:D25)</f>
        <v>14737.895999999999</v>
      </c>
      <c r="E23" s="22">
        <f t="shared" si="5"/>
        <v>14737.895999999999</v>
      </c>
      <c r="F23" s="22">
        <f t="shared" si="5"/>
        <v>14737.895999999999</v>
      </c>
      <c r="G23" s="8">
        <f>SUM(G24:G25)</f>
        <v>58951.583999999995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9825.2639999999992</v>
      </c>
      <c r="D24" s="9">
        <f>SUM(J1*K24*3)</f>
        <v>9825.2639999999992</v>
      </c>
      <c r="E24" s="9">
        <f>SUM(J1*K24*3)</f>
        <v>9825.2639999999992</v>
      </c>
      <c r="F24" s="9">
        <f>SUM(J1*K24*3)</f>
        <v>9825.2639999999992</v>
      </c>
      <c r="G24" s="77">
        <f t="shared" ref="G24:G29" si="6">SUM(C24:F24)</f>
        <v>39301.055999999997</v>
      </c>
      <c r="H24" s="144" t="s">
        <v>87</v>
      </c>
      <c r="I24" s="100">
        <f>SUM(N1)</f>
        <v>5286.1</v>
      </c>
      <c r="J24" s="101"/>
      <c r="K24" s="107">
        <v>0.62</v>
      </c>
      <c r="L24" s="107"/>
      <c r="M24" s="102">
        <f>SUM(I24*K24)</f>
        <v>3277.3820000000001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4912.6319999999996</v>
      </c>
      <c r="D25" s="26">
        <f>SUM(M25*3)</f>
        <v>4912.6319999999996</v>
      </c>
      <c r="E25" s="26">
        <f>SUM(M25*3)</f>
        <v>4912.6319999999996</v>
      </c>
      <c r="F25" s="26">
        <f>SUM(M25*3)</f>
        <v>4912.6319999999996</v>
      </c>
      <c r="G25" s="78">
        <f t="shared" si="6"/>
        <v>19650.527999999998</v>
      </c>
      <c r="H25" s="144" t="s">
        <v>88</v>
      </c>
      <c r="I25" s="103">
        <f>SUM(J1)</f>
        <v>5282.4</v>
      </c>
      <c r="J25" s="105"/>
      <c r="K25" s="110">
        <v>0.31</v>
      </c>
      <c r="L25" s="110"/>
      <c r="M25" s="104">
        <f>SUM(I25*K25)</f>
        <v>1637.5439999999999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75</v>
      </c>
      <c r="J27" s="166"/>
      <c r="K27" s="169">
        <v>0.28000000000000003</v>
      </c>
      <c r="L27" s="166"/>
      <c r="M27" s="181">
        <f>SUM(I27*K27)</f>
        <v>21.000000000000004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20706.534359999998</v>
      </c>
      <c r="D29" s="52">
        <f>D9+D16+D20+D23+D26</f>
        <v>20706.534359999998</v>
      </c>
      <c r="E29" s="52">
        <f>E9+E16+E20+E23+E26</f>
        <v>20706.534359999998</v>
      </c>
      <c r="F29" s="52">
        <f>F9+F16+F20+F23+F26</f>
        <v>20706.534359999998</v>
      </c>
      <c r="G29" s="53">
        <f t="shared" si="6"/>
        <v>82826.137439999991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3290.2977373700414</v>
      </c>
      <c r="D31" s="64">
        <f>SUM(D32:D35)</f>
        <v>3290.2977373700414</v>
      </c>
      <c r="E31" s="64">
        <f>SUM(E32:E35)</f>
        <v>3290.2977373700414</v>
      </c>
      <c r="F31" s="64">
        <f>SUM(F32:F35)</f>
        <v>3290.2977373700414</v>
      </c>
      <c r="G31" s="64">
        <f>SUM(G32:G35)</f>
        <v>13161.190949480166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2215.4385600000001</v>
      </c>
      <c r="D32" s="42">
        <f>D10</f>
        <v>2215.4385600000001</v>
      </c>
      <c r="E32" s="42">
        <f>E10</f>
        <v>2215.4385600000001</v>
      </c>
      <c r="F32" s="42">
        <f>F10</f>
        <v>2215.4385600000001</v>
      </c>
      <c r="G32" s="73">
        <f>SUM(C32:F32)</f>
        <v>8861.7542400000002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692.52264000000002</v>
      </c>
      <c r="D33" s="42">
        <f t="shared" si="8"/>
        <v>692.52264000000002</v>
      </c>
      <c r="E33" s="42">
        <f t="shared" si="8"/>
        <v>692.52264000000002</v>
      </c>
      <c r="F33" s="42">
        <f t="shared" si="8"/>
        <v>692.52264000000002</v>
      </c>
      <c r="G33" s="73">
        <f>SUM(C33:F33)</f>
        <v>2770.0905600000001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688.5</v>
      </c>
      <c r="D39" s="64">
        <f t="shared" ref="D39:F39" si="11">SUM(D40:D41)</f>
        <v>688.5</v>
      </c>
      <c r="E39" s="64">
        <f t="shared" si="11"/>
        <v>688.5</v>
      </c>
      <c r="F39" s="64">
        <f t="shared" si="11"/>
        <v>688.5</v>
      </c>
      <c r="G39" s="64">
        <f t="shared" ref="G39" si="12">SUM(G40:G41)</f>
        <v>2754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238.5</v>
      </c>
      <c r="D40" s="42">
        <f t="shared" si="13"/>
        <v>238.5</v>
      </c>
      <c r="E40" s="42">
        <f t="shared" si="13"/>
        <v>238.5</v>
      </c>
      <c r="F40" s="42">
        <f t="shared" si="13"/>
        <v>238.5</v>
      </c>
      <c r="G40" s="73">
        <f>SUM(C40:F40)</f>
        <v>954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450</v>
      </c>
      <c r="D41" s="57">
        <f t="shared" si="13"/>
        <v>450</v>
      </c>
      <c r="E41" s="57">
        <f t="shared" si="13"/>
        <v>450</v>
      </c>
      <c r="F41" s="57">
        <f t="shared" si="13"/>
        <v>450</v>
      </c>
      <c r="G41" s="73">
        <f>SUM(C41:F41)</f>
        <v>1800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9832.1460000000006</v>
      </c>
      <c r="D42" s="64">
        <f>SUM(D43:D58)</f>
        <v>9832.1460000000006</v>
      </c>
      <c r="E42" s="64">
        <f>SUM(E43:E58)</f>
        <v>9832.1460000000006</v>
      </c>
      <c r="F42" s="64">
        <f>SUM(F43:F58)</f>
        <v>9832.1460000000006</v>
      </c>
      <c r="G42" s="66">
        <f t="shared" ref="G42:G51" si="14">SUM(C42:F42)</f>
        <v>39328.584000000003</v>
      </c>
    </row>
    <row r="43" spans="1:7" ht="20.100000000000001" customHeight="1" x14ac:dyDescent="0.25">
      <c r="A43" s="58"/>
      <c r="B43" s="49" t="s">
        <v>38</v>
      </c>
      <c r="C43" s="42">
        <f>SUM(M24*3)</f>
        <v>9832.1460000000006</v>
      </c>
      <c r="D43" s="42">
        <f>SUM(M24*3)</f>
        <v>9832.1460000000006</v>
      </c>
      <c r="E43" s="42">
        <f>SUM(M24*3)</f>
        <v>9832.1460000000006</v>
      </c>
      <c r="F43" s="42">
        <f>SUM(M24*3)</f>
        <v>9832.1460000000006</v>
      </c>
      <c r="G43" s="73">
        <f t="shared" si="14"/>
        <v>39328.584000000003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13810.943737370042</v>
      </c>
      <c r="D59" s="38">
        <f>D31+D36+D39+D42</f>
        <v>13810.943737370042</v>
      </c>
      <c r="E59" s="38">
        <f>E31+E36+E39+E42</f>
        <v>13810.943737370042</v>
      </c>
      <c r="F59" s="38">
        <f>F31+F36+F39+F42</f>
        <v>13810.943737370042</v>
      </c>
      <c r="G59" s="39">
        <f>G31+G36+G39+G42</f>
        <v>55243.774949480168</v>
      </c>
    </row>
    <row r="60" spans="1:14" ht="26.1" customHeight="1" outlineLevel="1" x14ac:dyDescent="0.25">
      <c r="A60" s="112"/>
      <c r="B60" s="71"/>
      <c r="C60" s="72">
        <f>C29-C59</f>
        <v>6895.5906226299558</v>
      </c>
      <c r="D60" s="72">
        <f>D29-D59</f>
        <v>6895.5906226299558</v>
      </c>
      <c r="E60" s="72">
        <f>E29-E59</f>
        <v>6895.5906226299558</v>
      </c>
      <c r="F60" s="72">
        <f>F29-F59</f>
        <v>6895.5906226299558</v>
      </c>
      <c r="G60" s="72">
        <f>G29-G59</f>
        <v>27582.362490519823</v>
      </c>
    </row>
    <row r="61" spans="1:14" ht="26.1" customHeight="1" outlineLevel="1" x14ac:dyDescent="0.25">
      <c r="A61" s="112"/>
      <c r="B61" s="71"/>
      <c r="C61" s="72"/>
      <c r="D61" s="72"/>
      <c r="E61" s="72"/>
      <c r="F61" s="72"/>
      <c r="G61" s="79" t="e">
        <f>G60/#REF!/12</f>
        <v>#REF!</v>
      </c>
    </row>
    <row r="62" spans="1:14" ht="39.75" hidden="1" customHeight="1" x14ac:dyDescent="0.25">
      <c r="A62" s="69"/>
      <c r="B62" s="82"/>
      <c r="C62" s="113"/>
      <c r="D62" s="113"/>
      <c r="E62" s="113"/>
      <c r="F62" s="113"/>
      <c r="G62" s="113"/>
      <c r="H62" s="113"/>
      <c r="I62" s="113"/>
      <c r="J62" s="113"/>
      <c r="K62" s="113"/>
      <c r="L62" s="113"/>
    </row>
    <row r="63" spans="1:14" hidden="1" x14ac:dyDescent="0.25">
      <c r="A63" s="69"/>
      <c r="C63" s="67">
        <f>C16*1.2/100</f>
        <v>7.7476607999999985</v>
      </c>
      <c r="D63" s="67">
        <f>D16*1.2/100</f>
        <v>7.7476607999999985</v>
      </c>
      <c r="E63" s="67">
        <f>E16*1.2/100</f>
        <v>7.7476607999999985</v>
      </c>
      <c r="F63" s="67">
        <f>F16*1.2/100</f>
        <v>7.7476607999999985</v>
      </c>
    </row>
    <row r="64" spans="1:14" hidden="1" x14ac:dyDescent="0.25">
      <c r="A64" s="70"/>
      <c r="C64" s="67">
        <f>(C16-C63)*0.5/100</f>
        <v>3.1894536959999997</v>
      </c>
      <c r="D64" s="67">
        <f>(D16-D63)*0.5/100</f>
        <v>3.1894536959999997</v>
      </c>
      <c r="E64" s="67">
        <f>(E16-E63)*0.5/100</f>
        <v>3.1894536959999997</v>
      </c>
      <c r="F64" s="67">
        <f>(F16-F63)*0.5/100</f>
        <v>3.1894536959999997</v>
      </c>
    </row>
    <row r="65" spans="1:15" hidden="1" x14ac:dyDescent="0.25">
      <c r="C65" s="3">
        <f>C9*1.2/100</f>
        <v>55.61399952</v>
      </c>
      <c r="D65" s="3">
        <f>D9*1.2/100</f>
        <v>55.61399952</v>
      </c>
      <c r="E65" s="3">
        <f>E9*1.2/100</f>
        <v>55.61399952</v>
      </c>
      <c r="F65" s="3">
        <f>F9*1.2/100</f>
        <v>55.61399952</v>
      </c>
    </row>
    <row r="66" spans="1:15" s="3" customFormat="1" hidden="1" x14ac:dyDescent="0.25">
      <c r="A66" s="2"/>
      <c r="B66" s="2"/>
      <c r="C66" s="3">
        <f>(C9-C65)*4/100</f>
        <v>183.15543841920001</v>
      </c>
      <c r="D66" s="3">
        <f>(D9-D65)*4/100</f>
        <v>183.15543841920001</v>
      </c>
      <c r="E66" s="3">
        <f>(E9-E65)*4/100</f>
        <v>183.15543841920001</v>
      </c>
      <c r="F66" s="3">
        <f>(F9-F65)*4/100</f>
        <v>183.15543841920001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 x14ac:dyDescent="0.25">
      <c r="A67" s="2"/>
      <c r="B67" s="2"/>
      <c r="C67" s="3">
        <f>SUM(C63:C66)</f>
        <v>249.70655243520002</v>
      </c>
      <c r="D67" s="3">
        <f t="shared" ref="D67:F67" si="16">SUM(D63:D66)</f>
        <v>249.70655243520002</v>
      </c>
      <c r="E67" s="3">
        <f t="shared" si="16"/>
        <v>249.70655243520002</v>
      </c>
      <c r="F67" s="3">
        <f t="shared" si="16"/>
        <v>249.70655243520002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O8:S8"/>
    <mergeCell ref="U8:Y8"/>
    <mergeCell ref="Z10:Z12"/>
    <mergeCell ref="H28:AA28"/>
    <mergeCell ref="A59:B59"/>
    <mergeCell ref="A8:B8"/>
    <mergeCell ref="A29:B29"/>
    <mergeCell ref="A30:B30"/>
    <mergeCell ref="I8:M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AE0B-6F85-42E4-9058-A8E7D38C3210}">
  <sheetPr>
    <tabColor rgb="FFFFC000"/>
    <pageSetUpPr fitToPage="1"/>
  </sheetPr>
  <dimension ref="A1:AI61"/>
  <sheetViews>
    <sheetView showGridLines="0" view="pageBreakPreview" topLeftCell="E7" zoomScale="60" zoomScaleNormal="70" workbookViewId="0">
      <selection activeCell="U16" sqref="U16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35.285156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10.140625" style="2"/>
    <col min="15" max="15" width="14" style="2" customWidth="1"/>
    <col min="16" max="16" width="15.42578125" style="2" customWidth="1"/>
    <col min="17" max="20" width="10.140625" style="2"/>
    <col min="21" max="21" width="12.28515625" style="2" bestFit="1" customWidth="1"/>
    <col min="22" max="16384" width="10.140625" style="2"/>
  </cols>
  <sheetData>
    <row r="1" spans="1:26" x14ac:dyDescent="0.25">
      <c r="A1" s="283"/>
      <c r="B1" s="283"/>
      <c r="C1" s="283"/>
      <c r="D1" s="117"/>
      <c r="E1" s="117"/>
      <c r="F1" s="117"/>
      <c r="G1" s="117"/>
      <c r="I1" s="99" t="s">
        <v>119</v>
      </c>
      <c r="J1" s="98">
        <v>4812.6000000000004</v>
      </c>
      <c r="K1" s="4" t="s">
        <v>120</v>
      </c>
      <c r="N1" s="2">
        <v>4817.7</v>
      </c>
    </row>
    <row r="2" spans="1:26" x14ac:dyDescent="0.25">
      <c r="A2" s="283"/>
      <c r="B2" s="283"/>
      <c r="C2" s="283"/>
      <c r="D2" s="283"/>
      <c r="E2" s="283"/>
      <c r="F2" s="283"/>
      <c r="G2" s="283"/>
      <c r="I2" s="99"/>
      <c r="J2" s="98"/>
      <c r="K2" s="117"/>
    </row>
    <row r="3" spans="1:26" ht="19.5" thickBot="1" x14ac:dyDescent="0.3">
      <c r="A3" s="284"/>
      <c r="B3" s="284"/>
      <c r="C3" s="284"/>
      <c r="D3" s="284"/>
      <c r="E3" s="284"/>
      <c r="F3" s="284"/>
      <c r="G3" s="284"/>
      <c r="I3" s="7"/>
      <c r="J3" s="6"/>
      <c r="K3" s="118"/>
    </row>
    <row r="4" spans="1:26" x14ac:dyDescent="0.25">
      <c r="A4" s="276" t="s">
        <v>0</v>
      </c>
      <c r="B4" s="278" t="s">
        <v>1</v>
      </c>
      <c r="C4" s="116"/>
      <c r="D4" s="116"/>
      <c r="E4" s="116"/>
      <c r="F4" s="116"/>
      <c r="G4" s="14"/>
      <c r="I4" s="4" t="s">
        <v>55</v>
      </c>
      <c r="J4" s="4">
        <v>75</v>
      </c>
    </row>
    <row r="5" spans="1:26" ht="18" customHeight="1" x14ac:dyDescent="0.25">
      <c r="A5" s="277"/>
      <c r="B5" s="279"/>
      <c r="C5" s="275" t="s">
        <v>111</v>
      </c>
      <c r="D5" s="275" t="s">
        <v>112</v>
      </c>
      <c r="E5" s="275" t="s">
        <v>113</v>
      </c>
      <c r="F5" s="275" t="s">
        <v>114</v>
      </c>
      <c r="G5" s="285" t="s">
        <v>115</v>
      </c>
      <c r="I5" s="4" t="s">
        <v>56</v>
      </c>
      <c r="J5" s="4">
        <v>87</v>
      </c>
    </row>
    <row r="6" spans="1:26" x14ac:dyDescent="0.25">
      <c r="A6" s="277"/>
      <c r="B6" s="279"/>
      <c r="C6" s="275"/>
      <c r="D6" s="275"/>
      <c r="E6" s="275"/>
      <c r="F6" s="275"/>
      <c r="G6" s="285"/>
      <c r="I6" s="4"/>
      <c r="J6" s="4"/>
    </row>
    <row r="7" spans="1:26" ht="19.5" thickBot="1" x14ac:dyDescent="0.3">
      <c r="A7" s="119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69</v>
      </c>
    </row>
    <row r="8" spans="1:26" ht="26.1" customHeight="1" thickBot="1" x14ac:dyDescent="0.3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90" t="s">
        <v>70</v>
      </c>
      <c r="J8" s="290"/>
      <c r="K8" s="290"/>
      <c r="L8" s="290"/>
      <c r="M8" s="290"/>
      <c r="O8" s="290" t="s">
        <v>71</v>
      </c>
      <c r="P8" s="290"/>
      <c r="Q8" s="290"/>
      <c r="R8" s="290"/>
      <c r="S8" s="290"/>
      <c r="U8" s="290" t="s">
        <v>72</v>
      </c>
      <c r="V8" s="290"/>
      <c r="W8" s="290"/>
      <c r="X8" s="290"/>
      <c r="Y8" s="290"/>
    </row>
    <row r="9" spans="1:26" ht="20.100000000000001" customHeight="1" x14ac:dyDescent="0.25">
      <c r="A9" s="114">
        <v>1</v>
      </c>
      <c r="B9" s="21" t="s">
        <v>15</v>
      </c>
      <c r="C9" s="22">
        <f>SUM(C10:C15)</f>
        <v>4398.8553431999999</v>
      </c>
      <c r="D9" s="22">
        <f>SUM(D10:D15)</f>
        <v>4398.8553431999999</v>
      </c>
      <c r="E9" s="22">
        <f>SUM(E10:E15)</f>
        <v>4398.8553431999999</v>
      </c>
      <c r="F9" s="22">
        <f>SUM(F10:F15)</f>
        <v>4398.8553431999999</v>
      </c>
      <c r="G9" s="8">
        <f>SUM(G10:G15)</f>
        <v>17595.4213728</v>
      </c>
      <c r="I9" s="163" t="s">
        <v>73</v>
      </c>
      <c r="J9" s="163" t="s">
        <v>74</v>
      </c>
      <c r="K9" s="136" t="s">
        <v>75</v>
      </c>
      <c r="L9" s="136" t="s">
        <v>76</v>
      </c>
      <c r="M9" s="136" t="s">
        <v>54</v>
      </c>
      <c r="N9" s="163"/>
      <c r="O9" s="163" t="s">
        <v>58</v>
      </c>
      <c r="P9" s="163" t="s">
        <v>74</v>
      </c>
      <c r="Q9" s="163" t="s">
        <v>53</v>
      </c>
      <c r="R9" s="163" t="s">
        <v>76</v>
      </c>
      <c r="S9" s="136" t="s">
        <v>54</v>
      </c>
      <c r="T9" s="163"/>
      <c r="U9" s="163" t="s">
        <v>58</v>
      </c>
      <c r="V9" s="163" t="s">
        <v>74</v>
      </c>
      <c r="W9" s="163" t="s">
        <v>53</v>
      </c>
      <c r="X9" s="163" t="s">
        <v>76</v>
      </c>
      <c r="Y9" s="136" t="s">
        <v>54</v>
      </c>
    </row>
    <row r="10" spans="1:26" ht="20.100000000000001" customHeight="1" x14ac:dyDescent="0.3">
      <c r="A10" s="115"/>
      <c r="B10" s="10" t="s">
        <v>3</v>
      </c>
      <c r="C10" s="12">
        <f>SUM(I10*3)</f>
        <v>2018.4044400000002</v>
      </c>
      <c r="D10" s="12">
        <f>SUM(I10*2+O10*1)</f>
        <v>2018.4044400000002</v>
      </c>
      <c r="E10" s="12">
        <f>SUM(O10*2)+U10*1</f>
        <v>2018.4044400000002</v>
      </c>
      <c r="F10" s="12">
        <f>SUM(U10*3)</f>
        <v>2018.4044400000002</v>
      </c>
      <c r="G10" s="76">
        <f>SUM(C10:F10)</f>
        <v>8073.617760000001</v>
      </c>
      <c r="H10" s="137" t="s">
        <v>77</v>
      </c>
      <c r="I10" s="138">
        <f>SUM(M10*K10)</f>
        <v>672.80148000000008</v>
      </c>
      <c r="J10" s="138" t="s">
        <v>122</v>
      </c>
      <c r="K10" s="138">
        <v>0.13980000000000001</v>
      </c>
      <c r="L10" s="138"/>
      <c r="M10" s="180">
        <f>SUM(J1)</f>
        <v>4812.6000000000004</v>
      </c>
      <c r="N10" s="140"/>
      <c r="O10" s="138">
        <f>SUM(S10*Q10)</f>
        <v>672.80148000000008</v>
      </c>
      <c r="P10" s="138" t="s">
        <v>122</v>
      </c>
      <c r="Q10" s="138">
        <v>0.13980000000000001</v>
      </c>
      <c r="R10" s="138"/>
      <c r="S10" s="139">
        <f>SUM(J1)</f>
        <v>4812.6000000000004</v>
      </c>
      <c r="T10" s="140"/>
      <c r="U10" s="138">
        <f>SUM(Y10*W10)</f>
        <v>672.80148000000008</v>
      </c>
      <c r="V10" s="138" t="s">
        <v>122</v>
      </c>
      <c r="W10" s="138">
        <v>0.13980000000000001</v>
      </c>
      <c r="X10" s="138"/>
      <c r="Y10" s="139">
        <f>SUM(J1)</f>
        <v>4812.6000000000004</v>
      </c>
      <c r="Z10" s="291"/>
    </row>
    <row r="11" spans="1:26" ht="20.100000000000001" customHeight="1" x14ac:dyDescent="0.3">
      <c r="A11" s="115"/>
      <c r="B11" s="10" t="s">
        <v>3</v>
      </c>
      <c r="C11" s="12"/>
      <c r="D11" s="12"/>
      <c r="E11" s="12"/>
      <c r="F11" s="12"/>
      <c r="G11" s="76">
        <f t="shared" ref="G11:G14" si="0">SUM(C11:F11)</f>
        <v>0</v>
      </c>
      <c r="H11" s="137" t="s">
        <v>79</v>
      </c>
      <c r="I11" s="138"/>
      <c r="J11" s="138" t="s">
        <v>122</v>
      </c>
      <c r="K11" s="138"/>
      <c r="L11" s="138">
        <v>0.15</v>
      </c>
      <c r="M11" s="179">
        <f>SUM(J1)</f>
        <v>4812.6000000000004</v>
      </c>
      <c r="N11" s="140"/>
      <c r="O11" s="138"/>
      <c r="P11" s="138" t="s">
        <v>122</v>
      </c>
      <c r="Q11" s="138"/>
      <c r="R11" s="138">
        <v>0.15</v>
      </c>
      <c r="S11" s="138">
        <f>SUM(J1)</f>
        <v>4812.6000000000004</v>
      </c>
      <c r="T11" s="140"/>
      <c r="U11" s="138"/>
      <c r="V11" s="138" t="s">
        <v>122</v>
      </c>
      <c r="W11" s="138"/>
      <c r="X11" s="138">
        <v>0.15</v>
      </c>
      <c r="Y11" s="139">
        <f>SUM(J1)</f>
        <v>4812.6000000000004</v>
      </c>
      <c r="Z11" s="291"/>
    </row>
    <row r="12" spans="1:26" ht="20.100000000000001" customHeight="1" x14ac:dyDescent="0.3">
      <c r="A12" s="115"/>
      <c r="B12" s="10" t="s">
        <v>52</v>
      </c>
      <c r="C12" s="12"/>
      <c r="D12" s="12"/>
      <c r="E12" s="12"/>
      <c r="F12" s="12"/>
      <c r="G12" s="76">
        <f t="shared" si="0"/>
        <v>0</v>
      </c>
      <c r="H12" s="137"/>
      <c r="I12" s="138"/>
      <c r="J12" s="138"/>
      <c r="K12" s="138"/>
      <c r="L12" s="138"/>
      <c r="M12" s="179"/>
      <c r="N12" s="140"/>
      <c r="O12" s="138"/>
      <c r="P12" s="138"/>
      <c r="Q12" s="138"/>
      <c r="R12" s="138"/>
      <c r="S12" s="138"/>
      <c r="T12" s="140"/>
      <c r="U12" s="138"/>
      <c r="V12" s="138"/>
      <c r="W12" s="138"/>
      <c r="X12" s="138"/>
      <c r="Y12" s="138"/>
      <c r="Z12" s="291"/>
    </row>
    <row r="13" spans="1:26" ht="20.100000000000001" customHeight="1" x14ac:dyDescent="0.3">
      <c r="A13" s="115"/>
      <c r="B13" s="10" t="s">
        <v>10</v>
      </c>
      <c r="C13" s="12">
        <f>SUM(I13*3)</f>
        <v>630.93186000000014</v>
      </c>
      <c r="D13" s="12">
        <f>SUM(I13*2+O13)</f>
        <v>630.93186000000014</v>
      </c>
      <c r="E13" s="12">
        <f>SUM(O13*2+U13)</f>
        <v>630.93186000000014</v>
      </c>
      <c r="F13" s="12">
        <f>SUM(U13*3)</f>
        <v>630.93186000000014</v>
      </c>
      <c r="G13" s="76">
        <f>SUM(C13:F13)</f>
        <v>2523.7274400000006</v>
      </c>
      <c r="H13" s="137" t="s">
        <v>80</v>
      </c>
      <c r="I13" s="138">
        <f>SUM(K13*M13)</f>
        <v>210.31062000000003</v>
      </c>
      <c r="J13" s="138" t="s">
        <v>122</v>
      </c>
      <c r="K13" s="138">
        <v>4.3700000000000003E-2</v>
      </c>
      <c r="L13" s="138">
        <v>4.3700000000000003E-2</v>
      </c>
      <c r="M13" s="180">
        <f>SUM(J1)</f>
        <v>4812.6000000000004</v>
      </c>
      <c r="N13" s="141"/>
      <c r="O13" s="138">
        <f>SUM(Q13*S13)</f>
        <v>210.31062000000003</v>
      </c>
      <c r="P13" s="138" t="s">
        <v>122</v>
      </c>
      <c r="Q13" s="138">
        <v>4.3700000000000003E-2</v>
      </c>
      <c r="R13" s="138">
        <v>4.3700000000000003E-2</v>
      </c>
      <c r="S13" s="138">
        <f>SUM(J1)</f>
        <v>4812.6000000000004</v>
      </c>
      <c r="T13" s="141"/>
      <c r="U13" s="138">
        <f>SUM(W13*Y13)</f>
        <v>210.31062000000003</v>
      </c>
      <c r="V13" s="138" t="s">
        <v>122</v>
      </c>
      <c r="W13" s="138">
        <v>4.3700000000000003E-2</v>
      </c>
      <c r="X13" s="138">
        <v>4.3700000000000003E-2</v>
      </c>
      <c r="Y13" s="139">
        <f>SUM(J1)</f>
        <v>4812.6000000000004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926.90675999999985</v>
      </c>
      <c r="D14" s="12">
        <f>SUM(I14*2+O14)</f>
        <v>926.90675999999985</v>
      </c>
      <c r="E14" s="12">
        <f>SUM(O14*2+U14)</f>
        <v>926.90675999999985</v>
      </c>
      <c r="F14" s="12">
        <f>SUM(U14*3)</f>
        <v>926.90675999999985</v>
      </c>
      <c r="G14" s="76">
        <f t="shared" si="0"/>
        <v>3707.6270399999994</v>
      </c>
      <c r="H14" s="137" t="s">
        <v>11</v>
      </c>
      <c r="I14" s="138">
        <f>SUM(K14*M14)</f>
        <v>308.96891999999997</v>
      </c>
      <c r="J14" s="138" t="s">
        <v>122</v>
      </c>
      <c r="K14" s="138">
        <v>6.4199999999999993E-2</v>
      </c>
      <c r="L14" s="138">
        <v>7.3700000000000002E-2</v>
      </c>
      <c r="M14" s="179">
        <f>SUM(J1)</f>
        <v>4812.6000000000004</v>
      </c>
      <c r="N14" s="141"/>
      <c r="O14" s="138">
        <f>SUM(S14*Q14)</f>
        <v>308.96891999999997</v>
      </c>
      <c r="P14" s="138" t="s">
        <v>122</v>
      </c>
      <c r="Q14" s="138">
        <v>6.4199999999999993E-2</v>
      </c>
      <c r="R14" s="138">
        <v>7.3700000000000002E-2</v>
      </c>
      <c r="S14" s="138">
        <f>SUM(J1)</f>
        <v>4812.6000000000004</v>
      </c>
      <c r="T14" s="141"/>
      <c r="U14" s="138">
        <f>SUM(Y14*W14)</f>
        <v>308.96891999999997</v>
      </c>
      <c r="V14" s="138" t="s">
        <v>122</v>
      </c>
      <c r="W14" s="138">
        <v>6.4199999999999993E-2</v>
      </c>
      <c r="X14" s="138">
        <v>7.3700000000000002E-2</v>
      </c>
      <c r="Y14" s="138">
        <f>SUM(J1)</f>
        <v>4812.6000000000004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822.61228319999987</v>
      </c>
      <c r="D15" s="9">
        <f>SUM(I15*2+O15)</f>
        <v>822.61228319999987</v>
      </c>
      <c r="E15" s="9">
        <f>SUM(O15*2+U15)</f>
        <v>822.61228319999987</v>
      </c>
      <c r="F15" s="9">
        <f>SUM(U15*3)</f>
        <v>822.61228319999987</v>
      </c>
      <c r="G15" s="76">
        <f t="shared" ref="G15" si="1">SUM(C15:F15)</f>
        <v>3290.4491327999995</v>
      </c>
      <c r="H15" s="137" t="s">
        <v>81</v>
      </c>
      <c r="I15" s="138">
        <f>SUM(J15*((K15+L15))/2)*M15*1.2</f>
        <v>274.20409439999997</v>
      </c>
      <c r="J15" s="138">
        <v>0.24</v>
      </c>
      <c r="K15" s="138">
        <v>10.1853</v>
      </c>
      <c r="L15" s="138">
        <v>11.702</v>
      </c>
      <c r="M15" s="179">
        <f>SUM(J5)</f>
        <v>87</v>
      </c>
      <c r="N15" s="141"/>
      <c r="O15" s="138">
        <f>SUM(P15*((Q15+R15)/2)*S15)*1.2</f>
        <v>274.20409439999997</v>
      </c>
      <c r="P15" s="138">
        <v>0.24</v>
      </c>
      <c r="Q15" s="138">
        <v>10.1853</v>
      </c>
      <c r="R15" s="138">
        <v>11.702</v>
      </c>
      <c r="S15" s="138">
        <f>SUM(J5)</f>
        <v>87</v>
      </c>
      <c r="T15" s="141"/>
      <c r="U15" s="138">
        <f>SUM(V15*((W15+X15)/2)*Y15)*1.2</f>
        <v>274.20409439999997</v>
      </c>
      <c r="V15" s="138">
        <v>0.24</v>
      </c>
      <c r="W15" s="138">
        <v>10.1853</v>
      </c>
      <c r="X15" s="138">
        <v>11.702</v>
      </c>
      <c r="Y15" s="138">
        <f>SUM(J5)</f>
        <v>87</v>
      </c>
    </row>
    <row r="16" spans="1:26" ht="20.100000000000001" customHeight="1" x14ac:dyDescent="0.3">
      <c r="A16" s="114">
        <v>2</v>
      </c>
      <c r="B16" s="28" t="s">
        <v>16</v>
      </c>
      <c r="C16" s="35">
        <f>SUM(C17:C19)</f>
        <v>662.15159999999992</v>
      </c>
      <c r="D16" s="35">
        <f t="shared" ref="D16:F16" si="2">SUM(D17:D19)</f>
        <v>662.15159999999992</v>
      </c>
      <c r="E16" s="35">
        <f t="shared" si="2"/>
        <v>662.15159999999992</v>
      </c>
      <c r="F16" s="35">
        <f t="shared" si="2"/>
        <v>662.15159999999992</v>
      </c>
      <c r="G16" s="35">
        <f>SUM(G17:G19)</f>
        <v>2648.6063999999997</v>
      </c>
      <c r="H16" s="137"/>
      <c r="I16" s="138"/>
      <c r="J16" s="138"/>
      <c r="K16" s="138"/>
      <c r="L16" s="138"/>
      <c r="M16" s="138"/>
      <c r="O16" s="138"/>
      <c r="P16" s="138"/>
      <c r="Q16" s="138"/>
      <c r="R16" s="138"/>
      <c r="S16" s="138"/>
      <c r="U16" s="138"/>
      <c r="V16" s="138"/>
      <c r="W16" s="138"/>
      <c r="X16" s="138"/>
      <c r="Y16" s="138"/>
    </row>
    <row r="17" spans="1:35" ht="39" customHeight="1" outlineLevel="1" x14ac:dyDescent="0.3">
      <c r="A17" s="29"/>
      <c r="B17" s="10" t="s">
        <v>20</v>
      </c>
      <c r="C17" s="12">
        <f>SUM(I17*3)</f>
        <v>317.63159999999999</v>
      </c>
      <c r="D17" s="12">
        <f>SUM(I17*2+O17)</f>
        <v>317.63159999999999</v>
      </c>
      <c r="E17" s="12">
        <f>SUM(O17*2+U17)</f>
        <v>317.63159999999999</v>
      </c>
      <c r="F17" s="12">
        <f>SUM(U17*3)</f>
        <v>317.63159999999999</v>
      </c>
      <c r="G17" s="76">
        <f t="shared" ref="G17:G18" si="3">SUM(C17:F17)</f>
        <v>1270.5264</v>
      </c>
      <c r="H17" s="142" t="s">
        <v>82</v>
      </c>
      <c r="I17" s="138">
        <f>SUM(K17*M17)</f>
        <v>105.8772</v>
      </c>
      <c r="J17" s="138" t="s">
        <v>122</v>
      </c>
      <c r="K17" s="138">
        <v>2.1999999999999999E-2</v>
      </c>
      <c r="L17" s="138"/>
      <c r="M17" s="138">
        <f>SUM(J1)</f>
        <v>4812.6000000000004</v>
      </c>
      <c r="N17" s="141"/>
      <c r="O17" s="138">
        <f>SUM(Q17*S17)</f>
        <v>105.8772</v>
      </c>
      <c r="P17" s="138" t="s">
        <v>122</v>
      </c>
      <c r="Q17" s="138">
        <v>2.1999999999999999E-2</v>
      </c>
      <c r="R17" s="138"/>
      <c r="S17" s="138">
        <f>SUM(J1)</f>
        <v>4812.6000000000004</v>
      </c>
      <c r="T17" s="141"/>
      <c r="U17" s="138">
        <f>SUM(W17*Y17)</f>
        <v>105.8772</v>
      </c>
      <c r="V17" s="138" t="s">
        <v>122</v>
      </c>
      <c r="W17" s="138">
        <v>2.1999999999999999E-2</v>
      </c>
      <c r="X17" s="138"/>
      <c r="Y17" s="138">
        <f>SUM(J1)</f>
        <v>4812.6000000000004</v>
      </c>
    </row>
    <row r="18" spans="1:35" ht="40.5" customHeight="1" outlineLevel="1" x14ac:dyDescent="0.3">
      <c r="A18" s="29"/>
      <c r="B18" s="10" t="s">
        <v>14</v>
      </c>
      <c r="C18" s="12">
        <f>SUM(I18*3)</f>
        <v>344.52</v>
      </c>
      <c r="D18" s="12">
        <f>SUM(I18*2+O18)</f>
        <v>344.52</v>
      </c>
      <c r="E18" s="12">
        <f>SUM(O18*2+U18)</f>
        <v>344.52</v>
      </c>
      <c r="F18" s="12">
        <f>SUM(U18*3)</f>
        <v>344.52</v>
      </c>
      <c r="G18" s="76">
        <f t="shared" si="3"/>
        <v>1378.08</v>
      </c>
      <c r="H18" s="142" t="s">
        <v>84</v>
      </c>
      <c r="I18" s="138">
        <f>SUM(K18*M18)*1.5</f>
        <v>114.84</v>
      </c>
      <c r="J18" s="138" t="s">
        <v>83</v>
      </c>
      <c r="K18" s="138">
        <v>0.88</v>
      </c>
      <c r="L18" s="138"/>
      <c r="M18" s="138">
        <f>SUM(J5)</f>
        <v>87</v>
      </c>
      <c r="N18" s="141"/>
      <c r="O18" s="138">
        <f>SUM(Q18*S18)*1.5</f>
        <v>114.84</v>
      </c>
      <c r="P18" s="138" t="s">
        <v>83</v>
      </c>
      <c r="Q18" s="138">
        <v>0.88</v>
      </c>
      <c r="R18" s="138"/>
      <c r="S18" s="138">
        <f>SUM(J5)</f>
        <v>87</v>
      </c>
      <c r="T18" s="141"/>
      <c r="U18" s="138">
        <f>SUM(W18*Y18)*1.5</f>
        <v>114.84</v>
      </c>
      <c r="V18" s="138" t="s">
        <v>83</v>
      </c>
      <c r="W18" s="138">
        <v>0.88</v>
      </c>
      <c r="X18" s="138"/>
      <c r="Y18" s="138">
        <f>SUM(J5)</f>
        <v>87</v>
      </c>
    </row>
    <row r="19" spans="1:35" ht="40.5" customHeight="1" outlineLevel="1" thickBot="1" x14ac:dyDescent="0.3">
      <c r="A19" s="121"/>
      <c r="B19" s="122" t="s">
        <v>64</v>
      </c>
      <c r="C19" s="123"/>
      <c r="D19" s="123"/>
      <c r="E19" s="123"/>
      <c r="F19" s="123"/>
      <c r="G19" s="124"/>
      <c r="H19" s="137"/>
      <c r="I19" s="140"/>
      <c r="J19" s="140"/>
      <c r="K19" s="140"/>
      <c r="L19" s="140"/>
      <c r="M19" s="141"/>
      <c r="N19" s="141"/>
      <c r="O19" s="140"/>
      <c r="P19" s="140"/>
      <c r="Q19" s="140"/>
      <c r="R19" s="140"/>
      <c r="S19" s="141"/>
      <c r="T19" s="141"/>
      <c r="U19" s="140"/>
      <c r="V19" s="140"/>
      <c r="W19" s="140"/>
      <c r="X19" s="140"/>
      <c r="Y19" s="141"/>
    </row>
    <row r="20" spans="1:35" ht="20.100000000000001" customHeight="1" outlineLevel="1" thickBot="1" x14ac:dyDescent="0.3">
      <c r="A20" s="114">
        <v>3</v>
      </c>
      <c r="B20" s="28" t="s">
        <v>17</v>
      </c>
      <c r="C20" s="22">
        <f>SUM(C21:C22)</f>
        <v>798.66</v>
      </c>
      <c r="D20" s="22">
        <f t="shared" ref="D20:F20" si="4">SUM(D21:D22)</f>
        <v>798.66</v>
      </c>
      <c r="E20" s="22">
        <f t="shared" si="4"/>
        <v>798.66</v>
      </c>
      <c r="F20" s="22">
        <f t="shared" si="4"/>
        <v>798.66</v>
      </c>
      <c r="G20" s="8">
        <f>SUM(G21:G22)</f>
        <v>3194.64</v>
      </c>
      <c r="H20" s="137"/>
      <c r="I20" s="163" t="s">
        <v>57</v>
      </c>
      <c r="J20" s="163"/>
      <c r="K20" s="163" t="s">
        <v>53</v>
      </c>
      <c r="L20" s="163"/>
      <c r="M20" s="163" t="s">
        <v>58</v>
      </c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35" ht="20.100000000000001" customHeight="1" outlineLevel="1" x14ac:dyDescent="0.3">
      <c r="A21" s="29"/>
      <c r="B21" s="10" t="s">
        <v>40</v>
      </c>
      <c r="C21" s="11">
        <f>SUM(M21)*3</f>
        <v>276.65999999999997</v>
      </c>
      <c r="D21" s="11">
        <f>SUM(M21*3)</f>
        <v>276.65999999999997</v>
      </c>
      <c r="E21" s="11">
        <f>SUM(M21*3)</f>
        <v>276.65999999999997</v>
      </c>
      <c r="F21" s="11">
        <f>SUM(M21*3)</f>
        <v>276.65999999999997</v>
      </c>
      <c r="G21" s="77">
        <f>SUM(C21:F21)</f>
        <v>1106.6399999999999</v>
      </c>
      <c r="H21" s="137" t="s">
        <v>85</v>
      </c>
      <c r="I21" s="106">
        <f>SUM(J5)</f>
        <v>87</v>
      </c>
      <c r="J21" s="107"/>
      <c r="K21" s="107">
        <v>1.06</v>
      </c>
      <c r="L21" s="107"/>
      <c r="M21" s="108">
        <f>I21*K21</f>
        <v>92.22</v>
      </c>
      <c r="N21" s="163"/>
      <c r="O21" s="106"/>
      <c r="P21" s="107"/>
      <c r="Q21" s="107"/>
      <c r="R21" s="107"/>
      <c r="S21" s="108"/>
      <c r="T21" s="163"/>
      <c r="U21" s="106"/>
      <c r="V21" s="107"/>
      <c r="W21" s="107"/>
      <c r="X21" s="107"/>
      <c r="Y21" s="108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522</v>
      </c>
      <c r="D22" s="26">
        <f>SUM(M22*3)</f>
        <v>522</v>
      </c>
      <c r="E22" s="26">
        <f>SUM(M22*3)</f>
        <v>522</v>
      </c>
      <c r="F22" s="26">
        <f>SUM(M22*3)</f>
        <v>522</v>
      </c>
      <c r="G22" s="78">
        <f>SUM(C22:F22)</f>
        <v>2088</v>
      </c>
      <c r="H22" s="142" t="s">
        <v>86</v>
      </c>
      <c r="I22" s="109">
        <f>SUM(J5)</f>
        <v>87</v>
      </c>
      <c r="J22" s="110"/>
      <c r="K22" s="110">
        <v>2</v>
      </c>
      <c r="L22" s="110"/>
      <c r="M22" s="111">
        <f>I22*K22</f>
        <v>174</v>
      </c>
      <c r="N22" s="163"/>
      <c r="O22" s="109"/>
      <c r="P22" s="110"/>
      <c r="Q22" s="110"/>
      <c r="R22" s="110"/>
      <c r="S22" s="111"/>
      <c r="T22" s="163"/>
      <c r="U22" s="109"/>
      <c r="V22" s="110"/>
      <c r="W22" s="110"/>
      <c r="X22" s="110"/>
      <c r="Y22" s="111"/>
    </row>
    <row r="23" spans="1:35" ht="20.100000000000001" customHeight="1" thickBot="1" x14ac:dyDescent="0.3">
      <c r="A23" s="31" t="s">
        <v>9</v>
      </c>
      <c r="B23" s="28" t="s">
        <v>22</v>
      </c>
      <c r="C23" s="22">
        <f>SUM(C24:C25)</f>
        <v>13427.154000000002</v>
      </c>
      <c r="D23" s="22">
        <f t="shared" ref="D23:F23" si="5">SUM(D24:D25)</f>
        <v>13427.154000000002</v>
      </c>
      <c r="E23" s="22">
        <f t="shared" si="5"/>
        <v>13427.154000000002</v>
      </c>
      <c r="F23" s="22">
        <f t="shared" si="5"/>
        <v>13427.154000000002</v>
      </c>
      <c r="G23" s="8">
        <f>SUM(G24:G25)</f>
        <v>53708.616000000009</v>
      </c>
      <c r="H23" s="143"/>
      <c r="I23" s="163" t="s">
        <v>59</v>
      </c>
      <c r="J23" s="163"/>
      <c r="K23" s="163" t="s">
        <v>53</v>
      </c>
      <c r="L23" s="163"/>
      <c r="M23" s="163" t="s">
        <v>58</v>
      </c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35" ht="20.100000000000001" customHeight="1" outlineLevel="1" x14ac:dyDescent="0.25">
      <c r="A24" s="32"/>
      <c r="B24" s="10" t="s">
        <v>21</v>
      </c>
      <c r="C24" s="9">
        <f>SUM(J1*K24*3)</f>
        <v>8951.4360000000015</v>
      </c>
      <c r="D24" s="9">
        <f>SUM(J1*K24*3)</f>
        <v>8951.4360000000015</v>
      </c>
      <c r="E24" s="9">
        <f>SUM(J1*K24*3)</f>
        <v>8951.4360000000015</v>
      </c>
      <c r="F24" s="9">
        <f>SUM(J1*K24*3)</f>
        <v>8951.4360000000015</v>
      </c>
      <c r="G24" s="77">
        <f t="shared" ref="G24:G29" si="6">SUM(C24:F24)</f>
        <v>35805.744000000006</v>
      </c>
      <c r="H24" s="144" t="s">
        <v>87</v>
      </c>
      <c r="I24" s="100">
        <f>SUM(N1)</f>
        <v>4817.7</v>
      </c>
      <c r="J24" s="101"/>
      <c r="K24" s="107">
        <v>0.62</v>
      </c>
      <c r="L24" s="107"/>
      <c r="M24" s="102">
        <f>SUM(I24*K24)</f>
        <v>2986.9739999999997</v>
      </c>
      <c r="N24" s="140"/>
      <c r="O24" s="100"/>
      <c r="P24" s="101"/>
      <c r="Q24" s="107"/>
      <c r="R24" s="107"/>
      <c r="S24" s="102"/>
      <c r="T24" s="140"/>
      <c r="U24" s="100"/>
      <c r="V24" s="101"/>
      <c r="W24" s="107"/>
      <c r="X24" s="107"/>
      <c r="Y24" s="102"/>
    </row>
    <row r="25" spans="1:35" ht="20.100000000000001" customHeight="1" outlineLevel="1" thickBot="1" x14ac:dyDescent="0.3">
      <c r="A25" s="33"/>
      <c r="B25" s="25" t="s">
        <v>49</v>
      </c>
      <c r="C25" s="26">
        <f>SUM(M25)*3</f>
        <v>4475.7180000000008</v>
      </c>
      <c r="D25" s="26">
        <f>SUM(M25*3)</f>
        <v>4475.7180000000008</v>
      </c>
      <c r="E25" s="26">
        <f>SUM(M25*3)</f>
        <v>4475.7180000000008</v>
      </c>
      <c r="F25" s="26">
        <f>SUM(M25*3)</f>
        <v>4475.7180000000008</v>
      </c>
      <c r="G25" s="78">
        <f t="shared" si="6"/>
        <v>17902.872000000003</v>
      </c>
      <c r="H25" s="144" t="s">
        <v>88</v>
      </c>
      <c r="I25" s="103">
        <f>SUM(J1)</f>
        <v>4812.6000000000004</v>
      </c>
      <c r="J25" s="105"/>
      <c r="K25" s="110">
        <v>0.31</v>
      </c>
      <c r="L25" s="110"/>
      <c r="M25" s="104">
        <f>SUM(I25*K25)</f>
        <v>1491.9060000000002</v>
      </c>
      <c r="N25" s="140"/>
      <c r="O25" s="103"/>
      <c r="P25" s="105"/>
      <c r="Q25" s="110"/>
      <c r="R25" s="110"/>
      <c r="S25" s="104"/>
      <c r="T25" s="140"/>
      <c r="U25" s="103"/>
      <c r="V25" s="105"/>
      <c r="W25" s="110"/>
      <c r="X25" s="110"/>
      <c r="Y25" s="104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  <c r="I26" s="182" t="s">
        <v>57</v>
      </c>
      <c r="J26" s="40"/>
      <c r="K26" s="40"/>
      <c r="L26" s="40"/>
      <c r="M26" s="183"/>
    </row>
    <row r="27" spans="1:35" s="1" customFormat="1" ht="20.100000000000001" customHeight="1" outlineLevel="1" thickBot="1" x14ac:dyDescent="0.35">
      <c r="A27" s="32"/>
      <c r="B27" s="10" t="s">
        <v>5</v>
      </c>
      <c r="C27" s="9"/>
      <c r="D27" s="9"/>
      <c r="E27" s="9"/>
      <c r="F27" s="9"/>
      <c r="G27" s="77">
        <f t="shared" si="6"/>
        <v>0</v>
      </c>
      <c r="H27" s="145"/>
      <c r="I27" s="168">
        <f>SUM(J5)</f>
        <v>87</v>
      </c>
      <c r="J27" s="166"/>
      <c r="K27" s="169">
        <v>0.28000000000000003</v>
      </c>
      <c r="L27" s="166"/>
      <c r="M27" s="181">
        <f>SUM(I27*K27)</f>
        <v>24.360000000000003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</row>
    <row r="28" spans="1:35" s="1" customFormat="1" ht="20.100000000000001" customHeight="1" outlineLevel="1" thickBot="1" x14ac:dyDescent="0.3">
      <c r="A28" s="33"/>
      <c r="B28" s="25" t="s">
        <v>19</v>
      </c>
      <c r="C28" s="26"/>
      <c r="D28" s="26"/>
      <c r="E28" s="26"/>
      <c r="F28" s="26"/>
      <c r="G28" s="78">
        <f t="shared" si="6"/>
        <v>0</v>
      </c>
      <c r="H28" s="292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145"/>
      <c r="AC28" s="145"/>
      <c r="AD28" s="145"/>
      <c r="AE28" s="145"/>
      <c r="AF28" s="145"/>
      <c r="AG28" s="145"/>
      <c r="AH28" s="145"/>
      <c r="AI28" s="145"/>
    </row>
    <row r="29" spans="1:35" ht="26.1" customHeight="1" outlineLevel="1" thickBot="1" x14ac:dyDescent="0.3">
      <c r="A29" s="288" t="s">
        <v>6</v>
      </c>
      <c r="B29" s="289"/>
      <c r="C29" s="52">
        <f>C9+C16+C20+C23+C26</f>
        <v>19286.8209432</v>
      </c>
      <c r="D29" s="52">
        <f>D9+D16+D20+D23+D26</f>
        <v>19286.8209432</v>
      </c>
      <c r="E29" s="52">
        <f>E9+E16+E20+E23+E26</f>
        <v>19286.8209432</v>
      </c>
      <c r="F29" s="52">
        <f>F9+F16+F20+F23+F26</f>
        <v>19286.8209432</v>
      </c>
      <c r="G29" s="53">
        <f t="shared" si="6"/>
        <v>77147.283772800001</v>
      </c>
    </row>
    <row r="30" spans="1:35" ht="26.1" customHeight="1" thickBot="1" x14ac:dyDescent="0.3">
      <c r="A30" s="280" t="s">
        <v>34</v>
      </c>
      <c r="B30" s="281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4">
        <v>1</v>
      </c>
      <c r="B31" s="21" t="s">
        <v>15</v>
      </c>
      <c r="C31" s="64">
        <f>SUM(C32:C35)</f>
        <v>3031.6728373700416</v>
      </c>
      <c r="D31" s="64">
        <f>SUM(D32:D35)</f>
        <v>3031.6728373700416</v>
      </c>
      <c r="E31" s="64">
        <f>SUM(E32:E35)</f>
        <v>3031.6728373700416</v>
      </c>
      <c r="F31" s="64">
        <f>SUM(F32:F35)</f>
        <v>3031.6728373700416</v>
      </c>
      <c r="G31" s="64">
        <f>SUM(G32:G35)</f>
        <v>12126.691349480167</v>
      </c>
      <c r="H31" s="144" t="s">
        <v>224</v>
      </c>
      <c r="I31" s="100">
        <f>SUM(O1)</f>
        <v>0</v>
      </c>
      <c r="J31" s="101"/>
      <c r="K31" s="107">
        <v>0.62</v>
      </c>
      <c r="L31" s="107"/>
      <c r="M31" s="102">
        <f>SUM(I31*K31)</f>
        <v>0</v>
      </c>
    </row>
    <row r="32" spans="1:35" ht="20.100000000000001" customHeight="1" thickBot="1" x14ac:dyDescent="0.3">
      <c r="A32" s="46"/>
      <c r="B32" s="10" t="s">
        <v>3</v>
      </c>
      <c r="C32" s="42">
        <f>C10</f>
        <v>2018.4044400000002</v>
      </c>
      <c r="D32" s="42">
        <f>D10</f>
        <v>2018.4044400000002</v>
      </c>
      <c r="E32" s="42">
        <f>E10</f>
        <v>2018.4044400000002</v>
      </c>
      <c r="F32" s="42">
        <f>F10</f>
        <v>2018.4044400000002</v>
      </c>
      <c r="G32" s="73">
        <f>SUM(C32:F32)</f>
        <v>8073.617760000001</v>
      </c>
      <c r="H32" s="144"/>
      <c r="I32" s="103"/>
      <c r="J32" s="105"/>
      <c r="K32" s="110"/>
      <c r="L32" s="110"/>
      <c r="M32" s="104"/>
    </row>
    <row r="33" spans="1:7" ht="20.100000000000001" customHeight="1" x14ac:dyDescent="0.25">
      <c r="A33" s="46"/>
      <c r="B33" s="10" t="s">
        <v>10</v>
      </c>
      <c r="C33" s="42">
        <f t="shared" ref="C33:F33" si="8">C13</f>
        <v>630.93186000000014</v>
      </c>
      <c r="D33" s="42">
        <f t="shared" si="8"/>
        <v>630.93186000000014</v>
      </c>
      <c r="E33" s="42">
        <f t="shared" si="8"/>
        <v>630.93186000000014</v>
      </c>
      <c r="F33" s="42">
        <f t="shared" si="8"/>
        <v>630.93186000000014</v>
      </c>
      <c r="G33" s="73">
        <f>SUM(C33:F33)</f>
        <v>2523.7274400000006</v>
      </c>
    </row>
    <row r="34" spans="1:7" ht="57.75" customHeight="1" x14ac:dyDescent="0.25">
      <c r="A34" s="46"/>
      <c r="B34" s="10" t="s">
        <v>41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3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3">
        <f>SUM(C35:F35)</f>
        <v>0</v>
      </c>
    </row>
    <row r="36" spans="1:7" ht="20.100000000000001" customHeight="1" x14ac:dyDescent="0.25">
      <c r="A36" s="114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20</v>
      </c>
      <c r="C37" s="42"/>
      <c r="D37" s="42"/>
      <c r="E37" s="42"/>
      <c r="F37" s="42"/>
      <c r="G37" s="73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3">
        <f>SUM(C38:F38)</f>
        <v>0</v>
      </c>
    </row>
    <row r="39" spans="1:7" ht="20.100000000000001" customHeight="1" x14ac:dyDescent="0.25">
      <c r="A39" s="114" t="s">
        <v>28</v>
      </c>
      <c r="B39" s="28" t="s">
        <v>17</v>
      </c>
      <c r="C39" s="64">
        <f>SUM(C40:C41)</f>
        <v>798.66</v>
      </c>
      <c r="D39" s="64">
        <f t="shared" ref="D39:F39" si="11">SUM(D40:D41)</f>
        <v>798.66</v>
      </c>
      <c r="E39" s="64">
        <f t="shared" si="11"/>
        <v>798.66</v>
      </c>
      <c r="F39" s="64">
        <f t="shared" si="11"/>
        <v>798.66</v>
      </c>
      <c r="G39" s="64">
        <f t="shared" ref="G39" si="12">SUM(G40:G41)</f>
        <v>3194.64</v>
      </c>
    </row>
    <row r="40" spans="1:7" ht="20.100000000000001" customHeight="1" x14ac:dyDescent="0.25">
      <c r="A40" s="46"/>
      <c r="B40" s="10" t="s">
        <v>40</v>
      </c>
      <c r="C40" s="42">
        <f t="shared" ref="C40:F41" si="13">C21</f>
        <v>276.65999999999997</v>
      </c>
      <c r="D40" s="42">
        <f t="shared" si="13"/>
        <v>276.65999999999997</v>
      </c>
      <c r="E40" s="42">
        <f t="shared" si="13"/>
        <v>276.65999999999997</v>
      </c>
      <c r="F40" s="42">
        <f t="shared" si="13"/>
        <v>276.65999999999997</v>
      </c>
      <c r="G40" s="73">
        <f>SUM(C40:F40)</f>
        <v>1106.6399999999999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522</v>
      </c>
      <c r="D41" s="57">
        <f t="shared" si="13"/>
        <v>522</v>
      </c>
      <c r="E41" s="57">
        <f t="shared" si="13"/>
        <v>522</v>
      </c>
      <c r="F41" s="57">
        <f t="shared" si="13"/>
        <v>522</v>
      </c>
      <c r="G41" s="73">
        <f>SUM(C41:F41)</f>
        <v>2088</v>
      </c>
    </row>
    <row r="42" spans="1:7" ht="20.100000000000001" customHeight="1" x14ac:dyDescent="0.25">
      <c r="A42" s="114" t="s">
        <v>9</v>
      </c>
      <c r="B42" s="28" t="s">
        <v>33</v>
      </c>
      <c r="C42" s="64">
        <f>SUM(C43:C58)</f>
        <v>8960.9219999999987</v>
      </c>
      <c r="D42" s="64">
        <f>SUM(D43:D58)</f>
        <v>8960.9219999999987</v>
      </c>
      <c r="E42" s="64">
        <f>SUM(E43:E58)</f>
        <v>8960.9219999999987</v>
      </c>
      <c r="F42" s="64">
        <f>SUM(F43:F58)</f>
        <v>8960.9219999999987</v>
      </c>
      <c r="G42" s="66">
        <f t="shared" ref="G42:G51" si="14">SUM(C42:F42)</f>
        <v>35843.687999999995</v>
      </c>
    </row>
    <row r="43" spans="1:7" ht="20.100000000000001" customHeight="1" x14ac:dyDescent="0.25">
      <c r="A43" s="58"/>
      <c r="B43" s="49" t="s">
        <v>38</v>
      </c>
      <c r="C43" s="42">
        <f>SUM(M24*3)</f>
        <v>8960.9219999999987</v>
      </c>
      <c r="D43" s="42">
        <f>SUM(M24*3)</f>
        <v>8960.9219999999987</v>
      </c>
      <c r="E43" s="42">
        <f>SUM(M24*3)</f>
        <v>8960.9219999999987</v>
      </c>
      <c r="F43" s="42">
        <f>SUM(M24*3)</f>
        <v>8960.9219999999987</v>
      </c>
      <c r="G43" s="73">
        <f t="shared" si="14"/>
        <v>35843.687999999995</v>
      </c>
    </row>
    <row r="44" spans="1:7" ht="20.100000000000001" customHeight="1" x14ac:dyDescent="0.25">
      <c r="A44" s="47"/>
      <c r="B44" s="49" t="s">
        <v>23</v>
      </c>
      <c r="C44" s="42"/>
      <c r="D44" s="42"/>
      <c r="E44" s="42"/>
      <c r="F44" s="42"/>
      <c r="G44" s="73">
        <f>SUM(C44:F44)</f>
        <v>0</v>
      </c>
    </row>
    <row r="45" spans="1:7" ht="20.100000000000001" customHeight="1" x14ac:dyDescent="0.25">
      <c r="A45" s="47"/>
      <c r="B45" s="49" t="s">
        <v>31</v>
      </c>
      <c r="C45" s="42"/>
      <c r="D45" s="42"/>
      <c r="E45" s="42"/>
      <c r="F45" s="42"/>
      <c r="G45" s="73">
        <f t="shared" si="14"/>
        <v>0</v>
      </c>
    </row>
    <row r="46" spans="1:7" ht="20.100000000000001" customHeight="1" x14ac:dyDescent="0.25">
      <c r="A46" s="47"/>
      <c r="B46" s="49" t="s">
        <v>29</v>
      </c>
      <c r="C46" s="42"/>
      <c r="D46" s="42"/>
      <c r="E46" s="42"/>
      <c r="F46" s="42"/>
      <c r="G46" s="73">
        <f t="shared" si="14"/>
        <v>0</v>
      </c>
    </row>
    <row r="47" spans="1:7" ht="20.100000000000001" customHeight="1" x14ac:dyDescent="0.25">
      <c r="A47" s="46"/>
      <c r="B47" s="49" t="s">
        <v>30</v>
      </c>
      <c r="C47" s="42"/>
      <c r="D47" s="42"/>
      <c r="E47" s="42"/>
      <c r="F47" s="42"/>
      <c r="G47" s="73">
        <f t="shared" si="14"/>
        <v>0</v>
      </c>
    </row>
    <row r="48" spans="1:7" ht="20.100000000000001" customHeight="1" x14ac:dyDescent="0.25">
      <c r="A48" s="58"/>
      <c r="B48" s="10" t="s">
        <v>51</v>
      </c>
      <c r="C48" s="42"/>
      <c r="D48" s="42"/>
      <c r="E48" s="42"/>
      <c r="F48" s="42"/>
      <c r="G48" s="73">
        <f t="shared" si="14"/>
        <v>0</v>
      </c>
    </row>
    <row r="49" spans="1:14" ht="39" customHeight="1" x14ac:dyDescent="0.25">
      <c r="A49" s="58"/>
      <c r="B49" s="49" t="s">
        <v>32</v>
      </c>
      <c r="C49" s="42"/>
      <c r="D49" s="42"/>
      <c r="E49" s="42"/>
      <c r="F49" s="42"/>
      <c r="G49" s="73">
        <f t="shared" si="14"/>
        <v>0</v>
      </c>
      <c r="H49" s="65"/>
    </row>
    <row r="50" spans="1:14" ht="20.100000000000001" customHeight="1" x14ac:dyDescent="0.25">
      <c r="A50" s="46"/>
      <c r="B50" s="49" t="s">
        <v>24</v>
      </c>
      <c r="C50" s="42"/>
      <c r="D50" s="42"/>
      <c r="E50" s="42"/>
      <c r="F50" s="42"/>
      <c r="G50" s="73">
        <f t="shared" si="14"/>
        <v>0</v>
      </c>
    </row>
    <row r="51" spans="1:14" s="4" customFormat="1" ht="20.100000000000001" customHeight="1" x14ac:dyDescent="0.25">
      <c r="A51" s="48"/>
      <c r="B51" s="49" t="s">
        <v>35</v>
      </c>
      <c r="C51" s="42"/>
      <c r="D51" s="42"/>
      <c r="E51" s="42"/>
      <c r="F51" s="42"/>
      <c r="G51" s="73">
        <f t="shared" si="14"/>
        <v>0</v>
      </c>
    </row>
    <row r="52" spans="1:14" ht="20.100000000000001" customHeight="1" x14ac:dyDescent="0.25">
      <c r="A52" s="59"/>
      <c r="B52" s="49" t="s">
        <v>36</v>
      </c>
      <c r="C52" s="68"/>
      <c r="D52" s="68"/>
      <c r="E52" s="68"/>
      <c r="F52" s="68"/>
      <c r="G52" s="74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39</v>
      </c>
      <c r="C53" s="42"/>
      <c r="D53" s="42"/>
      <c r="E53" s="42"/>
      <c r="F53" s="42"/>
      <c r="G53" s="73">
        <f t="shared" si="15"/>
        <v>0</v>
      </c>
    </row>
    <row r="54" spans="1:14" ht="20.100000000000001" customHeight="1" x14ac:dyDescent="0.25">
      <c r="A54" s="61"/>
      <c r="B54" s="49" t="s">
        <v>25</v>
      </c>
      <c r="C54" s="42"/>
      <c r="D54" s="42"/>
      <c r="E54" s="42"/>
      <c r="F54" s="42"/>
      <c r="G54" s="73">
        <f t="shared" si="15"/>
        <v>0</v>
      </c>
    </row>
    <row r="55" spans="1:14" ht="41.25" customHeight="1" x14ac:dyDescent="0.25">
      <c r="A55" s="61"/>
      <c r="B55" s="49" t="s">
        <v>26</v>
      </c>
      <c r="C55" s="42"/>
      <c r="D55" s="42"/>
      <c r="E55" s="42"/>
      <c r="F55" s="42"/>
      <c r="G55" s="73">
        <f t="shared" si="15"/>
        <v>0</v>
      </c>
    </row>
    <row r="56" spans="1:14" ht="39" customHeight="1" x14ac:dyDescent="0.25">
      <c r="A56" s="62"/>
      <c r="B56" s="80" t="s">
        <v>44</v>
      </c>
      <c r="C56" s="68"/>
      <c r="D56" s="68"/>
      <c r="E56" s="68"/>
      <c r="F56" s="68"/>
      <c r="G56" s="81">
        <f t="shared" si="15"/>
        <v>0</v>
      </c>
    </row>
    <row r="57" spans="1:14" ht="60" customHeight="1" x14ac:dyDescent="0.25">
      <c r="A57" s="60"/>
      <c r="B57" s="51" t="s">
        <v>45</v>
      </c>
      <c r="C57" s="68"/>
      <c r="D57" s="68"/>
      <c r="E57" s="68"/>
      <c r="F57" s="68"/>
      <c r="G57" s="81">
        <f t="shared" si="15"/>
        <v>0</v>
      </c>
    </row>
    <row r="58" spans="1:14" ht="20.100000000000001" customHeight="1" thickBot="1" x14ac:dyDescent="0.3">
      <c r="A58" s="63"/>
      <c r="B58" s="50" t="s">
        <v>27</v>
      </c>
      <c r="C58" s="57"/>
      <c r="D58" s="57"/>
      <c r="E58" s="57"/>
      <c r="F58" s="57"/>
      <c r="G58" s="75">
        <f>SUM(C58:F58)</f>
        <v>0</v>
      </c>
    </row>
    <row r="59" spans="1:14" ht="20.100000000000001" customHeight="1" outlineLevel="1" thickBot="1" x14ac:dyDescent="0.3">
      <c r="A59" s="286" t="s">
        <v>37</v>
      </c>
      <c r="B59" s="287"/>
      <c r="C59" s="38">
        <f>C31+C36+C39+C42</f>
        <v>12791.254837370041</v>
      </c>
      <c r="D59" s="38">
        <f>D31+D36+D39+D42</f>
        <v>12791.254837370041</v>
      </c>
      <c r="E59" s="38">
        <f>E31+E36+E39+E42</f>
        <v>12791.254837370041</v>
      </c>
      <c r="F59" s="38">
        <f>F31+F36+F39+F42</f>
        <v>12791.254837370041</v>
      </c>
      <c r="G59" s="39">
        <f>G31+G36+G39+G42</f>
        <v>51165.019349480164</v>
      </c>
    </row>
    <row r="60" spans="1:14" ht="26.1" customHeight="1" outlineLevel="1" x14ac:dyDescent="0.25">
      <c r="A60" s="112"/>
      <c r="B60" s="71"/>
      <c r="C60" s="72">
        <f>C29-C59</f>
        <v>6495.5661058299593</v>
      </c>
      <c r="D60" s="72">
        <f>D29-D59</f>
        <v>6495.5661058299593</v>
      </c>
      <c r="E60" s="72">
        <f>E29-E59</f>
        <v>6495.5661058299593</v>
      </c>
      <c r="F60" s="72">
        <f>F29-F59</f>
        <v>6495.5661058299593</v>
      </c>
      <c r="G60" s="72">
        <f>G29-G59</f>
        <v>25982.264423319837</v>
      </c>
    </row>
    <row r="61" spans="1:14" ht="26.1" customHeight="1" outlineLevel="1" x14ac:dyDescent="0.25">
      <c r="A61" s="112"/>
      <c r="B61" s="71"/>
      <c r="C61" s="72"/>
      <c r="D61" s="72"/>
      <c r="E61" s="72"/>
      <c r="F61" s="72"/>
      <c r="G61" s="79" t="e">
        <f>G60/#REF!/12</f>
        <v>#REF!</v>
      </c>
    </row>
  </sheetData>
  <dataConsolidate/>
  <mergeCells count="19">
    <mergeCell ref="O8:S8"/>
    <mergeCell ref="U8:Y8"/>
    <mergeCell ref="Z10:Z12"/>
    <mergeCell ref="H28:AA28"/>
    <mergeCell ref="A59:B59"/>
    <mergeCell ref="A8:B8"/>
    <mergeCell ref="A29:B29"/>
    <mergeCell ref="A30:B30"/>
    <mergeCell ref="I8:M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10</vt:i4>
      </vt:variant>
    </vt:vector>
  </HeadingPairs>
  <TitlesOfParts>
    <vt:vector size="24" baseType="lpstr">
      <vt:lpstr>ПИРС-2</vt:lpstr>
      <vt:lpstr>ПИРС-2 1 кв 2023</vt:lpstr>
      <vt:lpstr>мр1</vt:lpstr>
      <vt:lpstr>мр1-1</vt:lpstr>
      <vt:lpstr>мр1-2</vt:lpstr>
      <vt:lpstr>мр2</vt:lpstr>
      <vt:lpstr>мр3</vt:lpstr>
      <vt:lpstr>мр4</vt:lpstr>
      <vt:lpstr>мр5</vt:lpstr>
      <vt:lpstr>мр1-3</vt:lpstr>
      <vt:lpstr>материалы информ. от инженера</vt:lpstr>
      <vt:lpstr>Площадь</vt:lpstr>
      <vt:lpstr>РАСЧЕТ ШНО</vt:lpstr>
      <vt:lpstr>ээ</vt:lpstr>
      <vt:lpstr>мр1!Область_печати</vt:lpstr>
      <vt:lpstr>'мр1-1'!Область_печати</vt:lpstr>
      <vt:lpstr>'мр1-2'!Область_печати</vt:lpstr>
      <vt:lpstr>'мр1-3'!Область_печати</vt:lpstr>
      <vt:lpstr>мр2!Область_печати</vt:lpstr>
      <vt:lpstr>мр3!Область_печати</vt:lpstr>
      <vt:lpstr>мр4!Область_печати</vt:lpstr>
      <vt:lpstr>мр5!Область_печати</vt:lpstr>
      <vt:lpstr>'ПИРС-2'!Область_печати</vt:lpstr>
      <vt:lpstr>'ПИРС-2 1 кв 2023'!Область_печати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2022-03-10T11:12:52Z</dcterms:modified>
</cp:coreProperties>
</file>