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768" windowWidth="16608" windowHeight="8676" activeTab="3"/>
  </bookViews>
  <sheets>
    <sheet name="GeneralRemarks" sheetId="7" r:id="rId1"/>
    <sheet name="AllEntries" sheetId="4" r:id="rId2"/>
    <sheet name="DatVol" sheetId="10" r:id="rId3"/>
    <sheet name="ControlledVocabulary" sheetId="8" r:id="rId4"/>
    <sheet name="DataAvail" sheetId="11" r:id="rId5"/>
  </sheets>
  <definedNames>
    <definedName name="_xlnm._FilterDatabase" localSheetId="4" hidden="1">DataAvail!$B$3:$F$49</definedName>
    <definedName name="AFR_22" localSheetId="3">ControlledVocabulary!#REF!</definedName>
    <definedName name="AFR_22" localSheetId="2">DatVol!$B$34</definedName>
    <definedName name="AFR_22" localSheetId="0">GeneralRemarks!#REF!</definedName>
    <definedName name="AFR_22">AllEntries!#REF!</definedName>
    <definedName name="AFR_44" localSheetId="3">ControlledVocabulary!#REF!</definedName>
    <definedName name="AFR_44" localSheetId="2">DatVol!$B$33</definedName>
    <definedName name="AFR_44" localSheetId="0">GeneralRemarks!#REF!</definedName>
    <definedName name="AFR_44">AllEntries!#REF!</definedName>
    <definedName name="AFR22tier1" localSheetId="3">ControlledVocabulary!#REF!</definedName>
    <definedName name="AFR22tier1" localSheetId="2">DatVol!$C$34</definedName>
    <definedName name="AFR22tier1" localSheetId="0">GeneralRemarks!#REF!</definedName>
    <definedName name="AFR22tier1">AllEntries!#REF!</definedName>
    <definedName name="AFR44tier1" localSheetId="3">ControlledVocabulary!#REF!</definedName>
    <definedName name="AFR44tier1" localSheetId="2">DatVol!$C$33</definedName>
    <definedName name="AFR44tier1" localSheetId="0">GeneralRemarks!#REF!</definedName>
    <definedName name="AFR44tier1">AllEntries!#REF!</definedName>
    <definedName name="ANT_44">DatVol!$B$36</definedName>
    <definedName name="ANT44tier1">DatVol!$C$36</definedName>
    <definedName name="ARC_44">DatVol!$B$37</definedName>
    <definedName name="ARC44tier1">DatVol!$C$37</definedName>
    <definedName name="_xlnm.Print_Area" localSheetId="1">AllEntries!$A$1:$AW$13</definedName>
    <definedName name="_xlnm.Print_Area" localSheetId="3">ControlledVocabulary!$A$1:$AX$10</definedName>
    <definedName name="_xlnm.Print_Area" localSheetId="2">DatVol!$A$1:$BA$39</definedName>
    <definedName name="_xlnm.Print_Area" localSheetId="0">GeneralRemarks!$A$1:$O$4</definedName>
    <definedName name="EUR_11" localSheetId="3">ControlledVocabulary!#REF!</definedName>
    <definedName name="EUR_11" localSheetId="2">DatVol!$B$35</definedName>
    <definedName name="EUR_11" localSheetId="0">GeneralRemarks!#REF!</definedName>
    <definedName name="EUR_11">AllEntries!#REF!</definedName>
    <definedName name="EUR11tier1" localSheetId="3">ControlledVocabulary!#REF!</definedName>
    <definedName name="EUR11tier1" localSheetId="2">DatVol!$C$35</definedName>
    <definedName name="EUR11tier1" localSheetId="0">GeneralRemarks!#REF!</definedName>
    <definedName name="EUR11tier1">AllEntries!#REF!</definedName>
    <definedName name="MED_44" localSheetId="3">ControlledVocabulary!#REF!</definedName>
    <definedName name="MED_44" localSheetId="2">DatVol!$B$32</definedName>
    <definedName name="MED_44" localSheetId="0">GeneralRemarks!#REF!</definedName>
    <definedName name="MED_44">AllEntries!#REF!</definedName>
    <definedName name="MED44tier1" localSheetId="3">ControlledVocabulary!#REF!</definedName>
    <definedName name="MED44tier1" localSheetId="2">DatVol!$C$32</definedName>
    <definedName name="MED44tier1" localSheetId="0">GeneralRemarks!#REF!</definedName>
    <definedName name="MED44tier1">AllEntries!#REF!</definedName>
    <definedName name="Print_Area" localSheetId="1">AllEntries!$A$1:$AW$9</definedName>
    <definedName name="Print_Area" localSheetId="3">ControlledVocabulary!$A$1:$AU$5</definedName>
    <definedName name="Print_Area" localSheetId="2">DatVol!$A$1:$AZ$39</definedName>
    <definedName name="Print_Area" localSheetId="0">GeneralRemarks!$A$1:$O$2</definedName>
  </definedNames>
  <calcPr calcId="145621"/>
</workbook>
</file>

<file path=xl/calcChain.xml><?xml version="1.0" encoding="utf-8"?>
<calcChain xmlns="http://schemas.openxmlformats.org/spreadsheetml/2006/main">
  <c r="AG4" i="4" l="1"/>
  <c r="AE3" i="8"/>
  <c r="AE7" i="8"/>
  <c r="AE5" i="8"/>
  <c r="AE4" i="8"/>
  <c r="AD4" i="8"/>
  <c r="AF4" i="8"/>
  <c r="AF5" i="8"/>
  <c r="AF6" i="8"/>
  <c r="AF7" i="8"/>
  <c r="AE6" i="8" l="1"/>
  <c r="AW7" i="8"/>
  <c r="AV7" i="8"/>
  <c r="AU7" i="8"/>
  <c r="AT7" i="8"/>
  <c r="AS7" i="8"/>
  <c r="AR7" i="8"/>
  <c r="AQ7" i="8"/>
  <c r="AP7" i="8"/>
  <c r="AO7" i="8"/>
  <c r="AN7" i="8"/>
  <c r="AM7" i="8"/>
  <c r="AL7" i="8"/>
  <c r="AK7" i="8"/>
  <c r="AJ7" i="8"/>
  <c r="AI7" i="8"/>
  <c r="AH7" i="8"/>
  <c r="AG7" i="8"/>
  <c r="AD7" i="8"/>
  <c r="AC7" i="8"/>
  <c r="AB7" i="8"/>
  <c r="AA7" i="8"/>
  <c r="Z7" i="8"/>
  <c r="Y7" i="8"/>
  <c r="X7" i="8"/>
  <c r="W7" i="8"/>
  <c r="V7" i="8"/>
  <c r="U7" i="8"/>
  <c r="T7" i="8"/>
  <c r="S7" i="8"/>
  <c r="R7" i="8"/>
  <c r="L7" i="8"/>
  <c r="K7" i="8"/>
  <c r="J7" i="8"/>
  <c r="I7" i="8"/>
  <c r="H7" i="8"/>
  <c r="G7" i="8"/>
  <c r="F7" i="8"/>
  <c r="E7" i="8"/>
  <c r="C7" i="8"/>
  <c r="B7" i="8"/>
  <c r="D7" i="8"/>
  <c r="A2" i="8" l="1"/>
  <c r="AV2" i="8" s="1"/>
  <c r="AM6" i="10" l="1"/>
  <c r="AM5" i="10"/>
  <c r="AM3" i="10"/>
  <c r="AI6" i="10"/>
  <c r="AI5" i="10"/>
  <c r="AI3" i="10"/>
  <c r="AC6" i="10"/>
  <c r="AC5" i="10"/>
  <c r="AC4" i="10"/>
  <c r="AC3" i="10"/>
  <c r="W14" i="10"/>
  <c r="W12" i="10"/>
  <c r="W6" i="10"/>
  <c r="W5" i="10"/>
  <c r="W3" i="10"/>
  <c r="T6" i="10"/>
  <c r="T5" i="10"/>
  <c r="T3" i="10"/>
  <c r="AB5" i="8" l="1"/>
  <c r="AB4" i="8"/>
  <c r="AB3" i="8"/>
  <c r="AB6" i="8" s="1"/>
  <c r="AW4" i="8" l="1"/>
  <c r="AV4" i="8"/>
  <c r="AU4" i="8"/>
  <c r="AT4" i="8"/>
  <c r="AS4" i="8"/>
  <c r="AR4" i="8"/>
  <c r="AQ4" i="8"/>
  <c r="AP4" i="8"/>
  <c r="AO4" i="8"/>
  <c r="AN4" i="8"/>
  <c r="AM4" i="8"/>
  <c r="AL4" i="8"/>
  <c r="AK4" i="8"/>
  <c r="AJ4" i="8"/>
  <c r="AI4" i="8"/>
  <c r="AH4" i="8"/>
  <c r="AG4" i="8"/>
  <c r="AC4" i="8"/>
  <c r="AA4" i="8"/>
  <c r="Z4" i="8"/>
  <c r="Y4" i="8"/>
  <c r="X4" i="8"/>
  <c r="W4" i="8"/>
  <c r="V4" i="8"/>
  <c r="U4" i="8"/>
  <c r="T4" i="8"/>
  <c r="S4" i="8"/>
  <c r="R4" i="8"/>
  <c r="Q4" i="8"/>
  <c r="P4" i="8"/>
  <c r="O4" i="8"/>
  <c r="N4" i="8"/>
  <c r="M4" i="8"/>
  <c r="L4" i="8"/>
  <c r="K4" i="8"/>
  <c r="J4" i="8"/>
  <c r="I4" i="8"/>
  <c r="H4" i="8"/>
  <c r="G4" i="8"/>
  <c r="F4" i="8"/>
  <c r="E4" i="8"/>
  <c r="D4" i="8"/>
  <c r="C4" i="8"/>
  <c r="B4" i="8"/>
  <c r="A2" i="4" l="1"/>
  <c r="AI6" i="8" l="1"/>
  <c r="AH6" i="8"/>
  <c r="AG6" i="8"/>
  <c r="Y6" i="8"/>
  <c r="Q6" i="8"/>
  <c r="R3" i="8"/>
  <c r="P7" i="8"/>
  <c r="O7" i="8"/>
  <c r="N7" i="8"/>
  <c r="M7" i="8"/>
  <c r="V5" i="8" l="1"/>
  <c r="V3" i="8"/>
  <c r="U4" i="4"/>
  <c r="W4" i="10" s="1"/>
  <c r="V6" i="8" l="1"/>
  <c r="AL5" i="8"/>
  <c r="AL3" i="8"/>
  <c r="AM5" i="8"/>
  <c r="AM3" i="8"/>
  <c r="AM6" i="8" s="1"/>
  <c r="AW5" i="8"/>
  <c r="AW3" i="8"/>
  <c r="AK4" i="4"/>
  <c r="AM4" i="10" s="1"/>
  <c r="AW6" i="8" l="1"/>
  <c r="AL6" i="8"/>
  <c r="AD5" i="8"/>
  <c r="N3" i="8" l="1"/>
  <c r="N5" i="8"/>
  <c r="M3" i="8"/>
  <c r="M5" i="8"/>
  <c r="B33" i="10"/>
  <c r="B37" i="10" s="1"/>
  <c r="C37" i="10"/>
  <c r="Q26" i="10" s="1"/>
  <c r="O6" i="10"/>
  <c r="N6" i="10"/>
  <c r="O5" i="10"/>
  <c r="N5" i="10"/>
  <c r="O4" i="10"/>
  <c r="N4" i="10"/>
  <c r="O3" i="10"/>
  <c r="N3" i="10"/>
  <c r="AJ5" i="8"/>
  <c r="AJ3" i="8"/>
  <c r="AK5" i="8"/>
  <c r="AK3" i="8"/>
  <c r="AH6" i="10"/>
  <c r="AH5" i="10"/>
  <c r="AH4" i="10"/>
  <c r="AH3" i="10"/>
  <c r="AJ3" i="10"/>
  <c r="AK3" i="10"/>
  <c r="R4" i="4"/>
  <c r="T4" i="10" s="1"/>
  <c r="AH4" i="4"/>
  <c r="AJ4" i="10" s="1"/>
  <c r="AI4" i="4"/>
  <c r="AK4" i="10" s="1"/>
  <c r="AJ5" i="10"/>
  <c r="AK5" i="10"/>
  <c r="AJ6" i="10"/>
  <c r="AK6" i="10"/>
  <c r="M6" i="10"/>
  <c r="M5" i="10"/>
  <c r="M4" i="10"/>
  <c r="M3" i="10"/>
  <c r="W3" i="8"/>
  <c r="W5" i="8"/>
  <c r="L8" i="10"/>
  <c r="C34" i="10"/>
  <c r="B35" i="10"/>
  <c r="B13" i="10" s="1"/>
  <c r="L12" i="10"/>
  <c r="L14" i="10"/>
  <c r="B32" i="10"/>
  <c r="D15" i="10" s="1"/>
  <c r="C32" i="10"/>
  <c r="L16" i="10" s="1"/>
  <c r="K8" i="10"/>
  <c r="K12" i="10"/>
  <c r="K14" i="10"/>
  <c r="J8" i="10"/>
  <c r="J12" i="10"/>
  <c r="J14" i="10"/>
  <c r="J17" i="10"/>
  <c r="I8" i="10"/>
  <c r="I12" i="10"/>
  <c r="I14" i="10"/>
  <c r="I17" i="10"/>
  <c r="H8" i="10"/>
  <c r="H12" i="10"/>
  <c r="H14" i="10"/>
  <c r="G8" i="10"/>
  <c r="G12" i="10"/>
  <c r="G14" i="10"/>
  <c r="G15" i="10"/>
  <c r="F8" i="10"/>
  <c r="F12" i="10"/>
  <c r="F14" i="10"/>
  <c r="F18" i="10"/>
  <c r="E8" i="10"/>
  <c r="E12" i="10"/>
  <c r="E14" i="10"/>
  <c r="E20" i="10"/>
  <c r="D7" i="10"/>
  <c r="D8" i="10"/>
  <c r="D12" i="10"/>
  <c r="D14" i="10"/>
  <c r="C26" i="10"/>
  <c r="B8" i="10"/>
  <c r="B12" i="10"/>
  <c r="B14" i="10"/>
  <c r="B17" i="10"/>
  <c r="B18" i="10"/>
  <c r="Y8" i="10"/>
  <c r="Y18" i="10"/>
  <c r="B36" i="10"/>
  <c r="C36" i="10"/>
  <c r="X24" i="10" s="1"/>
  <c r="AZ24" i="10" s="1"/>
  <c r="V8" i="10"/>
  <c r="V12" i="10"/>
  <c r="V14" i="10"/>
  <c r="V18" i="10"/>
  <c r="U8" i="10"/>
  <c r="U12" i="10"/>
  <c r="U14" i="10"/>
  <c r="S8" i="10"/>
  <c r="S12" i="10"/>
  <c r="S14" i="10"/>
  <c r="R8" i="10"/>
  <c r="R12" i="10"/>
  <c r="R14" i="10"/>
  <c r="AZ22" i="10"/>
  <c r="AZ21" i="10"/>
  <c r="Z7" i="10"/>
  <c r="AE7" i="10"/>
  <c r="AF7" i="10"/>
  <c r="AJ7" i="10"/>
  <c r="AO7" i="10"/>
  <c r="AP7" i="10"/>
  <c r="AR7" i="10"/>
  <c r="AV7" i="10"/>
  <c r="AW7" i="10"/>
  <c r="Z8" i="10"/>
  <c r="AA8" i="10"/>
  <c r="AB8" i="10"/>
  <c r="AD8" i="10"/>
  <c r="AE8" i="10"/>
  <c r="AF8" i="10"/>
  <c r="AG8" i="10"/>
  <c r="AJ8" i="10"/>
  <c r="AK8" i="10"/>
  <c r="AL8" i="10"/>
  <c r="AN8" i="10"/>
  <c r="AO8" i="10"/>
  <c r="AP8" i="10"/>
  <c r="AQ8" i="10"/>
  <c r="AR8" i="10"/>
  <c r="AS8" i="10"/>
  <c r="AT8" i="10"/>
  <c r="AU8" i="10"/>
  <c r="AV8" i="10"/>
  <c r="AW8" i="10"/>
  <c r="AX8" i="10"/>
  <c r="AY8" i="10"/>
  <c r="AU10" i="10"/>
  <c r="Z12" i="10"/>
  <c r="AA12" i="10"/>
  <c r="AB12" i="10"/>
  <c r="AD12" i="10"/>
  <c r="AE12" i="10"/>
  <c r="AF12" i="10"/>
  <c r="AG12" i="10"/>
  <c r="AJ12" i="10"/>
  <c r="AK12" i="10"/>
  <c r="AL12" i="10"/>
  <c r="AN12" i="10"/>
  <c r="AO12" i="10"/>
  <c r="AP12" i="10"/>
  <c r="AQ12" i="10"/>
  <c r="AR12" i="10"/>
  <c r="AS12" i="10"/>
  <c r="AT12" i="10"/>
  <c r="AU12" i="10"/>
  <c r="AV12" i="10"/>
  <c r="AW12" i="10"/>
  <c r="AX12" i="10"/>
  <c r="AY12" i="10"/>
  <c r="AW13" i="10"/>
  <c r="Z14" i="10"/>
  <c r="AA14" i="10"/>
  <c r="AB14" i="10"/>
  <c r="AD14" i="10"/>
  <c r="AE14" i="10"/>
  <c r="AF14" i="10"/>
  <c r="AG14" i="10"/>
  <c r="AJ14" i="10"/>
  <c r="AK14" i="10"/>
  <c r="AL14" i="10"/>
  <c r="AN14" i="10"/>
  <c r="AO14" i="10"/>
  <c r="AP14" i="10"/>
  <c r="AQ14" i="10"/>
  <c r="AR14" i="10"/>
  <c r="AS14" i="10"/>
  <c r="AT14" i="10"/>
  <c r="AU14" i="10"/>
  <c r="AV14" i="10"/>
  <c r="AW14" i="10"/>
  <c r="AX14" i="10"/>
  <c r="AY14" i="10"/>
  <c r="AQ15" i="10"/>
  <c r="AU15" i="10"/>
  <c r="AJ16" i="10"/>
  <c r="AR16" i="10"/>
  <c r="AA17" i="10"/>
  <c r="AS17" i="10"/>
  <c r="AX17" i="10"/>
  <c r="AJ18" i="10"/>
  <c r="AR18" i="10"/>
  <c r="AD19" i="10"/>
  <c r="AU19" i="10"/>
  <c r="Z20" i="10"/>
  <c r="AK20" i="10"/>
  <c r="AS20" i="10"/>
  <c r="X6" i="10"/>
  <c r="X5" i="10"/>
  <c r="V4" i="4"/>
  <c r="X4" i="10" s="1"/>
  <c r="X3" i="10"/>
  <c r="O3" i="8"/>
  <c r="O5" i="8"/>
  <c r="P6" i="10"/>
  <c r="P5" i="10"/>
  <c r="P4" i="10"/>
  <c r="P3" i="10"/>
  <c r="Q6" i="10"/>
  <c r="Q5" i="10"/>
  <c r="Q4" i="10"/>
  <c r="Q3" i="10"/>
  <c r="C3" i="8"/>
  <c r="C5" i="8"/>
  <c r="C6" i="10"/>
  <c r="C5" i="10"/>
  <c r="C4" i="10"/>
  <c r="C3" i="10"/>
  <c r="L3" i="8"/>
  <c r="L5" i="8"/>
  <c r="K5" i="8"/>
  <c r="K3" i="8"/>
  <c r="J5" i="8"/>
  <c r="J3" i="8"/>
  <c r="I4" i="10"/>
  <c r="K6" i="10"/>
  <c r="K5" i="10"/>
  <c r="K4" i="10"/>
  <c r="K3" i="10"/>
  <c r="J6" i="10"/>
  <c r="J5" i="10"/>
  <c r="J4" i="10"/>
  <c r="J3" i="10"/>
  <c r="AY3" i="10"/>
  <c r="AX3" i="10"/>
  <c r="AW3" i="10"/>
  <c r="AV3" i="10"/>
  <c r="AU3" i="10"/>
  <c r="AT3" i="10"/>
  <c r="AS3" i="10"/>
  <c r="AR3" i="10"/>
  <c r="AQ3" i="10"/>
  <c r="AP3" i="10"/>
  <c r="AO3" i="10"/>
  <c r="AN3" i="10"/>
  <c r="AY6" i="10"/>
  <c r="AX6" i="10"/>
  <c r="AW6" i="10"/>
  <c r="AV6" i="10"/>
  <c r="AU6" i="10"/>
  <c r="AT6" i="10"/>
  <c r="AS6" i="10"/>
  <c r="AR6" i="10"/>
  <c r="AQ6" i="10"/>
  <c r="AP6" i="10"/>
  <c r="AO6" i="10"/>
  <c r="AN6" i="10"/>
  <c r="AL6" i="10"/>
  <c r="AG6" i="10"/>
  <c r="AF6" i="10"/>
  <c r="AE6" i="10"/>
  <c r="AD6" i="10"/>
  <c r="AB6" i="10"/>
  <c r="AA6" i="10"/>
  <c r="Z6" i="10"/>
  <c r="Y6" i="10"/>
  <c r="V6" i="10"/>
  <c r="U6" i="10"/>
  <c r="S6" i="10"/>
  <c r="R6" i="10"/>
  <c r="L6" i="10"/>
  <c r="I6" i="10"/>
  <c r="H6" i="10"/>
  <c r="G6" i="10"/>
  <c r="F6" i="10"/>
  <c r="E6" i="10"/>
  <c r="D6" i="10"/>
  <c r="B6" i="10"/>
  <c r="A6" i="10"/>
  <c r="AV4" i="4"/>
  <c r="AY4" i="10" s="1"/>
  <c r="AU4" i="4"/>
  <c r="AX4" i="10" s="1"/>
  <c r="AW4" i="10"/>
  <c r="AT4" i="4"/>
  <c r="AV4" i="10" s="1"/>
  <c r="AS4" i="4"/>
  <c r="AU4" i="10" s="1"/>
  <c r="AR4" i="4"/>
  <c r="AT4" i="10" s="1"/>
  <c r="AQ4" i="4"/>
  <c r="AS4" i="10" s="1"/>
  <c r="AP4" i="4"/>
  <c r="AR4" i="10" s="1"/>
  <c r="AQ4" i="10"/>
  <c r="AN4" i="4"/>
  <c r="AP4" i="10" s="1"/>
  <c r="AM4" i="4"/>
  <c r="AO4" i="10" s="1"/>
  <c r="AL4" i="4"/>
  <c r="AN4" i="10" s="1"/>
  <c r="AY5" i="10"/>
  <c r="AX5" i="10"/>
  <c r="AW5" i="10"/>
  <c r="AV5" i="10"/>
  <c r="AU5" i="10"/>
  <c r="AT5" i="10"/>
  <c r="AS5" i="10"/>
  <c r="AR5" i="10"/>
  <c r="AQ5" i="10"/>
  <c r="AP5" i="10"/>
  <c r="AO5" i="10"/>
  <c r="AN5" i="10"/>
  <c r="AL5" i="10"/>
  <c r="AG5" i="10"/>
  <c r="AF5" i="10"/>
  <c r="AE5" i="10"/>
  <c r="AD5" i="10"/>
  <c r="AB5" i="10"/>
  <c r="AA5" i="10"/>
  <c r="Z5" i="10"/>
  <c r="AJ4" i="4"/>
  <c r="AL4" i="10" s="1"/>
  <c r="AI4" i="10"/>
  <c r="AF4" i="4"/>
  <c r="AG4" i="10" s="1"/>
  <c r="AE4" i="4"/>
  <c r="AF4" i="10" s="1"/>
  <c r="AC4" i="4"/>
  <c r="AE4" i="10" s="1"/>
  <c r="AB4" i="4"/>
  <c r="AD4" i="10" s="1"/>
  <c r="Z4" i="4"/>
  <c r="AB4" i="10" s="1"/>
  <c r="Y4" i="4"/>
  <c r="AA4" i="10" s="1"/>
  <c r="X4" i="4"/>
  <c r="Z4" i="10" s="1"/>
  <c r="Y5" i="10"/>
  <c r="V5" i="10"/>
  <c r="U5" i="10"/>
  <c r="S5" i="10"/>
  <c r="R5" i="10"/>
  <c r="L5" i="10"/>
  <c r="I5" i="10"/>
  <c r="H5" i="10"/>
  <c r="G5" i="10"/>
  <c r="F5" i="10"/>
  <c r="E5" i="10"/>
  <c r="D5" i="10"/>
  <c r="B5" i="10"/>
  <c r="A5" i="10"/>
  <c r="W4" i="4"/>
  <c r="Y4" i="10" s="1"/>
  <c r="T4" i="4"/>
  <c r="V4" i="10" s="1"/>
  <c r="S4" i="4"/>
  <c r="U4" i="10" s="1"/>
  <c r="Q4" i="4"/>
  <c r="S4" i="10" s="1"/>
  <c r="R4" i="10"/>
  <c r="L4" i="10"/>
  <c r="H4" i="10"/>
  <c r="G4" i="10"/>
  <c r="F4" i="10"/>
  <c r="E4" i="10"/>
  <c r="D4" i="10"/>
  <c r="B4" i="4"/>
  <c r="B4" i="10" s="1"/>
  <c r="A4" i="10"/>
  <c r="AL3" i="10"/>
  <c r="AG3" i="10"/>
  <c r="AF3" i="10"/>
  <c r="AE3" i="10"/>
  <c r="AD3" i="10"/>
  <c r="AB3" i="10"/>
  <c r="AA3" i="10"/>
  <c r="Z3" i="10"/>
  <c r="Y3" i="10"/>
  <c r="V3" i="10"/>
  <c r="U3" i="10"/>
  <c r="S3" i="10"/>
  <c r="R3" i="10"/>
  <c r="L3" i="10"/>
  <c r="I3" i="10"/>
  <c r="H3" i="10"/>
  <c r="G3" i="10"/>
  <c r="F3" i="10"/>
  <c r="E3" i="10"/>
  <c r="D3" i="10"/>
  <c r="B3" i="10"/>
  <c r="A3" i="10"/>
  <c r="X2" i="10"/>
  <c r="D33" i="10"/>
  <c r="A2" i="10"/>
  <c r="AZ2" i="10" s="1"/>
  <c r="AV3" i="8"/>
  <c r="AV5" i="8"/>
  <c r="AU3" i="8"/>
  <c r="AU5" i="8"/>
  <c r="AT3" i="8"/>
  <c r="AT5" i="8"/>
  <c r="AS3" i="8"/>
  <c r="AS5" i="8"/>
  <c r="AR3" i="8"/>
  <c r="AR5" i="8"/>
  <c r="AQ3" i="8"/>
  <c r="AQ5" i="8"/>
  <c r="AP3" i="8"/>
  <c r="AP5" i="8"/>
  <c r="AO3" i="8"/>
  <c r="AO5" i="8"/>
  <c r="AN3" i="8"/>
  <c r="AN5" i="8"/>
  <c r="S3" i="8"/>
  <c r="S5" i="8"/>
  <c r="AI5" i="8"/>
  <c r="AH5" i="8"/>
  <c r="AG5" i="8"/>
  <c r="AC5" i="8"/>
  <c r="AA5" i="8"/>
  <c r="Z5" i="8"/>
  <c r="Y5" i="8"/>
  <c r="X5" i="8"/>
  <c r="U5" i="8"/>
  <c r="T5" i="8"/>
  <c r="R5" i="8"/>
  <c r="R6" i="8" s="1"/>
  <c r="P5" i="8"/>
  <c r="I5" i="8"/>
  <c r="H5" i="8"/>
  <c r="G5" i="8"/>
  <c r="F5" i="8"/>
  <c r="E5" i="8"/>
  <c r="D5" i="8"/>
  <c r="AI3" i="8"/>
  <c r="AH3" i="8"/>
  <c r="AG3" i="8"/>
  <c r="AF3" i="8"/>
  <c r="AD3" i="8"/>
  <c r="AD6" i="8" s="1"/>
  <c r="AC3" i="8"/>
  <c r="AC6" i="8" s="1"/>
  <c r="AA3" i="8"/>
  <c r="AA6" i="8" s="1"/>
  <c r="Z3" i="8"/>
  <c r="Z6" i="8" s="1"/>
  <c r="Y3" i="8"/>
  <c r="I3" i="8"/>
  <c r="X3" i="8"/>
  <c r="H3" i="8"/>
  <c r="H6" i="8" s="1"/>
  <c r="U3" i="8"/>
  <c r="T3" i="8"/>
  <c r="P3" i="8"/>
  <c r="G3" i="8"/>
  <c r="F3" i="8"/>
  <c r="E3" i="8"/>
  <c r="B3" i="8"/>
  <c r="B5" i="8"/>
  <c r="D3" i="8"/>
  <c r="C6" i="8" l="1"/>
  <c r="AP20" i="10"/>
  <c r="AO18" i="10"/>
  <c r="AO16" i="10"/>
  <c r="R18" i="10"/>
  <c r="S16" i="10"/>
  <c r="AW20" i="10"/>
  <c r="AE20" i="10"/>
  <c r="AV18" i="10"/>
  <c r="AD18" i="10"/>
  <c r="AV16" i="10"/>
  <c r="AD16" i="10"/>
  <c r="D20" i="10"/>
  <c r="I18" i="10"/>
  <c r="L20" i="10"/>
  <c r="W11" i="10"/>
  <c r="W13" i="10"/>
  <c r="AV20" i="10"/>
  <c r="AO20" i="10"/>
  <c r="AU18" i="10"/>
  <c r="AN18" i="10"/>
  <c r="AB18" i="10"/>
  <c r="AU16" i="10"/>
  <c r="AN16" i="10"/>
  <c r="AP13" i="10"/>
  <c r="G20" i="10"/>
  <c r="K20" i="10"/>
  <c r="L18" i="10"/>
  <c r="AY20" i="10"/>
  <c r="AU20" i="10"/>
  <c r="AN20" i="10"/>
  <c r="AG20" i="10"/>
  <c r="AB20" i="10"/>
  <c r="AQ19" i="10"/>
  <c r="AX18" i="10"/>
  <c r="AT18" i="10"/>
  <c r="AQ18" i="10"/>
  <c r="AL18" i="10"/>
  <c r="AF18" i="10"/>
  <c r="AA18" i="10"/>
  <c r="AN17" i="10"/>
  <c r="AX16" i="10"/>
  <c r="AT16" i="10"/>
  <c r="AQ16" i="10"/>
  <c r="AL16" i="10"/>
  <c r="AF16" i="10"/>
  <c r="AA16" i="10"/>
  <c r="AK15" i="10"/>
  <c r="AF13" i="10"/>
  <c r="S18" i="10"/>
  <c r="S13" i="10"/>
  <c r="U18" i="10"/>
  <c r="D36" i="10"/>
  <c r="B16" i="10"/>
  <c r="D16" i="10"/>
  <c r="E16" i="10"/>
  <c r="E7" i="10"/>
  <c r="G18" i="10"/>
  <c r="H18" i="10"/>
  <c r="I16" i="10"/>
  <c r="J20" i="10"/>
  <c r="K18" i="10"/>
  <c r="K11" i="10"/>
  <c r="L17" i="10"/>
  <c r="D32" i="10"/>
  <c r="AR20" i="10"/>
  <c r="AJ20" i="10"/>
  <c r="AD20" i="10"/>
  <c r="AY18" i="10"/>
  <c r="AG18" i="10"/>
  <c r="AY16" i="10"/>
  <c r="AG16" i="10"/>
  <c r="AB16" i="10"/>
  <c r="R16" i="10"/>
  <c r="S20" i="10"/>
  <c r="U20" i="10"/>
  <c r="V16" i="10"/>
  <c r="Y16" i="10"/>
  <c r="D18" i="10"/>
  <c r="E18" i="10"/>
  <c r="F16" i="10"/>
  <c r="H20" i="10"/>
  <c r="J16" i="10"/>
  <c r="AX20" i="10"/>
  <c r="AT20" i="10"/>
  <c r="AQ20" i="10"/>
  <c r="AL20" i="10"/>
  <c r="AF20" i="10"/>
  <c r="AA20" i="10"/>
  <c r="AK19" i="10"/>
  <c r="AW18" i="10"/>
  <c r="AS18" i="10"/>
  <c r="AP18" i="10"/>
  <c r="AK18" i="10"/>
  <c r="AE18" i="10"/>
  <c r="Z18" i="10"/>
  <c r="AG17" i="10"/>
  <c r="AW16" i="10"/>
  <c r="AS16" i="10"/>
  <c r="AP16" i="10"/>
  <c r="AK16" i="10"/>
  <c r="AE16" i="10"/>
  <c r="Z16" i="10"/>
  <c r="AD15" i="10"/>
  <c r="AY13" i="10"/>
  <c r="AP11" i="10"/>
  <c r="R20" i="10"/>
  <c r="S17" i="10"/>
  <c r="U16" i="10"/>
  <c r="V20" i="10"/>
  <c r="Y20" i="10"/>
  <c r="B20" i="10"/>
  <c r="F20" i="10"/>
  <c r="G16" i="10"/>
  <c r="G11" i="10"/>
  <c r="H16" i="10"/>
  <c r="I20" i="10"/>
  <c r="J18" i="10"/>
  <c r="K16" i="10"/>
  <c r="C25" i="10"/>
  <c r="C27" i="10" s="1"/>
  <c r="D37" i="10"/>
  <c r="L19" i="10"/>
  <c r="I15" i="10"/>
  <c r="I19" i="10"/>
  <c r="E15" i="10"/>
  <c r="E19" i="10"/>
  <c r="B15" i="10"/>
  <c r="B19" i="10"/>
  <c r="Y15" i="10"/>
  <c r="Y19" i="10"/>
  <c r="U15" i="10"/>
  <c r="U19" i="10"/>
  <c r="S15" i="10"/>
  <c r="S19" i="10"/>
  <c r="R17" i="10"/>
  <c r="Z15" i="10"/>
  <c r="AE15" i="10"/>
  <c r="AJ15" i="10"/>
  <c r="AO15" i="10"/>
  <c r="AR15" i="10"/>
  <c r="AV15" i="10"/>
  <c r="Z17" i="10"/>
  <c r="AE17" i="10"/>
  <c r="AJ17" i="10"/>
  <c r="AO17" i="10"/>
  <c r="AR17" i="10"/>
  <c r="AV17" i="10"/>
  <c r="Z19" i="10"/>
  <c r="AE19" i="10"/>
  <c r="AJ19" i="10"/>
  <c r="AO19" i="10"/>
  <c r="AR19" i="10"/>
  <c r="AV19" i="10"/>
  <c r="K17" i="10"/>
  <c r="J15" i="10"/>
  <c r="J19" i="10"/>
  <c r="H17" i="10"/>
  <c r="G17" i="10"/>
  <c r="F15" i="10"/>
  <c r="F19" i="10"/>
  <c r="D17" i="10"/>
  <c r="V15" i="10"/>
  <c r="V19" i="10"/>
  <c r="J10" i="10"/>
  <c r="H10" i="10"/>
  <c r="D10" i="10"/>
  <c r="AN10" i="10"/>
  <c r="I10" i="10"/>
  <c r="E10" i="10"/>
  <c r="U10" i="10"/>
  <c r="AY19" i="10"/>
  <c r="AT19" i="10"/>
  <c r="AP19" i="10"/>
  <c r="AB19" i="10"/>
  <c r="AW17" i="10"/>
  <c r="AL17" i="10"/>
  <c r="AF17" i="10"/>
  <c r="AY15" i="10"/>
  <c r="AT15" i="10"/>
  <c r="AP15" i="10"/>
  <c r="AB15" i="10"/>
  <c r="AY11" i="10"/>
  <c r="AS7" i="10"/>
  <c r="AK7" i="10"/>
  <c r="AA7" i="10"/>
  <c r="R15" i="10"/>
  <c r="R7" i="10"/>
  <c r="U17" i="10"/>
  <c r="V17" i="10"/>
  <c r="V10" i="10"/>
  <c r="Y7" i="10"/>
  <c r="D19" i="10"/>
  <c r="G19" i="10"/>
  <c r="H15" i="10"/>
  <c r="H7" i="10"/>
  <c r="I7" i="10"/>
  <c r="K15" i="10"/>
  <c r="AX19" i="10"/>
  <c r="AS19" i="10"/>
  <c r="AN19" i="10"/>
  <c r="AG19" i="10"/>
  <c r="AA19" i="10"/>
  <c r="AU17" i="10"/>
  <c r="AQ17" i="10"/>
  <c r="AK17" i="10"/>
  <c r="AD17" i="10"/>
  <c r="AX15" i="10"/>
  <c r="AS15" i="10"/>
  <c r="AN15" i="10"/>
  <c r="AG15" i="10"/>
  <c r="AA15" i="10"/>
  <c r="AW11" i="10"/>
  <c r="AF11" i="10"/>
  <c r="AD10" i="10"/>
  <c r="R19" i="10"/>
  <c r="S7" i="10"/>
  <c r="U7" i="10"/>
  <c r="B7" i="10"/>
  <c r="H19" i="10"/>
  <c r="K19" i="10"/>
  <c r="L7" i="10"/>
  <c r="AW19" i="10"/>
  <c r="AL19" i="10"/>
  <c r="AF19" i="10"/>
  <c r="AY17" i="10"/>
  <c r="AT17" i="10"/>
  <c r="AP17" i="10"/>
  <c r="AB17" i="10"/>
  <c r="AW15" i="10"/>
  <c r="AL15" i="10"/>
  <c r="AF15" i="10"/>
  <c r="AY10" i="10"/>
  <c r="Y17" i="10"/>
  <c r="E17" i="10"/>
  <c r="F17" i="10"/>
  <c r="L15" i="10"/>
  <c r="L11" i="10"/>
  <c r="B11" i="10"/>
  <c r="S11" i="10"/>
  <c r="AA11" i="10"/>
  <c r="AK11" i="10"/>
  <c r="AS11" i="10"/>
  <c r="AA13" i="10"/>
  <c r="AK13" i="10"/>
  <c r="AS13" i="10"/>
  <c r="D35" i="10"/>
  <c r="K13" i="10"/>
  <c r="G13" i="10"/>
  <c r="AD11" i="10"/>
  <c r="AN11" i="10"/>
  <c r="AU11" i="10"/>
  <c r="AD13" i="10"/>
  <c r="AN13" i="10"/>
  <c r="AU13" i="10"/>
  <c r="V7" i="10"/>
  <c r="AB7" i="10"/>
  <c r="AG7" i="10"/>
  <c r="AL7" i="10"/>
  <c r="AQ7" i="10"/>
  <c r="AT7" i="10"/>
  <c r="AX7" i="10"/>
  <c r="B34" i="10"/>
  <c r="L9" i="10" s="1"/>
  <c r="K7" i="10"/>
  <c r="J7" i="10"/>
  <c r="G7" i="10"/>
  <c r="F7" i="10"/>
  <c r="AD7" i="10"/>
  <c r="AN7" i="10"/>
  <c r="AU7" i="10"/>
  <c r="AY7" i="10"/>
  <c r="AF9" i="10"/>
  <c r="AZ14" i="10"/>
  <c r="AZ12" i="10"/>
  <c r="N25" i="10"/>
  <c r="O25" i="10"/>
  <c r="AX13" i="10"/>
  <c r="AT13" i="10"/>
  <c r="AQ13" i="10"/>
  <c r="AL13" i="10"/>
  <c r="AG13" i="10"/>
  <c r="AB13" i="10"/>
  <c r="AX11" i="10"/>
  <c r="AT11" i="10"/>
  <c r="AQ11" i="10"/>
  <c r="AL11" i="10"/>
  <c r="AG11" i="10"/>
  <c r="AB11" i="10"/>
  <c r="AV10" i="10"/>
  <c r="AO10" i="10"/>
  <c r="AE10" i="10"/>
  <c r="R11" i="10"/>
  <c r="U13" i="10"/>
  <c r="V11" i="10"/>
  <c r="X23" i="10"/>
  <c r="Y10" i="10"/>
  <c r="D11" i="10"/>
  <c r="E13" i="10"/>
  <c r="F11" i="10"/>
  <c r="H13" i="10"/>
  <c r="I11" i="10"/>
  <c r="J13" i="10"/>
  <c r="L13" i="10"/>
  <c r="L10" i="10"/>
  <c r="N26" i="10"/>
  <c r="O26" i="10"/>
  <c r="P25" i="10"/>
  <c r="Q25" i="10"/>
  <c r="Q27" i="10" s="1"/>
  <c r="AV13" i="10"/>
  <c r="AR13" i="10"/>
  <c r="AO13" i="10"/>
  <c r="AJ13" i="10"/>
  <c r="AE13" i="10"/>
  <c r="Z13" i="10"/>
  <c r="AV11" i="10"/>
  <c r="AR11" i="10"/>
  <c r="AO11" i="10"/>
  <c r="AJ11" i="10"/>
  <c r="AE11" i="10"/>
  <c r="Z11" i="10"/>
  <c r="AR10" i="10"/>
  <c r="AJ10" i="10"/>
  <c r="Z10" i="10"/>
  <c r="R13" i="10"/>
  <c r="U11" i="10"/>
  <c r="V13" i="10"/>
  <c r="D13" i="10"/>
  <c r="E11" i="10"/>
  <c r="F13" i="10"/>
  <c r="AZ8" i="10"/>
  <c r="H11" i="10"/>
  <c r="I13" i="10"/>
  <c r="J11" i="10"/>
  <c r="P26" i="10"/>
  <c r="AX10" i="10"/>
  <c r="AT10" i="10"/>
  <c r="AQ10" i="10"/>
  <c r="AL10" i="10"/>
  <c r="AG10" i="10"/>
  <c r="AB10" i="10"/>
  <c r="S10" i="10"/>
  <c r="G10" i="10"/>
  <c r="K10" i="10"/>
  <c r="AW10" i="10"/>
  <c r="AS10" i="10"/>
  <c r="AP10" i="10"/>
  <c r="AK10" i="10"/>
  <c r="AF10" i="10"/>
  <c r="AA10" i="10"/>
  <c r="R10" i="10"/>
  <c r="B10" i="10"/>
  <c r="F10" i="10"/>
  <c r="U6" i="8"/>
  <c r="AQ6" i="8"/>
  <c r="AS6" i="8"/>
  <c r="AU6" i="8"/>
  <c r="AV6" i="8"/>
  <c r="AJ6" i="8"/>
  <c r="M6" i="8"/>
  <c r="E6" i="8"/>
  <c r="I6" i="8"/>
  <c r="AN6" i="8"/>
  <c r="AP6" i="8"/>
  <c r="J6" i="8"/>
  <c r="D6" i="8"/>
  <c r="F6" i="8"/>
  <c r="S6" i="8"/>
  <c r="AT6" i="8"/>
  <c r="O6" i="8"/>
  <c r="W6" i="8"/>
  <c r="B6" i="8"/>
  <c r="P6" i="8"/>
  <c r="X6" i="8"/>
  <c r="L6" i="8"/>
  <c r="AK6" i="8"/>
  <c r="N6" i="8"/>
  <c r="G6" i="8"/>
  <c r="AO6" i="8"/>
  <c r="AR6" i="8"/>
  <c r="T6" i="8"/>
  <c r="K6" i="8"/>
  <c r="W2" i="4"/>
  <c r="AW2" i="4"/>
  <c r="S9" i="10" l="1"/>
  <c r="J9" i="10"/>
  <c r="AT9" i="10"/>
  <c r="AO9" i="10"/>
  <c r="AO27" i="10" s="1"/>
  <c r="AN9" i="10"/>
  <c r="AN27" i="10" s="1"/>
  <c r="AZ16" i="10"/>
  <c r="AZ18" i="10"/>
  <c r="AZ20" i="10"/>
  <c r="AB9" i="10"/>
  <c r="AB27" i="10" s="1"/>
  <c r="G9" i="10"/>
  <c r="G27" i="10" s="1"/>
  <c r="AP9" i="10"/>
  <c r="AZ19" i="10"/>
  <c r="AG9" i="10"/>
  <c r="AG27" i="10" s="1"/>
  <c r="AX9" i="10"/>
  <c r="AX27" i="10" s="1"/>
  <c r="Z9" i="10"/>
  <c r="K9" i="10"/>
  <c r="K27" i="10" s="1"/>
  <c r="E9" i="10"/>
  <c r="F9" i="10"/>
  <c r="F27" i="10" s="1"/>
  <c r="AV9" i="10"/>
  <c r="AV27" i="10" s="1"/>
  <c r="Y9" i="10"/>
  <c r="R9" i="10"/>
  <c r="R27" i="10" s="1"/>
  <c r="AL9" i="10"/>
  <c r="B9" i="10"/>
  <c r="B27" i="10" s="1"/>
  <c r="AJ9" i="10"/>
  <c r="AJ27" i="10" s="1"/>
  <c r="I9" i="10"/>
  <c r="I27" i="10" s="1"/>
  <c r="D9" i="10"/>
  <c r="D27" i="10" s="1"/>
  <c r="AU9" i="10"/>
  <c r="AU27" i="10" s="1"/>
  <c r="U9" i="10"/>
  <c r="U27" i="10" s="1"/>
  <c r="AK9" i="10"/>
  <c r="AK27" i="10" s="1"/>
  <c r="AW9" i="10"/>
  <c r="AW27" i="10" s="1"/>
  <c r="D34" i="10"/>
  <c r="AQ9" i="10"/>
  <c r="AQ27" i="10" s="1"/>
  <c r="V9" i="10"/>
  <c r="V27" i="10" s="1"/>
  <c r="AR9" i="10"/>
  <c r="AR27" i="10" s="1"/>
  <c r="H9" i="10"/>
  <c r="H27" i="10" s="1"/>
  <c r="AD9" i="10"/>
  <c r="AD27" i="10" s="1"/>
  <c r="AY9" i="10"/>
  <c r="AE9" i="10"/>
  <c r="AE27" i="10" s="1"/>
  <c r="AA9" i="10"/>
  <c r="AS9" i="10"/>
  <c r="AS27" i="10" s="1"/>
  <c r="AZ7" i="10"/>
  <c r="AZ15" i="10"/>
  <c r="AZ17" i="10"/>
  <c r="AY27" i="10"/>
  <c r="Y27" i="10"/>
  <c r="AA27" i="10"/>
  <c r="AF27" i="10"/>
  <c r="S27" i="10"/>
  <c r="L27" i="10"/>
  <c r="AL27" i="10"/>
  <c r="AP27" i="10"/>
  <c r="J27" i="10"/>
  <c r="AT27" i="10"/>
  <c r="E27" i="10"/>
  <c r="AZ26" i="10"/>
  <c r="AZ11" i="10"/>
  <c r="X27" i="10"/>
  <c r="AZ23" i="10"/>
  <c r="AZ25" i="10"/>
  <c r="N27" i="10"/>
  <c r="P27" i="10"/>
  <c r="AZ13" i="10"/>
  <c r="Z27" i="10"/>
  <c r="O27" i="10"/>
  <c r="AZ10" i="10"/>
  <c r="AZ9" i="10" l="1"/>
  <c r="AZ27" i="10" s="1"/>
</calcChain>
</file>

<file path=xl/sharedStrings.xml><?xml version="1.0" encoding="utf-8"?>
<sst xmlns="http://schemas.openxmlformats.org/spreadsheetml/2006/main" count="616" uniqueCount="230">
  <si>
    <t>Domain</t>
  </si>
  <si>
    <t>core [MB]</t>
  </si>
  <si>
    <t>tier1 [MB]</t>
  </si>
  <si>
    <t>AFR-44*</t>
  </si>
  <si>
    <t>EUR-11*</t>
  </si>
  <si>
    <t>MED-44**</t>
  </si>
  <si>
    <t>*size estimated from CORDEX data already produced (uncompressed)</t>
  </si>
  <si>
    <t>** size estimated from that of AFR-44 data multiplied with the ratio of the grid sizes</t>
  </si>
  <si>
    <t>core+tier1[MB]</t>
  </si>
  <si>
    <r>
      <t xml:space="preserve">Total </t>
    </r>
    <r>
      <rPr>
        <sz val="11"/>
        <color rgb="FFFF0000"/>
        <rFont val="Calibri"/>
        <family val="2"/>
        <scheme val="minor"/>
      </rPr>
      <t>[TB]</t>
    </r>
  </si>
  <si>
    <r>
      <t>Disk usage of CORDEX data</t>
    </r>
    <r>
      <rPr>
        <sz val="11"/>
        <color rgb="FFFF0000"/>
        <rFont val="Calibri"/>
        <family val="2"/>
        <scheme val="minor"/>
      </rPr>
      <t xml:space="preserve"> </t>
    </r>
    <r>
      <rPr>
        <sz val="11"/>
        <color rgb="FF0070C0"/>
        <rFont val="Calibri"/>
        <family val="2"/>
        <scheme val="minor"/>
      </rPr>
      <t>per year</t>
    </r>
  </si>
  <si>
    <r>
      <t xml:space="preserve">AFR-44 core   </t>
    </r>
    <r>
      <rPr>
        <sz val="11"/>
        <color rgb="FF00B050"/>
        <rFont val="Calibri"/>
        <family val="2"/>
        <scheme val="minor"/>
      </rPr>
      <t>[GB]</t>
    </r>
  </si>
  <si>
    <r>
      <t xml:space="preserve">AFR-44 tier1   </t>
    </r>
    <r>
      <rPr>
        <sz val="11"/>
        <color rgb="FF00B050"/>
        <rFont val="Calibri"/>
        <family val="2"/>
        <scheme val="minor"/>
      </rPr>
      <t>[GB]</t>
    </r>
  </si>
  <si>
    <r>
      <t xml:space="preserve">AFR-22 core   </t>
    </r>
    <r>
      <rPr>
        <sz val="11"/>
        <color rgb="FF00B050"/>
        <rFont val="Calibri"/>
        <family val="2"/>
        <scheme val="minor"/>
      </rPr>
      <t>[GB]</t>
    </r>
  </si>
  <si>
    <r>
      <t xml:space="preserve">AFR-22 tier1   </t>
    </r>
    <r>
      <rPr>
        <sz val="11"/>
        <color rgb="FF00B050"/>
        <rFont val="Calibri"/>
        <family val="2"/>
        <scheme val="minor"/>
      </rPr>
      <t>[GB]</t>
    </r>
  </si>
  <si>
    <t>AFR-22*</t>
  </si>
  <si>
    <t>Total 
per Domain</t>
  </si>
  <si>
    <r>
      <t xml:space="preserve">MED-44 core </t>
    </r>
    <r>
      <rPr>
        <sz val="11"/>
        <color rgb="FF00B050"/>
        <rFont val="Calibri"/>
        <family val="2"/>
        <scheme val="minor"/>
      </rPr>
      <t>[GB]</t>
    </r>
  </si>
  <si>
    <r>
      <t xml:space="preserve">MED-22 core </t>
    </r>
    <r>
      <rPr>
        <sz val="11"/>
        <color rgb="FF00B050"/>
        <rFont val="Calibri"/>
        <family val="2"/>
        <scheme val="minor"/>
      </rPr>
      <t>[GB]</t>
    </r>
  </si>
  <si>
    <t>RCM name 
(CORDEX CV)</t>
  </si>
  <si>
    <t>HIRHAM5</t>
  </si>
  <si>
    <t>DKRZ</t>
  </si>
  <si>
    <t>DMI</t>
  </si>
  <si>
    <t>ETH</t>
  </si>
  <si>
    <t>WRF331</t>
  </si>
  <si>
    <t>RCA4</t>
  </si>
  <si>
    <t>ALADIN52</t>
  </si>
  <si>
    <t>RM3</t>
  </si>
  <si>
    <t>CanRCM4</t>
  </si>
  <si>
    <t>CCAM</t>
  </si>
  <si>
    <t>GFDL</t>
  </si>
  <si>
    <t>UQAM</t>
  </si>
  <si>
    <t>UM</t>
  </si>
  <si>
    <t>UHOH</t>
  </si>
  <si>
    <t>UCLM</t>
  </si>
  <si>
    <t>UCD</t>
  </si>
  <si>
    <t>CRP-GL</t>
  </si>
  <si>
    <t>GISS</t>
  </si>
  <si>
    <t>ICTP</t>
  </si>
  <si>
    <t>CNRM</t>
  </si>
  <si>
    <t>CHMI</t>
  </si>
  <si>
    <t>Data providing  center</t>
  </si>
  <si>
    <t>SMHI</t>
  </si>
  <si>
    <r>
      <t xml:space="preserve">EUR-44 core  </t>
    </r>
    <r>
      <rPr>
        <sz val="11"/>
        <color rgb="FF00B050"/>
        <rFont val="Calibri"/>
        <family val="2"/>
        <scheme val="minor"/>
      </rPr>
      <t>[GB]</t>
    </r>
  </si>
  <si>
    <r>
      <t xml:space="preserve">EUR-44 tier1  </t>
    </r>
    <r>
      <rPr>
        <sz val="11"/>
        <color rgb="FF00B050"/>
        <rFont val="Calibri"/>
        <family val="2"/>
        <scheme val="minor"/>
      </rPr>
      <t>[GB]</t>
    </r>
  </si>
  <si>
    <t>BCCR</t>
  </si>
  <si>
    <t>IDL</t>
  </si>
  <si>
    <t>HMS</t>
  </si>
  <si>
    <t>DHMZ</t>
  </si>
  <si>
    <t xml:space="preserve">CLMcom </t>
  </si>
  <si>
    <t>CLMcom</t>
  </si>
  <si>
    <t>CUNI</t>
  </si>
  <si>
    <t>KNMI</t>
  </si>
  <si>
    <t>MOHC</t>
  </si>
  <si>
    <t>CSIR</t>
  </si>
  <si>
    <t>KAUST</t>
  </si>
  <si>
    <t>NUIM</t>
  </si>
  <si>
    <t>Contact</t>
  </si>
  <si>
    <t>CCLM4-8-17</t>
  </si>
  <si>
    <r>
      <rPr>
        <sz val="11"/>
        <rFont val="Calibri"/>
        <family val="2"/>
        <scheme val="minor"/>
      </rPr>
      <t>Total</t>
    </r>
    <r>
      <rPr>
        <sz val="11"/>
        <color rgb="FFFF0000"/>
        <rFont val="Calibri"/>
        <family val="2"/>
        <scheme val="minor"/>
      </rPr>
      <t xml:space="preserve"> </t>
    </r>
    <r>
      <rPr>
        <sz val="11"/>
        <rFont val="Calibri"/>
        <family val="2"/>
        <scheme val="minor"/>
      </rPr>
      <t>per</t>
    </r>
    <r>
      <rPr>
        <sz val="11"/>
        <color rgb="FFFF0000"/>
        <rFont val="Calibri"/>
        <family val="2"/>
        <scheme val="minor"/>
      </rPr>
      <t xml:space="preserve"> </t>
    </r>
    <r>
      <rPr>
        <sz val="11"/>
        <rFont val="Calibri"/>
        <family val="2"/>
        <scheme val="minor"/>
      </rPr>
      <t>model</t>
    </r>
    <r>
      <rPr>
        <sz val="11"/>
        <color rgb="FFFF0000"/>
        <rFont val="Calibri"/>
        <family val="2"/>
        <scheme val="minor"/>
      </rPr>
      <t xml:space="preserve"> [TB]</t>
    </r>
  </si>
  <si>
    <t>Michael/
Grigory</t>
  </si>
  <si>
    <t>WEGC</t>
  </si>
  <si>
    <t>S. Legutke
legutke@dkrz.de</t>
  </si>
  <si>
    <t>O.B.Christensen
obc@dmi.d</t>
  </si>
  <si>
    <t>URL, path etc. to data**</t>
  </si>
  <si>
    <t>Australia</t>
  </si>
  <si>
    <t>South America</t>
  </si>
  <si>
    <r>
      <t xml:space="preserve">EUR-44 tier1   </t>
    </r>
    <r>
      <rPr>
        <sz val="11"/>
        <color rgb="FF00B050"/>
        <rFont val="Calibri"/>
        <family val="2"/>
        <scheme val="minor"/>
      </rPr>
      <t>[GB]</t>
    </r>
  </si>
  <si>
    <r>
      <t xml:space="preserve">EUR-11 core   </t>
    </r>
    <r>
      <rPr>
        <sz val="11"/>
        <color rgb="FF00B050"/>
        <rFont val="Calibri"/>
        <family val="2"/>
        <scheme val="minor"/>
      </rPr>
      <t>[GB]</t>
    </r>
  </si>
  <si>
    <r>
      <t xml:space="preserve">MED-22 core  </t>
    </r>
    <r>
      <rPr>
        <sz val="11"/>
        <color rgb="FF00B050"/>
        <rFont val="Calibri"/>
        <family val="2"/>
        <scheme val="minor"/>
      </rPr>
      <t>[GB]</t>
    </r>
  </si>
  <si>
    <r>
      <t xml:space="preserve">MED-22 tier1  </t>
    </r>
    <r>
      <rPr>
        <sz val="11"/>
        <color rgb="FF00B050"/>
        <rFont val="Calibri"/>
        <family val="2"/>
        <scheme val="minor"/>
      </rPr>
      <t>[GB]</t>
    </r>
  </si>
  <si>
    <r>
      <t xml:space="preserve">MED-11 core  </t>
    </r>
    <r>
      <rPr>
        <sz val="11"/>
        <color rgb="FF00B050"/>
        <rFont val="Calibri"/>
        <family val="2"/>
        <scheme val="minor"/>
      </rPr>
      <t>[GB]</t>
    </r>
  </si>
  <si>
    <r>
      <t xml:space="preserve">MED-11 tier1   </t>
    </r>
    <r>
      <rPr>
        <sz val="11"/>
        <color rgb="FF00B050"/>
        <rFont val="Calibri"/>
        <family val="2"/>
        <scheme val="minor"/>
      </rPr>
      <t>[GB]</t>
    </r>
  </si>
  <si>
    <r>
      <t xml:space="preserve">MED-44 tier1  </t>
    </r>
    <r>
      <rPr>
        <sz val="11"/>
        <color rgb="FF00B050"/>
        <rFont val="Calibri"/>
        <family val="2"/>
        <scheme val="minor"/>
      </rPr>
      <t>[GB]</t>
    </r>
  </si>
  <si>
    <r>
      <t xml:space="preserve">EUR-11 tier1    </t>
    </r>
    <r>
      <rPr>
        <sz val="11"/>
        <color rgb="FF00B050"/>
        <rFont val="Calibri"/>
        <family val="2"/>
        <scheme val="minor"/>
      </rPr>
      <t>[GB]</t>
    </r>
  </si>
  <si>
    <r>
      <t xml:space="preserve">MED-44 tier1  </t>
    </r>
    <r>
      <rPr>
        <sz val="11"/>
        <color rgb="FF00B050"/>
        <rFont val="Calibri"/>
        <family val="2"/>
        <scheme val="minor"/>
      </rPr>
      <t xml:space="preserve">[GB] </t>
    </r>
  </si>
  <si>
    <r>
      <t xml:space="preserve">MED-11 core   </t>
    </r>
    <r>
      <rPr>
        <sz val="11"/>
        <color rgb="FF00B050"/>
        <rFont val="Calibri"/>
        <family val="2"/>
        <scheme val="minor"/>
      </rPr>
      <t>[GB]</t>
    </r>
  </si>
  <si>
    <t>X</t>
  </si>
  <si>
    <t>edouard.davin
@env.ethz.ch</t>
  </si>
  <si>
    <t>conor.sweeney
@ucd.ie</t>
  </si>
  <si>
    <t>Burkhardt.Rockel
@hzg.de</t>
  </si>
  <si>
    <t>sven.kotlarski
@env.ethz.ch</t>
  </si>
  <si>
    <t>heimo.truhetz
@uni-graz.at</t>
  </si>
  <si>
    <r>
      <t xml:space="preserve">AFR-44 core   </t>
    </r>
    <r>
      <rPr>
        <sz val="11"/>
        <color rgb="FF00B050"/>
        <rFont val="Calibri"/>
        <family val="2"/>
        <scheme val="minor"/>
      </rPr>
      <t>[GB]*</t>
    </r>
  </si>
  <si>
    <t xml:space="preserve">* the data volume is for each domain/resolution and RCM calculated as a sum of 3 summands (of which the first is the product of the number of realisations by the length of the historical simulation (56 by default), the second is the product of the number of simulations by the length of the RCP experiments (all RCPs and realisations), the third  is the length of the evaluation experiment in years) multiplied by the data volume per year. Note that for each RCM version there has to be exactly one evaluation run for each domain-resolution. The table is giving the volume of uncompressed data.  NetCDF-4 compressed data volume is about half the volume of the uncompressed data. 
</t>
  </si>
  <si>
    <t>** it was proposed to have this bit of information in the table; leave it empty if it causes problems to specify</t>
  </si>
  <si>
    <t xml:space="preserve">RCM name </t>
  </si>
  <si>
    <t>model_id</t>
  </si>
  <si>
    <t>institute_id</t>
  </si>
  <si>
    <t>samuel.somot
@meteo.fr</t>
  </si>
  <si>
    <t>Petr Skalak
skalak@chmi.cz</t>
  </si>
  <si>
    <r>
      <rPr>
        <b/>
        <sz val="18"/>
        <color theme="1"/>
        <rFont val="Calibri"/>
        <family val="2"/>
        <scheme val="minor"/>
      </rPr>
      <t>Expected data volume to be published by the ESGF (core+tier1)</t>
    </r>
    <r>
      <rPr>
        <sz val="12"/>
        <rFont val="Calibri"/>
        <family val="2"/>
        <scheme val="minor"/>
      </rPr>
      <t xml:space="preserve">
</t>
    </r>
  </si>
  <si>
    <t>Controlled Vocabulary of RCM names and institute names involved in Euro-CORDEX, Africa-CORDEX, or Mediterranean-CORDEX</t>
  </si>
  <si>
    <t>CRCM5</t>
  </si>
  <si>
    <t>PROMES</t>
  </si>
  <si>
    <t>RegCM4-3</t>
  </si>
  <si>
    <t>Comments</t>
  </si>
  <si>
    <t>RACMO22T</t>
  </si>
  <si>
    <t>carlo.buontempo
@metoffice.gov.uk</t>
  </si>
  <si>
    <t xml:space="preserve"> </t>
  </si>
  <si>
    <t>andreas.haensler
@hzg.de</t>
  </si>
  <si>
    <t>alberto.elizalde
@zmaw.de</t>
  </si>
  <si>
    <t>GKSS</t>
  </si>
  <si>
    <t>Annette.Rinke
@awi.de</t>
  </si>
  <si>
    <t>AWI</t>
  </si>
  <si>
    <t>ARC-44</t>
  </si>
  <si>
    <r>
      <t>ARC-44 tier1</t>
    </r>
    <r>
      <rPr>
        <sz val="11"/>
        <color rgb="FF00B050"/>
        <rFont val="Calibri"/>
        <family val="2"/>
        <scheme val="minor"/>
      </rPr>
      <t xml:space="preserve"> [GB]</t>
    </r>
  </si>
  <si>
    <r>
      <t xml:space="preserve">ARC-44 core </t>
    </r>
    <r>
      <rPr>
        <sz val="11"/>
        <color rgb="FF00B050"/>
        <rFont val="Calibri"/>
        <family val="2"/>
        <scheme val="minor"/>
      </rPr>
      <t>[GB]</t>
    </r>
  </si>
  <si>
    <t>Ralf.Doescher
@smhi.se</t>
  </si>
  <si>
    <t>RCAO</t>
  </si>
  <si>
    <t>ANT-44</t>
  </si>
  <si>
    <t>RACMO21P</t>
  </si>
  <si>
    <r>
      <t xml:space="preserve">ANT-44 core </t>
    </r>
    <r>
      <rPr>
        <sz val="11"/>
        <color rgb="FF00B050"/>
        <rFont val="Calibri"/>
        <family val="2"/>
        <scheme val="minor"/>
      </rPr>
      <t>[GB]</t>
    </r>
  </si>
  <si>
    <r>
      <t>ANT-44 tier1</t>
    </r>
    <r>
      <rPr>
        <sz val="11"/>
        <color rgb="FF00B050"/>
        <rFont val="Calibri"/>
        <family val="2"/>
        <scheme val="minor"/>
      </rPr>
      <t xml:space="preserve"> [GB]</t>
    </r>
  </si>
  <si>
    <t>HadGEM3-RA</t>
  </si>
  <si>
    <t>RCAO-SN</t>
  </si>
  <si>
    <t>RCA4-SN</t>
  </si>
  <si>
    <t>Erik van Meijgaard 
vanmeijg@knmi.nl</t>
  </si>
  <si>
    <t>confirmed by 
Erik van M.</t>
  </si>
  <si>
    <t>confirmed by AFR domain community
and Erik van M.</t>
  </si>
  <si>
    <t>CCCma</t>
  </si>
  <si>
    <t>MPI-CSC</t>
  </si>
  <si>
    <t>EUR data</t>
  </si>
  <si>
    <t>AFR data</t>
  </si>
  <si>
    <t>REMO2009</t>
  </si>
  <si>
    <t>MED data</t>
  </si>
  <si>
    <t>Additional comments</t>
  </si>
  <si>
    <t>confirmed by Daniela J.;
-11/other resolution:
rcm_version_id
='radv'/'1'</t>
  </si>
  <si>
    <t>HadRM3P</t>
  </si>
  <si>
    <t>Michel.DEQUE
@meteo.fr</t>
  </si>
  <si>
    <t>ARPEGE52</t>
  </si>
  <si>
    <t>confirmed by 
Samuel S.</t>
  </si>
  <si>
    <t>confirmed by 
Petr S.</t>
  </si>
  <si>
    <t>Gabriella Szepszo szepszo.g@met.hu
Ilona Krüzselyi
kruzselyi.i@met.hu</t>
  </si>
  <si>
    <t>RegCM4-2</t>
  </si>
  <si>
    <t>ivan.guettler @gmail.com
Cedo Brankovic</t>
  </si>
  <si>
    <t>WRF331C</t>
  </si>
  <si>
    <t>WRF331A</t>
  </si>
  <si>
    <t>WRF331D</t>
  </si>
  <si>
    <t>WRF331F</t>
  </si>
  <si>
    <t>UCAN</t>
  </si>
  <si>
    <t>WRF331G</t>
  </si>
  <si>
    <t>WRF331H</t>
  </si>
  <si>
    <t>MIUB</t>
  </si>
  <si>
    <t>AUTH-Met</t>
  </si>
  <si>
    <t>AUTH-LHTEE</t>
  </si>
  <si>
    <t>WRF321B</t>
  </si>
  <si>
    <t>WRF350I</t>
  </si>
  <si>
    <t>RACMO22E</t>
  </si>
  <si>
    <t>CSC</t>
  </si>
  <si>
    <t>MPI-M</t>
  </si>
  <si>
    <t>ToU</t>
  </si>
  <si>
    <t>* CV: free, non-commercial</t>
  </si>
  <si>
    <t>Terms of Use(ToU)*</t>
  </si>
  <si>
    <t>confirmed by 
O.C.</t>
  </si>
  <si>
    <t>confirmed by
Ralph D.</t>
  </si>
  <si>
    <t>confirmed by 
Gabriella</t>
  </si>
  <si>
    <t>confirmed by
Ivan G.</t>
  </si>
  <si>
    <t>confirmed by 
Marc E.</t>
  </si>
  <si>
    <t>confirmed by 
Jesus and Eleni</t>
  </si>
  <si>
    <t>confirmed by
Anette R.</t>
  </si>
  <si>
    <t>confirmed by 
Klaus K.,
Hans-Jürgen P.,
Burkhardt R.</t>
  </si>
  <si>
    <t>confirmed by
Marta Dominguez</t>
  </si>
  <si>
    <r>
      <rPr>
        <b/>
        <sz val="18"/>
        <color theme="1"/>
        <rFont val="Calibri"/>
        <family val="2"/>
        <scheme val="minor"/>
      </rPr>
      <t>Information about CORDEX activities of which the data shall be published by the ESGF (core+tier1) supported by IS-ENES II</t>
    </r>
    <r>
      <rPr>
        <sz val="12"/>
        <rFont val="Calibri"/>
        <family val="2"/>
        <scheme val="minor"/>
      </rPr>
      <t xml:space="preserve">
The workbook does not include information about activities of which the data shall not be published in the CORDEX ESGF archives.
It does include information about RCM models and modelling centers downscaling over the AFR, EUR, MED, ANT, and ARC planning to publish
the data in (one of) the CORDEX ESGF archives at DMI, SMHI, BADC, IPSL, or DKRZ.
</t>
    </r>
  </si>
  <si>
    <t>IPSL-INERIS</t>
  </si>
  <si>
    <t>IPSL/INERIS</t>
  </si>
  <si>
    <t>confirmed by
Robert V.</t>
  </si>
  <si>
    <t>institution
(long version)</t>
  </si>
  <si>
    <t>Climate Limited-area Modelling Community (CLM-Community)</t>
  </si>
  <si>
    <t>Royal Netherlands Meteorological Institute, De Bilt, The Netherlands</t>
  </si>
  <si>
    <t>Swedish Meteorological and Hydrological Institute, Rossby Centre</t>
  </si>
  <si>
    <t>University of Castilla-La Mancha, Toledo, Spain</t>
  </si>
  <si>
    <t>Helmholtz-Zentrum Geesthacht, Climate Service Center, Max Planck Institute for Meteorology</t>
  </si>
  <si>
    <t>claas.teichmann
@zmaw.de
lennart.marien@hzg.de</t>
  </si>
  <si>
    <t>ENEA</t>
  </si>
  <si>
    <t>WRF341E</t>
  </si>
  <si>
    <t>unrestricted</t>
  </si>
  <si>
    <t>CCCma (Canadian Centre for Climate Modelling and Analysis, Victoria, BC, Canada)</t>
  </si>
  <si>
    <t>John.Scinocca
@ec.gc.ca</t>
  </si>
  <si>
    <t>Universite du Quebec a Montreal</t>
  </si>
  <si>
    <t>Winger.Katja
@uqam.ca</t>
  </si>
  <si>
    <t>non-commercial only</t>
  </si>
  <si>
    <t>institution</t>
  </si>
  <si>
    <t>Input has to be filled into sheet 'AllEntries' !</t>
  </si>
  <si>
    <r>
      <rPr>
        <b/>
        <sz val="16"/>
        <rFont val="Calibri"/>
        <family val="2"/>
        <scheme val="minor"/>
      </rPr>
      <t>Information about CORDEX activities of which the data shall be published by the ESGF (core+tier1).</t>
    </r>
    <r>
      <rPr>
        <sz val="12"/>
        <rFont val="Calibri"/>
        <family val="2"/>
        <scheme val="minor"/>
      </rPr>
      <t xml:space="preserve">
</t>
    </r>
    <r>
      <rPr>
        <sz val="12"/>
        <color rgb="FFFF0000"/>
        <rFont val="Calibri"/>
        <family val="2"/>
        <scheme val="minor"/>
      </rPr>
      <t>This is the sheet where info has to be filled in! All other sheets link to the values in here !</t>
    </r>
  </si>
  <si>
    <t>RCM
institute_id</t>
  </si>
  <si>
    <t>confirmed</t>
  </si>
  <si>
    <t>Status</t>
  </si>
  <si>
    <t>Meteorological and Hydrological Service of Croatia</t>
  </si>
  <si>
    <t>Met Office Hadley Centre</t>
  </si>
  <si>
    <t>Centre National de Recherches Meteorologiques</t>
  </si>
  <si>
    <t>Bjerknes Centre for Climate Research</t>
  </si>
  <si>
    <t>Hungarian Meteorological Service</t>
  </si>
  <si>
    <t>Modeling Center</t>
  </si>
  <si>
    <t>Model</t>
  </si>
  <si>
    <t>Institution</t>
  </si>
  <si>
    <t>Terms of Use</t>
  </si>
  <si>
    <t>domain with published data</t>
  </si>
  <si>
    <t>EUR-11</t>
  </si>
  <si>
    <t>Domains</t>
  </si>
  <si>
    <t>EUR-44</t>
  </si>
  <si>
    <t>Alfred Wegener Institute, Helmholtz Centre for Polar and Marine Research</t>
  </si>
  <si>
    <t xml:space="preserve"> Abdus Salam International Centre for Theoretical Physics</t>
  </si>
  <si>
    <t>Erika Coppola coppolae@ictp.it</t>
  </si>
  <si>
    <t>Italian National Agency for New Technologies, Energy and Sustainable Economic Development</t>
  </si>
  <si>
    <t>Sandro Calmanti sandro.calmanti
@enea.it</t>
  </si>
  <si>
    <t>EUR-44, EUR-44i</t>
  </si>
  <si>
    <t>AFR-44</t>
  </si>
  <si>
    <t>AFR-44 AFR-44i EUR-44 EUR-44i EUR-11 EUR-11i NAM-44 NAM-44i</t>
  </si>
  <si>
    <t>AFR-44 AFR-44i  AUS-44 AUS-44i EAS-44 EAS-44i  EUR-44 EUR-44i</t>
  </si>
  <si>
    <t>ANT-44 ANT-44i</t>
  </si>
  <si>
    <t>EUR-44 EUR-44i EUR-11</t>
  </si>
  <si>
    <t>AFR-44 AFR-44i</t>
  </si>
  <si>
    <t>AFR-44 AFR-44i ARC-44 ARC-44i EUR-11 EUR-11i EUR-44 EUR-44i MNA-22 MNA-22i MNA-44 MNA-44i NAM-44 NAM-44i SAM-44 SAM-44i WAS-44 WAS-44i</t>
  </si>
  <si>
    <t>ARC-44 ARC-44i</t>
  </si>
  <si>
    <t>EUR-11 EUR-11i</t>
  </si>
  <si>
    <t>National University of Ireland Maynooth</t>
  </si>
  <si>
    <t>Rowan Fealy : rowan.fealy
@nuim.ie</t>
  </si>
  <si>
    <t>robert.vautard
@lsce.ipsl.fr</t>
  </si>
  <si>
    <t>marta.dominguez@uclm.es; miguel.gaertner
@uclm.es</t>
  </si>
  <si>
    <t>Indian Institute of Tropical Meteorology</t>
  </si>
  <si>
    <t>IITM</t>
  </si>
  <si>
    <t>RegCM4-1</t>
  </si>
  <si>
    <t>J. Sanjay sanjay
@tropmet.res.in</t>
  </si>
  <si>
    <t>confirmed by 
Rowan Fealy</t>
  </si>
  <si>
    <t>confirmed by
J. Sanjay</t>
  </si>
  <si>
    <t>CSIRO</t>
  </si>
  <si>
    <t>Commonwealth Scientific and Industrial Research Organisation</t>
  </si>
  <si>
    <t>Jack.Katzfey@csiro.au</t>
  </si>
  <si>
    <t>confirmed by 
Jack Katzfey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</si>
</sst>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7]d/\ mmm\ yy;@"/>
    <numFmt numFmtId="165" formatCode="0.0"/>
  </numFmts>
  <fonts count="38" x14ac:knownFonts="1">
    <font>
      <sz val="11"/>
      <color theme="1"/>
      <name val="Calibri"/>
      <family val="2"/>
      <scheme val="minor"/>
    </font>
    <font>
      <b/>
      <sz val="12"/>
      <color theme="1"/>
      <name val="Arial"/>
      <family val="2"/>
    </font>
    <font>
      <b/>
      <sz val="10"/>
      <color theme="1"/>
      <name val="Arial"/>
      <family val="2"/>
    </font>
    <font>
      <sz val="9"/>
      <color theme="1"/>
      <name val="Calibri"/>
      <family val="2"/>
      <scheme val="minor"/>
    </font>
    <font>
      <b/>
      <sz val="12"/>
      <color theme="1"/>
      <name val="Calibri"/>
      <family val="2"/>
      <scheme val="minor"/>
    </font>
    <font>
      <sz val="11"/>
      <color rgb="FFFF0000"/>
      <name val="Calibri"/>
      <family val="2"/>
      <scheme val="minor"/>
    </font>
    <font>
      <sz val="11"/>
      <color rgb="FF00B050"/>
      <name val="Calibri"/>
      <family val="2"/>
      <scheme val="minor"/>
    </font>
    <font>
      <sz val="11"/>
      <color rgb="FF0070C0"/>
      <name val="Calibri"/>
      <family val="2"/>
      <scheme val="minor"/>
    </font>
    <font>
      <b/>
      <sz val="9"/>
      <color theme="1"/>
      <name val="Arial"/>
      <family val="2"/>
    </font>
    <font>
      <sz val="11"/>
      <name val="Calibri"/>
      <family val="2"/>
      <scheme val="minor"/>
    </font>
    <font>
      <b/>
      <sz val="11"/>
      <color theme="1"/>
      <name val="Calibri"/>
      <family val="2"/>
      <scheme val="minor"/>
    </font>
    <font>
      <sz val="8"/>
      <color theme="1"/>
      <name val="Arial"/>
      <family val="2"/>
    </font>
    <font>
      <sz val="12"/>
      <name val="Calibri"/>
      <family val="2"/>
      <scheme val="minor"/>
    </font>
    <font>
      <b/>
      <sz val="9"/>
      <name val="Arial"/>
      <family val="2"/>
    </font>
    <font>
      <b/>
      <sz val="11"/>
      <name val="Calibri"/>
      <family val="2"/>
      <scheme val="minor"/>
    </font>
    <font>
      <u/>
      <sz val="11"/>
      <color theme="10"/>
      <name val="Calibri"/>
      <family val="2"/>
      <scheme val="minor"/>
    </font>
    <font>
      <b/>
      <sz val="18"/>
      <color theme="1"/>
      <name val="Calibri"/>
      <family val="2"/>
      <scheme val="minor"/>
    </font>
    <font>
      <sz val="10"/>
      <color indexed="8"/>
      <name val="Arial"/>
      <family val="2"/>
    </font>
    <font>
      <b/>
      <sz val="16"/>
      <name val="Calibri"/>
      <family val="2"/>
      <scheme val="minor"/>
    </font>
    <font>
      <sz val="12"/>
      <color rgb="FFFF0000"/>
      <name val="Calibri"/>
      <family val="2"/>
      <scheme val="minor"/>
    </font>
    <font>
      <sz val="10"/>
      <name val="Arial"/>
      <family val="2"/>
    </font>
    <font>
      <u/>
      <sz val="10"/>
      <color indexed="39"/>
      <name val="Arial"/>
      <family val="2"/>
    </font>
    <font>
      <u/>
      <sz val="10"/>
      <color indexed="12"/>
      <name val="Arial"/>
      <family val="2"/>
    </font>
    <font>
      <b/>
      <sz val="10"/>
      <color theme="1"/>
      <name val="Calibri"/>
      <family val="2"/>
      <scheme val="minor"/>
    </font>
    <font>
      <b/>
      <sz val="10"/>
      <name val="Arial"/>
      <family val="2"/>
    </font>
    <font>
      <b/>
      <sz val="10"/>
      <name val="Calibri"/>
      <family val="2"/>
      <scheme val="minor"/>
    </font>
    <font>
      <sz val="10"/>
      <color theme="1"/>
      <name val="Calibri"/>
      <family val="2"/>
      <scheme val="minor"/>
    </font>
    <font>
      <sz val="8"/>
      <color indexed="8"/>
      <name val="Arial"/>
      <family val="2"/>
    </font>
    <font>
      <sz val="10"/>
      <color theme="1"/>
      <name val="Arial"/>
      <family val="2"/>
    </font>
    <font>
      <sz val="9"/>
      <color theme="1"/>
      <name val="Arial"/>
      <family val="2"/>
    </font>
    <font>
      <sz val="9"/>
      <name val="Arial"/>
      <family val="2"/>
    </font>
    <font>
      <sz val="12"/>
      <color theme="1"/>
      <name val="Arial"/>
      <family val="2"/>
    </font>
    <font>
      <sz val="18"/>
      <color theme="1"/>
      <name val="Calibri"/>
      <family val="2"/>
      <scheme val="minor"/>
    </font>
    <font>
      <sz val="18"/>
      <color rgb="FFFF0000"/>
      <name val="Calibri"/>
      <family val="2"/>
      <scheme val="minor"/>
    </font>
    <font>
      <sz val="8"/>
      <name val="Arial"/>
      <family val="2"/>
    </font>
    <font>
      <sz val="6"/>
      <color indexed="8"/>
      <name val="Arial"/>
      <family val="2"/>
    </font>
    <font>
      <b/>
      <sz val="8"/>
      <color theme="1"/>
      <name val="Arial"/>
      <family val="2"/>
    </font>
    <font>
      <sz val="12"/>
      <color theme="1"/>
      <name val="Cambria"/>
      <family val="1"/>
      <scheme val="major"/>
    </font>
  </fonts>
  <fills count="5">
    <fill>
      <patternFill patternType="none"/>
    </fill>
    <fill>
      <patternFill patternType="gray125"/>
    </fill>
    <fill>
      <patternFill patternType="solid">
        <fgColor theme="3" tint="0.79998168889431442"/>
        <bgColor indexed="64"/>
      </patternFill>
    </fill>
    <fill>
      <patternFill patternType="solid">
        <fgColor rgb="FFFFFF99"/>
        <bgColor indexed="64"/>
      </patternFill>
    </fill>
    <fill>
      <patternFill patternType="solid">
        <fgColor theme="0" tint="-0.14999847407452621"/>
        <bgColor indexed="64"/>
      </patternFill>
    </fill>
  </fills>
  <borders count="76">
    <border>
      <left/>
      <right/>
      <top/>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style="thin">
        <color auto="1"/>
      </left>
      <right/>
      <top style="thin">
        <color auto="1"/>
      </top>
      <bottom style="thin">
        <color auto="1"/>
      </bottom>
      <diagonal/>
    </border>
    <border>
      <left style="medium">
        <color auto="1"/>
      </left>
      <right/>
      <top style="medium">
        <color auto="1"/>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bottom/>
      <diagonal/>
    </border>
    <border>
      <left style="medium">
        <color auto="1"/>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style="medium">
        <color auto="1"/>
      </right>
      <top style="double">
        <color auto="1"/>
      </top>
      <bottom style="medium">
        <color auto="1"/>
      </bottom>
      <diagonal/>
    </border>
    <border>
      <left style="thin">
        <color auto="1"/>
      </left>
      <right style="thin">
        <color auto="1"/>
      </right>
      <top style="double">
        <color auto="1"/>
      </top>
      <bottom style="medium">
        <color auto="1"/>
      </bottom>
      <diagonal/>
    </border>
    <border>
      <left/>
      <right/>
      <top style="medium">
        <color auto="1"/>
      </top>
      <bottom style="thin">
        <color auto="1"/>
      </bottom>
      <diagonal/>
    </border>
    <border>
      <left/>
      <right/>
      <top style="thin">
        <color auto="1"/>
      </top>
      <bottom style="thin">
        <color auto="1"/>
      </bottom>
      <diagonal/>
    </border>
    <border>
      <left style="thin">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double">
        <color auto="1"/>
      </bottom>
      <diagonal/>
    </border>
    <border>
      <left style="medium">
        <color auto="1"/>
      </left>
      <right/>
      <top style="medium">
        <color auto="1"/>
      </top>
      <bottom style="double">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bottom style="double">
        <color auto="1"/>
      </bottom>
      <diagonal/>
    </border>
    <border>
      <left style="medium">
        <color auto="1"/>
      </left>
      <right style="thin">
        <color auto="1"/>
      </right>
      <top style="double">
        <color auto="1"/>
      </top>
      <bottom style="medium">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auto="1"/>
      </left>
      <right/>
      <top style="double">
        <color auto="1"/>
      </top>
      <bottom style="medium">
        <color auto="1"/>
      </bottom>
      <diagonal/>
    </border>
    <border>
      <left style="medium">
        <color auto="1"/>
      </left>
      <right style="medium">
        <color auto="1"/>
      </right>
      <top style="double">
        <color auto="1"/>
      </top>
      <bottom style="medium">
        <color auto="1"/>
      </bottom>
      <diagonal/>
    </border>
    <border>
      <left style="thin">
        <color auto="1"/>
      </left>
      <right/>
      <top style="medium">
        <color auto="1"/>
      </top>
      <bottom style="double">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top style="double">
        <color auto="1"/>
      </top>
      <bottom style="medium">
        <color auto="1"/>
      </bottom>
      <diagonal/>
    </border>
    <border>
      <left/>
      <right/>
      <top style="double">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diagonal/>
    </border>
    <border>
      <left style="medium">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medium">
        <color auto="1"/>
      </right>
      <top style="thin">
        <color auto="1"/>
      </top>
      <bottom/>
      <diagonal/>
    </border>
    <border>
      <left style="medium">
        <color auto="1"/>
      </left>
      <right/>
      <top style="thin">
        <color auto="1"/>
      </top>
      <bottom/>
      <diagonal/>
    </border>
    <border>
      <left/>
      <right style="medium">
        <color auto="1"/>
      </right>
      <top style="thin">
        <color auto="1"/>
      </top>
      <bottom/>
      <diagonal/>
    </border>
    <border>
      <left style="thin">
        <color auto="1"/>
      </left>
      <right style="thin">
        <color auto="1"/>
      </right>
      <top style="double">
        <color auto="1"/>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diagonal/>
    </border>
    <border>
      <left/>
      <right style="thin">
        <color auto="1"/>
      </right>
      <top style="medium">
        <color auto="1"/>
      </top>
      <bottom style="double">
        <color auto="1"/>
      </bottom>
      <diagonal/>
    </border>
    <border>
      <left/>
      <right/>
      <top/>
      <bottom style="thin">
        <color auto="1"/>
      </bottom>
      <diagonal/>
    </border>
    <border>
      <left/>
      <right/>
      <top style="thin">
        <color auto="1"/>
      </top>
      <bottom/>
      <diagonal/>
    </border>
    <border>
      <left/>
      <right/>
      <top style="medium">
        <color auto="1"/>
      </top>
      <bottom style="double">
        <color auto="1"/>
      </bottom>
      <diagonal/>
    </border>
    <border>
      <left style="medium">
        <color auto="1"/>
      </left>
      <right style="double">
        <color auto="1"/>
      </right>
      <top style="double">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double">
        <color auto="1"/>
      </right>
      <top style="medium">
        <color auto="1"/>
      </top>
      <bottom/>
      <diagonal/>
    </border>
    <border>
      <left style="medium">
        <color auto="1"/>
      </left>
      <right style="double">
        <color auto="1"/>
      </right>
      <top style="medium">
        <color auto="1"/>
      </top>
      <bottom style="double">
        <color auto="1"/>
      </bottom>
      <diagonal/>
    </border>
    <border>
      <left style="double">
        <color auto="1"/>
      </left>
      <right style="thin">
        <color auto="1"/>
      </right>
      <top style="double">
        <color auto="1"/>
      </top>
      <bottom style="thin">
        <color auto="1"/>
      </bottom>
      <diagonal/>
    </border>
    <border>
      <left style="double">
        <color auto="1"/>
      </left>
      <right style="thin">
        <color auto="1"/>
      </right>
      <top style="thin">
        <color auto="1"/>
      </top>
      <bottom style="thin">
        <color auto="1"/>
      </bottom>
      <diagonal/>
    </border>
    <border>
      <left style="double">
        <color auto="1"/>
      </left>
      <right style="thin">
        <color auto="1"/>
      </right>
      <top style="thin">
        <color auto="1"/>
      </top>
      <bottom style="double">
        <color auto="1"/>
      </bottom>
      <diagonal/>
    </border>
    <border>
      <left style="double">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top style="double">
        <color auto="1"/>
      </top>
      <bottom/>
      <diagonal/>
    </border>
    <border>
      <left style="thin">
        <color auto="1"/>
      </left>
      <right style="double">
        <color auto="1"/>
      </right>
      <top style="double">
        <color auto="1"/>
      </top>
      <bottom/>
      <diagonal/>
    </border>
    <border>
      <left/>
      <right style="thin">
        <color auto="1"/>
      </right>
      <top style="double">
        <color auto="1"/>
      </top>
      <bottom style="thin">
        <color auto="1"/>
      </bottom>
      <diagonal/>
    </border>
    <border>
      <left/>
      <right style="thin">
        <color auto="1"/>
      </right>
      <top style="thin">
        <color auto="1"/>
      </top>
      <bottom style="double">
        <color auto="1"/>
      </bottom>
      <diagonal/>
    </border>
  </borders>
  <cellStyleXfs count="5">
    <xf numFmtId="0" fontId="0" fillId="0" borderId="0"/>
    <xf numFmtId="0" fontId="15" fillId="0" borderId="0" applyNumberFormat="0" applyFill="0" applyBorder="0" applyAlignment="0" applyProtection="0"/>
    <xf numFmtId="0" fontId="20" fillId="0" borderId="0"/>
    <xf numFmtId="0" fontId="21" fillId="0" borderId="0" applyNumberFormat="0" applyFill="0" applyBorder="0" applyAlignment="0" applyProtection="0"/>
    <xf numFmtId="0" fontId="22" fillId="0" borderId="0" applyNumberFormat="0" applyFill="0" applyBorder="0" applyAlignment="0" applyProtection="0"/>
  </cellStyleXfs>
  <cellXfs count="222">
    <xf numFmtId="0" fontId="0" fillId="0" borderId="0" xfId="0"/>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0" fillId="0" borderId="0" xfId="0" applyAlignment="1"/>
    <xf numFmtId="0" fontId="0" fillId="0" borderId="1" xfId="0" applyBorder="1" applyAlignment="1">
      <alignment horizontal="center" vertical="center"/>
    </xf>
    <xf numFmtId="0" fontId="0" fillId="0" borderId="2" xfId="0" applyBorder="1" applyAlignment="1">
      <alignment horizontal="center" vertical="center"/>
    </xf>
    <xf numFmtId="1" fontId="0" fillId="0" borderId="5" xfId="0" applyNumberFormat="1" applyBorder="1"/>
    <xf numFmtId="1" fontId="0" fillId="0" borderId="12" xfId="0" applyNumberFormat="1" applyBorder="1"/>
    <xf numFmtId="1" fontId="0" fillId="0" borderId="13" xfId="0" applyNumberFormat="1" applyBorder="1"/>
    <xf numFmtId="1" fontId="0" fillId="0" borderId="3" xfId="0" applyNumberFormat="1" applyBorder="1"/>
    <xf numFmtId="1" fontId="0" fillId="0" borderId="6" xfId="0" applyNumberFormat="1" applyBorder="1"/>
    <xf numFmtId="0" fontId="0" fillId="0" borderId="7" xfId="0" applyBorder="1" applyAlignment="1">
      <alignment vertical="center"/>
    </xf>
    <xf numFmtId="0" fontId="0" fillId="0" borderId="9" xfId="0" applyBorder="1" applyAlignment="1"/>
    <xf numFmtId="0" fontId="0" fillId="0" borderId="14" xfId="0" applyBorder="1" applyAlignment="1"/>
    <xf numFmtId="0" fontId="0" fillId="0" borderId="17" xfId="0" applyBorder="1"/>
    <xf numFmtId="1" fontId="6" fillId="0" borderId="3" xfId="0" applyNumberFormat="1" applyFont="1" applyBorder="1"/>
    <xf numFmtId="1" fontId="6" fillId="0" borderId="28" xfId="0" applyNumberFormat="1" applyFont="1" applyBorder="1"/>
    <xf numFmtId="1" fontId="6" fillId="0" borderId="12" xfId="0" applyNumberFormat="1" applyFont="1" applyBorder="1"/>
    <xf numFmtId="1" fontId="6" fillId="0" borderId="29" xfId="0" applyNumberFormat="1" applyFont="1" applyBorder="1"/>
    <xf numFmtId="0" fontId="0" fillId="0" borderId="0" xfId="0" applyAlignment="1">
      <alignment horizontal="center"/>
    </xf>
    <xf numFmtId="164" fontId="0" fillId="0" borderId="0" xfId="0" applyNumberFormat="1" applyBorder="1" applyAlignment="1">
      <alignment horizontal="center" vertical="top"/>
    </xf>
    <xf numFmtId="0" fontId="4" fillId="0" borderId="0" xfId="0" applyFont="1" applyBorder="1" applyAlignment="1">
      <alignment horizontal="left"/>
    </xf>
    <xf numFmtId="0" fontId="8" fillId="0" borderId="35" xfId="0" applyFont="1" applyBorder="1" applyAlignment="1">
      <alignment horizontal="center" vertical="center" wrapText="1"/>
    </xf>
    <xf numFmtId="0" fontId="8" fillId="0" borderId="1" xfId="0" applyFont="1" applyBorder="1" applyAlignment="1">
      <alignment horizontal="center" vertical="center" wrapText="1"/>
    </xf>
    <xf numFmtId="0" fontId="8" fillId="0" borderId="1" xfId="0" applyFont="1" applyBorder="1" applyAlignment="1">
      <alignment horizontal="center" vertical="center"/>
    </xf>
    <xf numFmtId="0" fontId="10" fillId="0" borderId="1" xfId="0" applyFont="1" applyBorder="1" applyAlignment="1">
      <alignment horizontal="center" vertical="center"/>
    </xf>
    <xf numFmtId="0" fontId="0" fillId="0" borderId="0" xfId="0" applyBorder="1"/>
    <xf numFmtId="0" fontId="11" fillId="0" borderId="20" xfId="0" applyFont="1" applyBorder="1" applyAlignment="1">
      <alignment horizontal="center" vertical="center" wrapText="1"/>
    </xf>
    <xf numFmtId="0" fontId="11" fillId="0" borderId="31" xfId="0" applyFont="1" applyBorder="1" applyAlignment="1">
      <alignment horizontal="center" vertical="center" wrapText="1"/>
    </xf>
    <xf numFmtId="0" fontId="11" fillId="0" borderId="21" xfId="0" applyFont="1" applyBorder="1" applyAlignment="1">
      <alignment horizontal="center" vertical="center" wrapText="1"/>
    </xf>
    <xf numFmtId="0" fontId="3" fillId="0" borderId="0" xfId="0" applyFont="1" applyBorder="1" applyAlignment="1"/>
    <xf numFmtId="0" fontId="3" fillId="0" borderId="36" xfId="0" applyFont="1" applyBorder="1" applyAlignment="1"/>
    <xf numFmtId="0" fontId="3" fillId="0" borderId="36" xfId="0" applyFont="1" applyBorder="1" applyAlignment="1">
      <alignment horizontal="center" vertical="top"/>
    </xf>
    <xf numFmtId="0" fontId="11" fillId="0" borderId="34" xfId="0" applyFont="1" applyBorder="1" applyAlignment="1">
      <alignment horizontal="center" vertical="center" wrapText="1"/>
    </xf>
    <xf numFmtId="0" fontId="11" fillId="0" borderId="35"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4" fillId="0" borderId="1" xfId="0" applyFont="1" applyBorder="1" applyAlignment="1">
      <alignment horizontal="center" vertical="center"/>
    </xf>
    <xf numFmtId="0" fontId="3" fillId="0" borderId="36" xfId="0" applyFont="1" applyBorder="1" applyAlignment="1">
      <alignment vertical="top" wrapText="1"/>
    </xf>
    <xf numFmtId="0" fontId="11" fillId="0" borderId="40" xfId="0" applyFont="1" applyBorder="1" applyAlignment="1">
      <alignment horizontal="center" vertical="center" wrapText="1"/>
    </xf>
    <xf numFmtId="0" fontId="11" fillId="0" borderId="24" xfId="0" applyFont="1" applyBorder="1" applyAlignment="1">
      <alignment horizontal="center" vertical="center" wrapText="1"/>
    </xf>
    <xf numFmtId="0" fontId="13" fillId="0" borderId="24" xfId="0" applyFont="1" applyBorder="1" applyAlignment="1">
      <alignment horizontal="center" vertical="center"/>
    </xf>
    <xf numFmtId="1" fontId="6" fillId="0" borderId="15" xfId="0" applyNumberFormat="1" applyFont="1" applyBorder="1"/>
    <xf numFmtId="1" fontId="6" fillId="0" borderId="8" xfId="0" applyNumberFormat="1" applyFont="1" applyBorder="1"/>
    <xf numFmtId="0" fontId="10" fillId="0" borderId="35" xfId="0" applyFont="1" applyBorder="1" applyAlignment="1">
      <alignment horizontal="center" vertical="center"/>
    </xf>
    <xf numFmtId="1" fontId="6" fillId="0" borderId="44" xfId="0" applyNumberFormat="1" applyFont="1" applyBorder="1"/>
    <xf numFmtId="1" fontId="6" fillId="0" borderId="5" xfId="0" applyNumberFormat="1" applyFont="1" applyBorder="1"/>
    <xf numFmtId="1" fontId="6" fillId="0" borderId="5" xfId="0" applyNumberFormat="1" applyFont="1" applyBorder="1" applyAlignment="1">
      <alignment horizontal="center" vertical="center"/>
    </xf>
    <xf numFmtId="1" fontId="6" fillId="0" borderId="3" xfId="0" applyNumberFormat="1" applyFont="1" applyBorder="1" applyAlignment="1">
      <alignment horizontal="center" vertical="center"/>
    </xf>
    <xf numFmtId="164" fontId="0" fillId="0" borderId="30" xfId="0" applyNumberFormat="1" applyBorder="1" applyAlignment="1">
      <alignment vertical="center"/>
    </xf>
    <xf numFmtId="164" fontId="10" fillId="0" borderId="0" xfId="0" applyNumberFormat="1" applyFont="1"/>
    <xf numFmtId="164" fontId="10" fillId="0" borderId="30" xfId="0" applyNumberFormat="1" applyFont="1" applyBorder="1" applyAlignment="1">
      <alignment horizontal="center" vertical="center"/>
    </xf>
    <xf numFmtId="164" fontId="10" fillId="0" borderId="0" xfId="0" applyNumberFormat="1" applyFont="1" applyBorder="1" applyAlignment="1">
      <alignment horizontal="center" vertical="center"/>
    </xf>
    <xf numFmtId="0" fontId="11" fillId="0" borderId="2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1" fontId="6" fillId="0" borderId="12" xfId="0" applyNumberFormat="1" applyFont="1" applyFill="1" applyBorder="1"/>
    <xf numFmtId="1" fontId="6" fillId="0" borderId="3" xfId="0" applyNumberFormat="1" applyFont="1" applyFill="1" applyBorder="1"/>
    <xf numFmtId="0" fontId="0" fillId="0" borderId="0" xfId="0" applyAlignment="1">
      <alignment horizontal="center" vertical="center"/>
    </xf>
    <xf numFmtId="164" fontId="0" fillId="0" borderId="0" xfId="0" applyNumberFormat="1" applyBorder="1" applyAlignment="1">
      <alignment vertical="center"/>
    </xf>
    <xf numFmtId="49" fontId="0" fillId="0" borderId="0" xfId="0" applyNumberFormat="1"/>
    <xf numFmtId="49" fontId="0" fillId="0" borderId="0" xfId="0" applyNumberFormat="1" applyAlignment="1">
      <alignment horizontal="center" vertical="center"/>
    </xf>
    <xf numFmtId="49" fontId="0" fillId="0" borderId="0" xfId="0" applyNumberFormat="1" applyBorder="1" applyAlignment="1">
      <alignment horizontal="center" vertical="top"/>
    </xf>
    <xf numFmtId="0" fontId="8" fillId="3" borderId="35" xfId="0" applyFont="1" applyFill="1" applyBorder="1" applyAlignment="1">
      <alignment horizontal="center" vertical="center" wrapText="1"/>
    </xf>
    <xf numFmtId="0" fontId="0" fillId="0" borderId="0" xfId="0" applyFill="1"/>
    <xf numFmtId="164" fontId="0" fillId="0" borderId="0" xfId="0" applyNumberFormat="1" applyFill="1" applyBorder="1" applyAlignment="1">
      <alignment horizontal="left" vertical="center"/>
    </xf>
    <xf numFmtId="0" fontId="0" fillId="0" borderId="0" xfId="0" applyFill="1" applyBorder="1"/>
    <xf numFmtId="49" fontId="11" fillId="0" borderId="35" xfId="0" applyNumberFormat="1" applyFont="1" applyBorder="1" applyAlignment="1">
      <alignment horizontal="center" vertical="center" wrapText="1"/>
    </xf>
    <xf numFmtId="49" fontId="11" fillId="0" borderId="1" xfId="0" applyNumberFormat="1" applyFont="1" applyBorder="1" applyAlignment="1">
      <alignment horizontal="center" vertical="center" wrapText="1"/>
    </xf>
    <xf numFmtId="49" fontId="11" fillId="0" borderId="1" xfId="0" applyNumberFormat="1" applyFont="1" applyBorder="1" applyAlignment="1">
      <alignment horizontal="center" vertical="center"/>
    </xf>
    <xf numFmtId="0" fontId="11" fillId="0" borderId="0" xfId="0" applyFont="1" applyBorder="1" applyAlignment="1">
      <alignment horizontal="center" vertical="center" wrapText="1"/>
    </xf>
    <xf numFmtId="164" fontId="10" fillId="0" borderId="0" xfId="0" applyNumberFormat="1" applyFont="1" applyAlignment="1">
      <alignment horizontal="center" vertical="center"/>
    </xf>
    <xf numFmtId="0" fontId="11" fillId="2" borderId="41" xfId="0" applyFont="1" applyFill="1" applyBorder="1" applyAlignment="1">
      <alignment horizontal="center" vertical="center" wrapText="1"/>
    </xf>
    <xf numFmtId="0" fontId="11" fillId="2" borderId="37" xfId="0" applyFont="1" applyFill="1" applyBorder="1" applyAlignment="1">
      <alignment horizontal="center" vertical="center" wrapText="1"/>
    </xf>
    <xf numFmtId="0" fontId="2" fillId="2" borderId="37" xfId="0" applyFont="1" applyFill="1" applyBorder="1" applyAlignment="1">
      <alignment horizontal="center" vertical="center" wrapText="1"/>
    </xf>
    <xf numFmtId="0" fontId="0" fillId="2" borderId="33" xfId="0" applyFill="1" applyBorder="1"/>
    <xf numFmtId="1" fontId="5" fillId="2" borderId="26" xfId="0" applyNumberFormat="1" applyFont="1" applyFill="1" applyBorder="1"/>
    <xf numFmtId="0" fontId="2" fillId="2" borderId="41" xfId="0" applyFont="1" applyFill="1" applyBorder="1" applyAlignment="1">
      <alignment horizontal="center" vertical="center" wrapText="1"/>
    </xf>
    <xf numFmtId="0" fontId="8" fillId="3" borderId="31" xfId="0" applyFont="1" applyFill="1" applyBorder="1" applyAlignment="1">
      <alignment horizontal="center" vertical="center" wrapText="1"/>
    </xf>
    <xf numFmtId="0" fontId="8" fillId="0" borderId="46" xfId="0" applyFont="1" applyBorder="1" applyAlignment="1">
      <alignment horizontal="center" vertical="center" wrapText="1"/>
    </xf>
    <xf numFmtId="1" fontId="6" fillId="0" borderId="22" xfId="0" applyNumberFormat="1" applyFont="1" applyBorder="1"/>
    <xf numFmtId="1" fontId="6" fillId="0" borderId="23" xfId="0" applyNumberFormat="1" applyFont="1" applyBorder="1"/>
    <xf numFmtId="0" fontId="10" fillId="0" borderId="34" xfId="0" applyFont="1" applyBorder="1" applyAlignment="1">
      <alignment horizontal="center" vertical="center"/>
    </xf>
    <xf numFmtId="1" fontId="6" fillId="0" borderId="47" xfId="0" applyNumberFormat="1" applyFont="1" applyBorder="1"/>
    <xf numFmtId="1" fontId="6" fillId="0" borderId="4" xfId="0" applyNumberFormat="1" applyFont="1" applyBorder="1"/>
    <xf numFmtId="0" fontId="0" fillId="2" borderId="26" xfId="0" applyFill="1" applyBorder="1"/>
    <xf numFmtId="0" fontId="0" fillId="2" borderId="48" xfId="0" applyFill="1" applyBorder="1"/>
    <xf numFmtId="1" fontId="6" fillId="0" borderId="49" xfId="0" applyNumberFormat="1" applyFont="1" applyBorder="1"/>
    <xf numFmtId="1" fontId="6" fillId="0" borderId="51" xfId="0" applyNumberFormat="1" applyFont="1" applyBorder="1"/>
    <xf numFmtId="1" fontId="6" fillId="0" borderId="51" xfId="0" applyNumberFormat="1" applyFont="1" applyBorder="1" applyAlignment="1">
      <alignment horizontal="center" vertical="center"/>
    </xf>
    <xf numFmtId="1" fontId="6" fillId="0" borderId="52" xfId="0" applyNumberFormat="1" applyFont="1" applyBorder="1"/>
    <xf numFmtId="1" fontId="6" fillId="0" borderId="51" xfId="0" applyNumberFormat="1" applyFont="1" applyFill="1" applyBorder="1"/>
    <xf numFmtId="1" fontId="6" fillId="0" borderId="53" xfId="0" applyNumberFormat="1" applyFont="1" applyBorder="1"/>
    <xf numFmtId="1" fontId="6" fillId="0" borderId="32" xfId="0" applyNumberFormat="1" applyFont="1" applyBorder="1"/>
    <xf numFmtId="0" fontId="0" fillId="0" borderId="54" xfId="0" applyBorder="1" applyAlignment="1"/>
    <xf numFmtId="1" fontId="0" fillId="0" borderId="51" xfId="0" applyNumberFormat="1" applyBorder="1"/>
    <xf numFmtId="0" fontId="0" fillId="0" borderId="50" xfId="0" applyBorder="1"/>
    <xf numFmtId="0" fontId="0" fillId="0" borderId="44" xfId="0" applyBorder="1" applyAlignment="1"/>
    <xf numFmtId="165" fontId="5" fillId="0" borderId="18" xfId="0" applyNumberFormat="1" applyFont="1" applyBorder="1"/>
    <xf numFmtId="165" fontId="5" fillId="0" borderId="19" xfId="0" applyNumberFormat="1" applyFont="1" applyBorder="1"/>
    <xf numFmtId="165" fontId="5" fillId="0" borderId="42" xfId="0" applyNumberFormat="1" applyFont="1" applyBorder="1"/>
    <xf numFmtId="165" fontId="5" fillId="0" borderId="27" xfId="0" applyNumberFormat="1" applyFont="1" applyBorder="1"/>
    <xf numFmtId="0" fontId="4" fillId="0" borderId="0" xfId="0" applyFont="1" applyBorder="1" applyAlignment="1">
      <alignment horizontal="left" vertical="center" wrapText="1"/>
    </xf>
    <xf numFmtId="0" fontId="8" fillId="0" borderId="0" xfId="0" applyFont="1" applyBorder="1" applyAlignment="1">
      <alignment horizontal="center" wrapText="1"/>
    </xf>
    <xf numFmtId="0" fontId="0" fillId="0" borderId="29" xfId="0" applyBorder="1" applyAlignment="1"/>
    <xf numFmtId="1" fontId="6" fillId="0" borderId="55" xfId="0" applyNumberFormat="1" applyFont="1" applyBorder="1"/>
    <xf numFmtId="0" fontId="0" fillId="0" borderId="23" xfId="0" applyBorder="1"/>
    <xf numFmtId="1" fontId="0" fillId="0" borderId="0" xfId="0" applyNumberFormat="1" applyBorder="1"/>
    <xf numFmtId="0" fontId="8" fillId="3" borderId="45"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11" fillId="0" borderId="56" xfId="0" applyFont="1" applyBorder="1" applyAlignment="1">
      <alignment horizontal="center" vertical="center" wrapText="1"/>
    </xf>
    <xf numFmtId="0" fontId="11" fillId="0" borderId="56" xfId="0" applyFont="1" applyFill="1" applyBorder="1" applyAlignment="1">
      <alignment horizontal="center" vertical="center" wrapText="1"/>
    </xf>
    <xf numFmtId="0" fontId="11" fillId="0" borderId="3" xfId="0" applyFont="1" applyBorder="1" applyAlignment="1">
      <alignment horizontal="center" vertical="center"/>
    </xf>
    <xf numFmtId="0" fontId="11" fillId="0" borderId="3" xfId="0" applyFont="1" applyBorder="1" applyAlignment="1">
      <alignment horizontal="center" vertical="center" wrapText="1"/>
    </xf>
    <xf numFmtId="0" fontId="11" fillId="0" borderId="3" xfId="0" applyFont="1" applyFill="1" applyBorder="1" applyAlignment="1">
      <alignment horizontal="center" vertical="center" wrapText="1"/>
    </xf>
    <xf numFmtId="49" fontId="11" fillId="0" borderId="3" xfId="0" applyNumberFormat="1" applyFont="1" applyBorder="1" applyAlignment="1">
      <alignment horizontal="center" vertical="center" wrapText="1"/>
    </xf>
    <xf numFmtId="49" fontId="11" fillId="0" borderId="3" xfId="0" applyNumberFormat="1" applyFont="1" applyBorder="1" applyAlignment="1">
      <alignment horizontal="center" vertical="center"/>
    </xf>
    <xf numFmtId="1" fontId="6" fillId="0" borderId="43" xfId="0" applyNumberFormat="1" applyFont="1" applyBorder="1"/>
    <xf numFmtId="0" fontId="2" fillId="0" borderId="0" xfId="0" applyFont="1" applyBorder="1" applyAlignment="1">
      <alignment horizontal="center" vertical="center"/>
    </xf>
    <xf numFmtId="0" fontId="2" fillId="0" borderId="1" xfId="0" applyFont="1" applyBorder="1" applyAlignment="1">
      <alignment horizontal="center" vertical="center"/>
    </xf>
    <xf numFmtId="0" fontId="26" fillId="0" borderId="0" xfId="0" applyFont="1"/>
    <xf numFmtId="49" fontId="17" fillId="0" borderId="21" xfId="0" applyNumberFormat="1" applyFont="1" applyFill="1" applyBorder="1" applyAlignment="1">
      <alignment horizontal="center" vertical="center" wrapText="1"/>
    </xf>
    <xf numFmtId="0" fontId="8" fillId="0" borderId="34" xfId="0" applyFont="1" applyBorder="1" applyAlignment="1">
      <alignment horizontal="center" vertical="center"/>
    </xf>
    <xf numFmtId="0" fontId="8" fillId="3" borderId="41" xfId="0" applyFont="1" applyFill="1" applyBorder="1" applyAlignment="1">
      <alignment horizontal="center" vertical="center" wrapText="1"/>
    </xf>
    <xf numFmtId="0" fontId="8" fillId="3" borderId="37" xfId="0" applyFont="1" applyFill="1" applyBorder="1" applyAlignment="1">
      <alignment horizontal="center" vertical="center" wrapText="1"/>
    </xf>
    <xf numFmtId="0" fontId="0" fillId="0" borderId="0" xfId="0" applyBorder="1" applyAlignment="1">
      <alignment horizontal="left" vertical="center"/>
    </xf>
    <xf numFmtId="0" fontId="8" fillId="0" borderId="0" xfId="0" applyFont="1" applyBorder="1" applyAlignment="1">
      <alignment horizontal="center" wrapText="1"/>
    </xf>
    <xf numFmtId="49" fontId="29" fillId="0" borderId="3" xfId="0" applyNumberFormat="1" applyFont="1" applyBorder="1" applyAlignment="1">
      <alignment horizontal="center" vertical="center"/>
    </xf>
    <xf numFmtId="49" fontId="30" fillId="0" borderId="3" xfId="0" applyNumberFormat="1" applyFont="1" applyBorder="1" applyAlignment="1">
      <alignment horizontal="center" vertical="center"/>
    </xf>
    <xf numFmtId="0" fontId="29" fillId="0" borderId="3" xfId="0" applyFont="1" applyBorder="1" applyAlignment="1">
      <alignment horizontal="center" vertical="center"/>
    </xf>
    <xf numFmtId="0" fontId="29" fillId="0" borderId="3" xfId="0" applyFont="1" applyFill="1" applyBorder="1" applyAlignment="1">
      <alignment horizontal="center" vertical="center"/>
    </xf>
    <xf numFmtId="0" fontId="30" fillId="0" borderId="3" xfId="0" applyFont="1" applyBorder="1" applyAlignment="1">
      <alignment horizontal="center" vertical="center" wrapText="1"/>
    </xf>
    <xf numFmtId="0" fontId="30" fillId="0" borderId="3" xfId="0" applyFont="1" applyBorder="1" applyAlignment="1">
      <alignment horizontal="center" vertical="center"/>
    </xf>
    <xf numFmtId="0" fontId="31" fillId="0" borderId="0" xfId="0" applyFont="1" applyBorder="1" applyAlignment="1">
      <alignment horizontal="center" vertical="center"/>
    </xf>
    <xf numFmtId="0" fontId="31" fillId="0" borderId="1" xfId="0" applyFont="1" applyBorder="1" applyAlignment="1">
      <alignment horizontal="center" vertical="center"/>
    </xf>
    <xf numFmtId="0" fontId="8" fillId="0" borderId="58" xfId="0" applyNumberFormat="1" applyFont="1" applyFill="1" applyBorder="1" applyAlignment="1">
      <alignment horizontal="center" vertical="center" wrapText="1"/>
    </xf>
    <xf numFmtId="164" fontId="0" fillId="0" borderId="30" xfId="0" applyNumberFormat="1" applyFill="1" applyBorder="1" applyAlignment="1">
      <alignment vertical="center"/>
    </xf>
    <xf numFmtId="0" fontId="8" fillId="0" borderId="31" xfId="0" applyFont="1" applyFill="1" applyBorder="1" applyAlignment="1">
      <alignment horizontal="center" vertical="center" wrapText="1"/>
    </xf>
    <xf numFmtId="0" fontId="8" fillId="0" borderId="35" xfId="0" applyFont="1" applyFill="1" applyBorder="1" applyAlignment="1">
      <alignment horizontal="center" vertical="center" wrapText="1"/>
    </xf>
    <xf numFmtId="0" fontId="0" fillId="0" borderId="0" xfId="0" applyBorder="1" applyAlignment="1">
      <alignment vertical="center"/>
    </xf>
    <xf numFmtId="0" fontId="11" fillId="0" borderId="18" xfId="0" applyFont="1" applyFill="1" applyBorder="1" applyAlignment="1">
      <alignment horizontal="center" vertical="center" wrapText="1"/>
    </xf>
    <xf numFmtId="0" fontId="11" fillId="0" borderId="27" xfId="0" applyFont="1" applyFill="1" applyBorder="1" applyAlignment="1">
      <alignment horizontal="center" vertical="center" wrapText="1"/>
    </xf>
    <xf numFmtId="0" fontId="11" fillId="0" borderId="26" xfId="0" applyFont="1" applyFill="1" applyBorder="1" applyAlignment="1">
      <alignment horizontal="center" vertical="center" wrapText="1"/>
    </xf>
    <xf numFmtId="0" fontId="11" fillId="0" borderId="0" xfId="0" applyFont="1" applyBorder="1" applyAlignment="1">
      <alignment horizontal="center" wrapText="1"/>
    </xf>
    <xf numFmtId="0" fontId="11" fillId="0" borderId="0" xfId="0" applyFont="1" applyBorder="1" applyAlignment="1">
      <alignment horizontal="center" vertical="center"/>
    </xf>
    <xf numFmtId="0" fontId="32" fillId="0" borderId="0" xfId="0" applyFont="1" applyBorder="1"/>
    <xf numFmtId="0" fontId="32" fillId="0" borderId="0" xfId="0" applyFont="1"/>
    <xf numFmtId="49" fontId="2" fillId="2" borderId="41" xfId="0" applyNumberFormat="1" applyFont="1" applyFill="1" applyBorder="1" applyAlignment="1">
      <alignment horizontal="center" vertical="center" wrapText="1"/>
    </xf>
    <xf numFmtId="0" fontId="8" fillId="3" borderId="31" xfId="0" applyNumberFormat="1" applyFont="1" applyFill="1" applyBorder="1" applyAlignment="1">
      <alignment horizontal="center" vertical="center" wrapText="1"/>
    </xf>
    <xf numFmtId="0" fontId="0" fillId="0" borderId="0" xfId="0" applyBorder="1" applyAlignment="1">
      <alignment horizontal="left" vertical="center"/>
    </xf>
    <xf numFmtId="0" fontId="8" fillId="0" borderId="31" xfId="0" applyNumberFormat="1" applyFont="1" applyFill="1" applyBorder="1" applyAlignment="1">
      <alignment horizontal="center" vertical="center" wrapText="1"/>
    </xf>
    <xf numFmtId="0" fontId="28" fillId="2" borderId="57" xfId="0" applyFont="1" applyFill="1" applyBorder="1" applyAlignment="1">
      <alignment horizontal="center" vertical="center" wrapText="1"/>
    </xf>
    <xf numFmtId="0" fontId="28" fillId="2" borderId="26" xfId="0" applyFont="1" applyFill="1" applyBorder="1" applyAlignment="1">
      <alignment horizontal="center" vertical="center" wrapText="1"/>
    </xf>
    <xf numFmtId="0" fontId="28" fillId="2" borderId="37" xfId="0" applyFont="1" applyFill="1" applyBorder="1" applyAlignment="1">
      <alignment horizontal="center" vertical="center" wrapText="1"/>
    </xf>
    <xf numFmtId="165" fontId="5" fillId="0" borderId="59" xfId="0" applyNumberFormat="1" applyFont="1" applyBorder="1"/>
    <xf numFmtId="49" fontId="35" fillId="0" borderId="21" xfId="0" applyNumberFormat="1" applyFont="1" applyFill="1" applyBorder="1" applyAlignment="1">
      <alignment horizontal="center" vertical="center" wrapText="1"/>
    </xf>
    <xf numFmtId="0" fontId="0" fillId="0" borderId="60" xfId="0" applyFill="1" applyBorder="1"/>
    <xf numFmtId="0" fontId="0" fillId="0" borderId="23" xfId="0" applyFill="1" applyBorder="1"/>
    <xf numFmtId="0" fontId="0" fillId="0" borderId="61" xfId="0" applyFill="1" applyBorder="1"/>
    <xf numFmtId="0" fontId="0" fillId="0" borderId="62" xfId="0" applyFill="1" applyBorder="1"/>
    <xf numFmtId="0" fontId="8" fillId="3" borderId="63" xfId="0" applyFont="1" applyFill="1" applyBorder="1" applyAlignment="1">
      <alignment horizontal="center" vertical="center" wrapText="1"/>
    </xf>
    <xf numFmtId="0" fontId="8" fillId="3" borderId="63" xfId="0" applyNumberFormat="1" applyFont="1" applyFill="1" applyBorder="1" applyAlignment="1">
      <alignment horizontal="center" vertical="center" wrapText="1"/>
    </xf>
    <xf numFmtId="0" fontId="8" fillId="3" borderId="64" xfId="0" applyFont="1" applyFill="1" applyBorder="1" applyAlignment="1">
      <alignment horizontal="center" vertical="center" wrapText="1"/>
    </xf>
    <xf numFmtId="0" fontId="8" fillId="0" borderId="65" xfId="0" applyNumberFormat="1" applyFont="1" applyFill="1" applyBorder="1" applyAlignment="1">
      <alignment horizontal="center" vertical="center" wrapText="1"/>
    </xf>
    <xf numFmtId="0" fontId="11" fillId="0" borderId="66" xfId="0" applyFont="1" applyFill="1" applyBorder="1" applyAlignment="1">
      <alignment horizontal="center" vertical="center" wrapText="1"/>
    </xf>
    <xf numFmtId="0" fontId="15" fillId="0" borderId="56" xfId="1" applyBorder="1" applyAlignment="1">
      <alignment vertical="center" wrapText="1"/>
    </xf>
    <xf numFmtId="0" fontId="36" fillId="2" borderId="67" xfId="0" applyFont="1" applyFill="1" applyBorder="1" applyAlignment="1">
      <alignment horizontal="center" vertical="center" wrapText="1"/>
    </xf>
    <xf numFmtId="49" fontId="27" fillId="0" borderId="56" xfId="0" applyNumberFormat="1" applyFont="1" applyFill="1" applyBorder="1" applyAlignment="1">
      <alignment horizontal="center" vertical="center" wrapText="1"/>
    </xf>
    <xf numFmtId="0" fontId="36" fillId="2" borderId="68" xfId="0" applyFont="1" applyFill="1" applyBorder="1" applyAlignment="1">
      <alignment horizontal="center" vertical="center" wrapText="1"/>
    </xf>
    <xf numFmtId="0" fontId="2" fillId="2" borderId="68" xfId="0" applyFont="1" applyFill="1" applyBorder="1" applyAlignment="1">
      <alignment horizontal="center" vertical="center" wrapText="1"/>
    </xf>
    <xf numFmtId="0" fontId="2" fillId="2" borderId="69" xfId="0" applyFont="1" applyFill="1" applyBorder="1" applyAlignment="1">
      <alignment horizontal="center" vertical="center" wrapText="1"/>
    </xf>
    <xf numFmtId="0" fontId="37" fillId="4" borderId="70" xfId="0" applyFont="1" applyFill="1" applyBorder="1" applyAlignment="1">
      <alignment horizontal="center" vertical="center"/>
    </xf>
    <xf numFmtId="0" fontId="37" fillId="4" borderId="71" xfId="0" applyFont="1" applyFill="1" applyBorder="1" applyAlignment="1">
      <alignment horizontal="center" vertical="center"/>
    </xf>
    <xf numFmtId="0" fontId="37" fillId="4" borderId="72" xfId="0" applyFont="1" applyFill="1" applyBorder="1" applyAlignment="1">
      <alignment horizontal="center" vertical="center"/>
    </xf>
    <xf numFmtId="0" fontId="37" fillId="4" borderId="73" xfId="0" applyFont="1" applyFill="1" applyBorder="1" applyAlignment="1">
      <alignment horizontal="center" vertical="center"/>
    </xf>
    <xf numFmtId="0" fontId="8" fillId="0" borderId="3" xfId="0" applyFont="1" applyFill="1" applyBorder="1" applyAlignment="1">
      <alignment horizontal="center" vertical="center" wrapText="1"/>
    </xf>
    <xf numFmtId="0" fontId="8" fillId="0" borderId="3" xfId="0" applyFont="1" applyFill="1" applyBorder="1" applyAlignment="1">
      <alignment horizontal="center" vertical="center"/>
    </xf>
    <xf numFmtId="0" fontId="2" fillId="0" borderId="3" xfId="0" applyFont="1" applyFill="1" applyBorder="1" applyAlignment="1">
      <alignment horizontal="center" vertical="center" wrapText="1"/>
    </xf>
    <xf numFmtId="0" fontId="2" fillId="0" borderId="3" xfId="0" applyFont="1" applyFill="1" applyBorder="1" applyAlignment="1">
      <alignment horizontal="center" vertical="center"/>
    </xf>
    <xf numFmtId="49" fontId="11" fillId="0" borderId="3" xfId="0" applyNumberFormat="1" applyFont="1" applyFill="1" applyBorder="1" applyAlignment="1">
      <alignment horizontal="center" vertical="center" wrapText="1"/>
    </xf>
    <xf numFmtId="0" fontId="23" fillId="0" borderId="3" xfId="0" applyFont="1" applyFill="1" applyBorder="1" applyAlignment="1">
      <alignment horizontal="center" vertical="center"/>
    </xf>
    <xf numFmtId="0" fontId="13" fillId="0" borderId="3" xfId="0" applyFont="1" applyFill="1" applyBorder="1" applyAlignment="1">
      <alignment horizontal="center" vertical="center" wrapText="1"/>
    </xf>
    <xf numFmtId="0" fontId="24" fillId="0"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13" fillId="0" borderId="3" xfId="0" applyFont="1" applyFill="1" applyBorder="1" applyAlignment="1">
      <alignment horizontal="center" vertical="center"/>
    </xf>
    <xf numFmtId="0" fontId="25" fillId="0" borderId="3" xfId="0" applyFont="1" applyFill="1" applyBorder="1" applyAlignment="1">
      <alignment horizontal="center" vertical="center"/>
    </xf>
    <xf numFmtId="0" fontId="24" fillId="0" borderId="3" xfId="0" applyFont="1" applyFill="1" applyBorder="1" applyAlignment="1">
      <alignment horizontal="center" vertical="center"/>
    </xf>
    <xf numFmtId="49" fontId="11" fillId="0" borderId="3" xfId="0" applyNumberFormat="1" applyFont="1" applyFill="1" applyBorder="1" applyAlignment="1">
      <alignment horizontal="center" vertical="center"/>
    </xf>
    <xf numFmtId="0" fontId="0" fillId="0" borderId="0" xfId="0" applyBorder="1" applyAlignment="1">
      <alignment horizontal="left" vertical="center"/>
    </xf>
    <xf numFmtId="0" fontId="4" fillId="0" borderId="0" xfId="0" applyFont="1" applyBorder="1" applyAlignment="1">
      <alignment horizontal="left" vertical="center" wrapText="1"/>
    </xf>
    <xf numFmtId="164" fontId="33" fillId="0" borderId="0" xfId="0" applyNumberFormat="1" applyFont="1" applyFill="1" applyBorder="1" applyAlignment="1">
      <alignment horizontal="left" vertical="center"/>
    </xf>
    <xf numFmtId="0" fontId="12" fillId="0" borderId="0" xfId="0" applyFont="1" applyBorder="1" applyAlignment="1">
      <alignment horizontal="left" vertical="center" wrapText="1"/>
    </xf>
    <xf numFmtId="0" fontId="0" fillId="0" borderId="0" xfId="0" applyBorder="1" applyAlignment="1">
      <alignment horizontal="left" vertical="center"/>
    </xf>
    <xf numFmtId="164" fontId="0" fillId="0" borderId="30" xfId="0" applyNumberFormat="1" applyBorder="1" applyAlignment="1">
      <alignment horizontal="left" vertical="center"/>
    </xf>
    <xf numFmtId="0" fontId="3" fillId="0" borderId="11" xfId="0" applyFont="1" applyFill="1" applyBorder="1" applyAlignment="1">
      <alignment horizontal="left"/>
    </xf>
    <xf numFmtId="0" fontId="3" fillId="0" borderId="0" xfId="0" applyFont="1" applyFill="1" applyBorder="1" applyAlignment="1">
      <alignment horizontal="left"/>
    </xf>
    <xf numFmtId="0" fontId="8" fillId="0" borderId="11" xfId="0" applyFont="1" applyBorder="1" applyAlignment="1">
      <alignment horizontal="center" wrapText="1"/>
    </xf>
    <xf numFmtId="0" fontId="8" fillId="0" borderId="0" xfId="0" applyFont="1" applyBorder="1" applyAlignment="1">
      <alignment horizontal="center" wrapText="1"/>
    </xf>
    <xf numFmtId="0" fontId="8" fillId="0" borderId="10" xfId="0" applyFont="1" applyBorder="1" applyAlignment="1">
      <alignment horizontal="center" wrapText="1"/>
    </xf>
    <xf numFmtId="0" fontId="3" fillId="0" borderId="36" xfId="0" applyFont="1" applyBorder="1" applyAlignment="1">
      <alignment horizontal="left" vertical="top" wrapText="1"/>
    </xf>
    <xf numFmtId="0" fontId="0" fillId="0" borderId="0" xfId="0" applyBorder="1" applyAlignment="1">
      <alignment horizontal="left"/>
    </xf>
    <xf numFmtId="0" fontId="0" fillId="0" borderId="10" xfId="0" applyBorder="1" applyAlignment="1">
      <alignment horizontal="left"/>
    </xf>
    <xf numFmtId="0" fontId="0" fillId="0" borderId="24" xfId="0" applyBorder="1" applyAlignment="1">
      <alignment horizontal="center" vertical="center"/>
    </xf>
    <xf numFmtId="0" fontId="0" fillId="0" borderId="25" xfId="0" applyBorder="1" applyAlignment="1">
      <alignment horizontal="center" vertical="center"/>
    </xf>
    <xf numFmtId="1" fontId="0" fillId="0" borderId="15" xfId="0" applyNumberFormat="1" applyBorder="1" applyAlignment="1">
      <alignment horizontal="center"/>
    </xf>
    <xf numFmtId="1" fontId="0" fillId="0" borderId="38" xfId="0" applyNumberFormat="1" applyBorder="1" applyAlignment="1">
      <alignment horizontal="center"/>
    </xf>
    <xf numFmtId="1" fontId="0" fillId="0" borderId="8" xfId="0" applyNumberFormat="1" applyBorder="1" applyAlignment="1">
      <alignment horizontal="center"/>
    </xf>
    <xf numFmtId="1" fontId="0" fillId="0" borderId="32" xfId="0" applyNumberFormat="1" applyBorder="1" applyAlignment="1">
      <alignment horizontal="center"/>
    </xf>
    <xf numFmtId="1" fontId="0" fillId="0" borderId="16" xfId="0" applyNumberFormat="1" applyBorder="1" applyAlignment="1">
      <alignment horizontal="center"/>
    </xf>
    <xf numFmtId="1" fontId="0" fillId="0" borderId="39" xfId="0" applyNumberFormat="1" applyBorder="1" applyAlignment="1">
      <alignment horizontal="center"/>
    </xf>
    <xf numFmtId="0" fontId="16" fillId="0" borderId="0" xfId="0" applyFont="1" applyBorder="1" applyAlignment="1">
      <alignment horizontal="left" vertical="center" wrapText="1"/>
    </xf>
    <xf numFmtId="164" fontId="0" fillId="0" borderId="30" xfId="0" applyNumberFormat="1" applyFill="1" applyBorder="1" applyAlignment="1">
      <alignment horizontal="left" vertical="center"/>
    </xf>
    <xf numFmtId="0" fontId="11" fillId="0" borderId="74" xfId="0" applyFont="1" applyBorder="1" applyAlignment="1">
      <alignment horizontal="center" vertical="center" wrapText="1"/>
    </xf>
    <xf numFmtId="0" fontId="11" fillId="0" borderId="6" xfId="0" applyFont="1" applyBorder="1" applyAlignment="1">
      <alignment horizontal="center" vertical="center" wrapText="1"/>
    </xf>
    <xf numFmtId="0" fontId="29" fillId="0" borderId="6" xfId="0" applyFont="1" applyBorder="1" applyAlignment="1">
      <alignment horizontal="center" vertical="center"/>
    </xf>
    <xf numFmtId="0" fontId="8" fillId="0" borderId="6" xfId="0" applyFont="1" applyFill="1" applyBorder="1" applyAlignment="1">
      <alignment horizontal="center" vertical="center"/>
    </xf>
    <xf numFmtId="0" fontId="23" fillId="0" borderId="6" xfId="0" applyFont="1" applyFill="1" applyBorder="1" applyAlignment="1">
      <alignment horizontal="center" vertical="center"/>
    </xf>
    <xf numFmtId="0" fontId="11" fillId="0" borderId="6" xfId="0" applyFont="1" applyFill="1" applyBorder="1" applyAlignment="1">
      <alignment horizontal="center" vertical="center" wrapText="1"/>
    </xf>
    <xf numFmtId="0" fontId="2" fillId="2" borderId="75" xfId="0" applyFont="1" applyFill="1" applyBorder="1" applyAlignment="1">
      <alignment horizontal="center" vertical="center" wrapText="1"/>
    </xf>
    <xf numFmtId="0" fontId="11" fillId="0" borderId="0" xfId="1" applyFont="1" applyAlignment="1">
      <alignment horizontal="center" vertical="center" wrapText="1"/>
    </xf>
  </cellXfs>
  <cellStyles count="5">
    <cellStyle name="Hyperlänk 2" xfId="3"/>
    <cellStyle name="Hyperlink" xfId="1" builtinId="8"/>
    <cellStyle name="Hyperlink 2" xfId="4"/>
    <cellStyle name="Standard" xfId="0" builtinId="0"/>
    <cellStyle name="Standard 2" xfId="2"/>
  </cellStyles>
  <dxfs count="21">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s>
  <tableStyles count="0" defaultTableStyle="TableStyleMedium2" defaultPivotStyle="PivotStyleMedium9"/>
  <colors>
    <mruColors>
      <color rgb="FFFFFF99"/>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John.Scinocca@ec.gc.c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zoomScale="75" zoomScaleNormal="75" workbookViewId="0">
      <selection activeCell="B2" sqref="B2"/>
    </sheetView>
  </sheetViews>
  <sheetFormatPr baseColWidth="10" defaultColWidth="8.88671875" defaultRowHeight="14.4" x14ac:dyDescent="0.3"/>
  <cols>
    <col min="1" max="1" width="20.77734375" customWidth="1"/>
    <col min="2" max="15" width="13.77734375" customWidth="1"/>
  </cols>
  <sheetData>
    <row r="1" spans="1:15" ht="80.400000000000006" customHeight="1" x14ac:dyDescent="0.3">
      <c r="A1" s="191" t="s">
        <v>163</v>
      </c>
      <c r="B1" s="191"/>
      <c r="C1" s="191"/>
      <c r="D1" s="191"/>
      <c r="E1" s="191"/>
      <c r="F1" s="191"/>
      <c r="G1" s="191"/>
      <c r="H1" s="191"/>
      <c r="I1" s="191"/>
      <c r="J1" s="191"/>
      <c r="K1" s="191"/>
      <c r="L1" s="191"/>
      <c r="M1" s="21"/>
      <c r="N1" s="20"/>
      <c r="O1" s="20"/>
    </row>
    <row r="2" spans="1:15" ht="18" customHeight="1" x14ac:dyDescent="0.3">
      <c r="A2" s="54">
        <v>41901</v>
      </c>
      <c r="B2" s="61"/>
      <c r="C2" s="61"/>
      <c r="D2" s="61"/>
      <c r="E2" s="61"/>
      <c r="F2" s="61"/>
      <c r="G2" s="61"/>
      <c r="H2" s="61"/>
      <c r="I2" s="61"/>
      <c r="J2" s="61"/>
      <c r="K2" s="61"/>
      <c r="L2" s="61"/>
      <c r="M2" s="21"/>
      <c r="N2" s="20"/>
      <c r="O2" s="20"/>
    </row>
    <row r="3" spans="1:15" s="148" customFormat="1" ht="23.4" x14ac:dyDescent="0.45">
      <c r="A3" s="192" t="s">
        <v>183</v>
      </c>
      <c r="B3" s="192"/>
      <c r="C3" s="192"/>
      <c r="D3" s="192"/>
      <c r="E3" s="147"/>
      <c r="F3" s="147"/>
      <c r="G3" s="147"/>
      <c r="H3" s="147"/>
      <c r="I3" s="147"/>
      <c r="J3" s="147"/>
      <c r="K3" s="147"/>
      <c r="L3" s="147"/>
    </row>
    <row r="4" spans="1:15" s="66" customFormat="1" x14ac:dyDescent="0.3">
      <c r="A4" s="67"/>
      <c r="B4" s="67"/>
      <c r="C4" s="67"/>
      <c r="D4" s="67"/>
      <c r="E4" s="68"/>
      <c r="F4" s="68"/>
      <c r="G4" s="68"/>
      <c r="H4" s="68"/>
      <c r="I4" s="68"/>
      <c r="J4" s="68"/>
      <c r="K4" s="68"/>
      <c r="L4" s="68"/>
    </row>
  </sheetData>
  <mergeCells count="2">
    <mergeCell ref="A1:L1"/>
    <mergeCell ref="A3:D3"/>
  </mergeCells>
  <pageMargins left="0.23622047244094491" right="0.23622047244094491" top="0.74803149606299213" bottom="0.74803149606299213" header="0.31496062992125984" footer="0.31496062992125984"/>
  <pageSetup paperSize="9" scale="65"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38"/>
  <sheetViews>
    <sheetView topLeftCell="U2" zoomScale="75" zoomScaleNormal="75" zoomScaleSheetLayoutView="100" workbookViewId="0">
      <selection activeCell="AG3" sqref="AG3"/>
    </sheetView>
  </sheetViews>
  <sheetFormatPr baseColWidth="10" defaultColWidth="8.88671875" defaultRowHeight="14.4" x14ac:dyDescent="0.3"/>
  <cols>
    <col min="1" max="1" width="23.33203125" customWidth="1"/>
    <col min="2" max="3" width="13.77734375" customWidth="1"/>
    <col min="4" max="4" width="15.77734375" customWidth="1"/>
    <col min="5" max="5" width="15.6640625" customWidth="1"/>
    <col min="6" max="6" width="15.77734375" customWidth="1"/>
    <col min="7" max="7" width="15.109375" customWidth="1"/>
    <col min="8" max="8" width="16.33203125" customWidth="1"/>
    <col min="9" max="9" width="15.77734375" customWidth="1"/>
    <col min="10" max="10" width="13.77734375" customWidth="1"/>
    <col min="11" max="11" width="17" customWidth="1"/>
    <col min="12" max="16" width="13.77734375" customWidth="1"/>
    <col min="17" max="17" width="16.77734375" customWidth="1"/>
    <col min="18" max="18" width="18.77734375" customWidth="1"/>
    <col min="19" max="19" width="13.77734375" customWidth="1"/>
    <col min="20" max="20" width="12.77734375" customWidth="1"/>
    <col min="21" max="22" width="13.77734375" customWidth="1"/>
    <col min="23" max="23" width="15.5546875" customWidth="1"/>
    <col min="24" max="24" width="13.109375" customWidth="1"/>
    <col min="25" max="25" width="13.88671875" customWidth="1"/>
    <col min="26" max="26" width="14.44140625" customWidth="1"/>
    <col min="27" max="27" width="20" customWidth="1"/>
    <col min="28" max="28" width="13.88671875" customWidth="1"/>
    <col min="29" max="29" width="13.109375" customWidth="1"/>
    <col min="30" max="30" width="13.77734375" customWidth="1"/>
    <col min="31" max="31" width="12.5546875" customWidth="1"/>
    <col min="32" max="32" width="13.109375" customWidth="1"/>
    <col min="33" max="33" width="12" customWidth="1"/>
    <col min="34" max="36" width="16.6640625" customWidth="1"/>
    <col min="37" max="48" width="13.77734375" customWidth="1"/>
    <col min="49" max="49" width="22.44140625" customWidth="1"/>
  </cols>
  <sheetData>
    <row r="1" spans="1:78" ht="80.400000000000006" customHeight="1" x14ac:dyDescent="0.3">
      <c r="A1" s="193" t="s">
        <v>184</v>
      </c>
      <c r="B1" s="191"/>
      <c r="C1" s="191"/>
      <c r="D1" s="191"/>
      <c r="E1" s="191"/>
      <c r="F1" s="191"/>
      <c r="G1" s="191"/>
      <c r="H1" s="191"/>
      <c r="I1" s="191"/>
      <c r="J1" s="191"/>
      <c r="K1" s="191"/>
      <c r="L1" s="191"/>
      <c r="M1" s="191"/>
      <c r="N1" s="191"/>
      <c r="O1" s="191"/>
      <c r="P1" s="191"/>
      <c r="Q1" s="21"/>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BR1" s="26"/>
      <c r="BS1" s="26"/>
      <c r="BT1" s="26"/>
      <c r="BU1" s="26"/>
      <c r="BV1" s="26"/>
      <c r="BW1" s="26"/>
      <c r="BX1" s="26"/>
      <c r="BY1" s="26"/>
      <c r="BZ1" s="26"/>
    </row>
    <row r="2" spans="1:78" ht="18" customHeight="1" thickBot="1" x14ac:dyDescent="0.35">
      <c r="A2" s="53">
        <f>GeneralRemarks!A2</f>
        <v>41901</v>
      </c>
      <c r="B2" s="195"/>
      <c r="C2" s="195"/>
      <c r="D2" s="195"/>
      <c r="E2" s="195"/>
      <c r="F2" s="195"/>
      <c r="G2" s="195"/>
      <c r="H2" s="195"/>
      <c r="I2" s="51"/>
      <c r="J2" s="51"/>
      <c r="K2" s="51"/>
      <c r="L2" s="51"/>
      <c r="M2" s="51"/>
      <c r="N2" s="51"/>
      <c r="O2" s="51"/>
      <c r="P2" s="51"/>
      <c r="Q2" s="21"/>
      <c r="R2" s="20"/>
      <c r="S2" s="20"/>
      <c r="T2" s="20"/>
      <c r="U2" s="20"/>
      <c r="V2" s="20"/>
      <c r="W2" s="54">
        <f>A2</f>
        <v>41901</v>
      </c>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73">
        <f>A2</f>
        <v>41901</v>
      </c>
      <c r="BR2" s="26"/>
      <c r="BS2" s="26"/>
      <c r="BT2" s="26"/>
      <c r="BU2" s="26"/>
      <c r="BV2" s="26"/>
      <c r="BW2" s="26"/>
      <c r="BX2" s="26"/>
      <c r="BY2" s="26"/>
      <c r="BZ2" s="26"/>
    </row>
    <row r="3" spans="1:78" s="1" customFormat="1" ht="42" thickTop="1" thickBot="1" x14ac:dyDescent="0.35">
      <c r="A3" s="168" t="s">
        <v>57</v>
      </c>
      <c r="B3" s="112" t="s">
        <v>63</v>
      </c>
      <c r="C3" s="112" t="s">
        <v>103</v>
      </c>
      <c r="D3" s="112" t="s">
        <v>62</v>
      </c>
      <c r="E3" s="112" t="s">
        <v>81</v>
      </c>
      <c r="F3" s="112" t="s">
        <v>82</v>
      </c>
      <c r="G3" s="112" t="s">
        <v>79</v>
      </c>
      <c r="H3" s="112" t="s">
        <v>78</v>
      </c>
      <c r="I3" s="112" t="s">
        <v>80</v>
      </c>
      <c r="J3" s="112" t="s">
        <v>100</v>
      </c>
      <c r="K3" s="112" t="s">
        <v>173</v>
      </c>
      <c r="L3" s="112" t="s">
        <v>101</v>
      </c>
      <c r="M3" s="112" t="s">
        <v>108</v>
      </c>
      <c r="N3" s="112" t="s">
        <v>108</v>
      </c>
      <c r="O3" s="112" t="s">
        <v>108</v>
      </c>
      <c r="P3" s="112" t="s">
        <v>60</v>
      </c>
      <c r="Q3" s="169" t="s">
        <v>90</v>
      </c>
      <c r="R3" s="112" t="s">
        <v>133</v>
      </c>
      <c r="S3" s="112" t="s">
        <v>89</v>
      </c>
      <c r="T3" s="112" t="s">
        <v>129</v>
      </c>
      <c r="U3" s="112" t="s">
        <v>117</v>
      </c>
      <c r="V3" s="112" t="s">
        <v>117</v>
      </c>
      <c r="W3" s="112" t="s">
        <v>117</v>
      </c>
      <c r="X3" s="112" t="s">
        <v>180</v>
      </c>
      <c r="Y3" s="112" t="s">
        <v>219</v>
      </c>
      <c r="Z3" s="112" t="s">
        <v>203</v>
      </c>
      <c r="AA3" s="112" t="s">
        <v>205</v>
      </c>
      <c r="AB3" s="112"/>
      <c r="AC3" s="112" t="s">
        <v>135</v>
      </c>
      <c r="AD3" s="214" t="s">
        <v>223</v>
      </c>
      <c r="AE3" s="112"/>
      <c r="AF3" s="167" t="s">
        <v>178</v>
      </c>
      <c r="AG3" s="112" t="s">
        <v>228</v>
      </c>
      <c r="AH3" s="112"/>
      <c r="AI3" s="113" t="s">
        <v>98</v>
      </c>
      <c r="AJ3" s="113" t="s">
        <v>98</v>
      </c>
      <c r="AK3" s="112"/>
      <c r="AL3" s="112"/>
      <c r="AM3" s="112"/>
      <c r="AN3" s="112"/>
      <c r="AO3" s="112" t="s">
        <v>218</v>
      </c>
      <c r="AP3" s="112"/>
      <c r="AQ3" s="112"/>
      <c r="AR3" s="214" t="s">
        <v>217</v>
      </c>
      <c r="AS3" s="112"/>
      <c r="AT3" s="112"/>
      <c r="AU3" s="112"/>
      <c r="AV3" s="112"/>
      <c r="AW3" s="168" t="s">
        <v>57</v>
      </c>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row>
    <row r="4" spans="1:78" s="1" customFormat="1" ht="29.4" customHeight="1" thickBot="1" x14ac:dyDescent="0.35">
      <c r="A4" s="170" t="s">
        <v>41</v>
      </c>
      <c r="B4" s="115" t="str">
        <f>B7</f>
        <v>DMI</v>
      </c>
      <c r="C4" s="114" t="s">
        <v>104</v>
      </c>
      <c r="D4" s="115" t="s">
        <v>21</v>
      </c>
      <c r="E4" s="115" t="s">
        <v>23</v>
      </c>
      <c r="F4" s="115" t="s">
        <v>61</v>
      </c>
      <c r="G4" s="115" t="s">
        <v>35</v>
      </c>
      <c r="H4" s="115" t="s">
        <v>23</v>
      </c>
      <c r="I4" s="115" t="s">
        <v>102</v>
      </c>
      <c r="J4" s="114" t="s">
        <v>149</v>
      </c>
      <c r="K4" s="114" t="s">
        <v>150</v>
      </c>
      <c r="L4" s="114" t="s">
        <v>150</v>
      </c>
      <c r="M4" s="114" t="s">
        <v>42</v>
      </c>
      <c r="N4" s="114" t="s">
        <v>42</v>
      </c>
      <c r="O4" s="114" t="s">
        <v>42</v>
      </c>
      <c r="P4" s="115" t="s">
        <v>42</v>
      </c>
      <c r="Q4" s="115" t="str">
        <f t="shared" ref="Q4:W4" si="0">Q7</f>
        <v>CHMI</v>
      </c>
      <c r="R4" s="115" t="str">
        <f>R7</f>
        <v>HMS</v>
      </c>
      <c r="S4" s="115" t="str">
        <f t="shared" si="0"/>
        <v>CNRM</v>
      </c>
      <c r="T4" s="115" t="str">
        <f t="shared" si="0"/>
        <v>CNRM</v>
      </c>
      <c r="U4" s="115" t="str">
        <f t="shared" ref="U4:V4" si="1">U7</f>
        <v>KNMI</v>
      </c>
      <c r="V4" s="115" t="str">
        <f t="shared" si="1"/>
        <v>KNMI</v>
      </c>
      <c r="W4" s="115" t="str">
        <f t="shared" si="0"/>
        <v>KNMI</v>
      </c>
      <c r="X4" s="115" t="str">
        <f t="shared" ref="X4:AI4" si="2">X7</f>
        <v>UQAM</v>
      </c>
      <c r="Y4" s="115" t="str">
        <f t="shared" si="2"/>
        <v>UCLM</v>
      </c>
      <c r="Z4" s="115" t="str">
        <f t="shared" si="2"/>
        <v>ICTP</v>
      </c>
      <c r="AA4" s="115"/>
      <c r="AB4" s="115" t="str">
        <f t="shared" si="2"/>
        <v>CUNI</v>
      </c>
      <c r="AC4" s="115" t="str">
        <f t="shared" si="2"/>
        <v>DHMZ</v>
      </c>
      <c r="AD4" s="215"/>
      <c r="AE4" s="115" t="str">
        <f t="shared" si="2"/>
        <v>GISS</v>
      </c>
      <c r="AF4" s="115" t="str">
        <f t="shared" si="2"/>
        <v>CCCma</v>
      </c>
      <c r="AG4" s="115" t="str">
        <f>AG7</f>
        <v>CSIRO</v>
      </c>
      <c r="AH4" s="115" t="str">
        <f t="shared" si="2"/>
        <v>KAUST</v>
      </c>
      <c r="AI4" s="116" t="str">
        <f t="shared" si="2"/>
        <v>MOHC</v>
      </c>
      <c r="AJ4" s="116" t="str">
        <f t="shared" ref="AJ4" si="3">AJ7</f>
        <v>MOHC</v>
      </c>
      <c r="AK4" s="115" t="str">
        <f>AK7</f>
        <v>MIUB</v>
      </c>
      <c r="AL4" s="115" t="str">
        <f t="shared" ref="AL4:AV4" si="4">AL7</f>
        <v>BCCR</v>
      </c>
      <c r="AM4" s="115" t="str">
        <f t="shared" si="4"/>
        <v>CRP-GL</v>
      </c>
      <c r="AN4" s="115" t="str">
        <f t="shared" si="4"/>
        <v>IDL</v>
      </c>
      <c r="AO4" s="115" t="s">
        <v>165</v>
      </c>
      <c r="AP4" s="115" t="str">
        <f t="shared" si="4"/>
        <v>AUTH-Met</v>
      </c>
      <c r="AQ4" s="115" t="str">
        <f t="shared" si="4"/>
        <v>AUTH-LHTEE</v>
      </c>
      <c r="AR4" s="115" t="str">
        <f t="shared" si="4"/>
        <v>NUIM</v>
      </c>
      <c r="AS4" s="115" t="str">
        <f t="shared" si="4"/>
        <v>UHOH</v>
      </c>
      <c r="AT4" s="115" t="str">
        <f t="shared" si="4"/>
        <v>UM</v>
      </c>
      <c r="AU4" s="115" t="str">
        <f t="shared" si="4"/>
        <v>UCAN</v>
      </c>
      <c r="AV4" s="115" t="str">
        <f t="shared" si="4"/>
        <v>UCAN</v>
      </c>
      <c r="AW4" s="170" t="s">
        <v>41</v>
      </c>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row>
    <row r="5" spans="1:78" s="136" customFormat="1" ht="37.200000000000003" customHeight="1" thickBot="1" x14ac:dyDescent="0.35">
      <c r="A5" s="171" t="s">
        <v>126</v>
      </c>
      <c r="B5" s="114"/>
      <c r="C5" s="114"/>
      <c r="D5" s="114"/>
      <c r="E5" s="117"/>
      <c r="F5" s="117"/>
      <c r="G5" s="118"/>
      <c r="H5" s="118"/>
      <c r="I5" s="118"/>
      <c r="J5" s="118" t="s">
        <v>123</v>
      </c>
      <c r="K5" s="118" t="s">
        <v>122</v>
      </c>
      <c r="L5" s="118" t="s">
        <v>125</v>
      </c>
      <c r="M5" s="118"/>
      <c r="N5" s="118"/>
      <c r="O5" s="118"/>
      <c r="P5" s="118"/>
      <c r="Q5" s="129"/>
      <c r="R5" s="131"/>
      <c r="S5" s="129"/>
      <c r="T5" s="130"/>
      <c r="U5" s="130"/>
      <c r="V5" s="130"/>
      <c r="W5" s="130"/>
      <c r="X5" s="131"/>
      <c r="Y5" s="131"/>
      <c r="Z5" s="131"/>
      <c r="AA5" s="131"/>
      <c r="AB5" s="131"/>
      <c r="AC5" s="131"/>
      <c r="AD5" s="216"/>
      <c r="AE5" s="131"/>
      <c r="AF5" s="131"/>
      <c r="AG5" s="131"/>
      <c r="AH5" s="131"/>
      <c r="AI5" s="132"/>
      <c r="AJ5" s="132"/>
      <c r="AK5" s="133"/>
      <c r="AL5" s="133"/>
      <c r="AM5" s="134"/>
      <c r="AN5" s="134"/>
      <c r="AO5" s="134"/>
      <c r="AP5" s="131"/>
      <c r="AQ5" s="131"/>
      <c r="AR5" s="131"/>
      <c r="AS5" s="131"/>
      <c r="AT5" s="131"/>
      <c r="AU5" s="131"/>
      <c r="AV5" s="131"/>
      <c r="AW5" s="171" t="s">
        <v>126</v>
      </c>
      <c r="AX5" s="135"/>
      <c r="AY5" s="135"/>
      <c r="AZ5" s="135"/>
      <c r="BA5" s="135"/>
      <c r="BB5" s="135"/>
      <c r="BC5" s="135"/>
      <c r="BD5" s="135"/>
      <c r="BE5" s="135"/>
      <c r="BF5" s="135"/>
      <c r="BG5" s="135"/>
      <c r="BH5" s="135"/>
      <c r="BI5" s="135"/>
      <c r="BJ5" s="135"/>
      <c r="BK5" s="135"/>
      <c r="BL5" s="135"/>
      <c r="BM5" s="135"/>
      <c r="BN5" s="135"/>
      <c r="BO5" s="135"/>
      <c r="BP5" s="135"/>
      <c r="BQ5" s="135"/>
      <c r="BR5" s="135"/>
      <c r="BS5" s="135"/>
      <c r="BT5" s="135"/>
      <c r="BU5" s="135"/>
      <c r="BV5" s="135"/>
      <c r="BW5" s="135"/>
      <c r="BX5" s="135"/>
      <c r="BY5" s="135"/>
      <c r="BZ5" s="135"/>
    </row>
    <row r="6" spans="1:78" s="1" customFormat="1" ht="30.6" customHeight="1" thickBot="1" x14ac:dyDescent="0.35">
      <c r="A6" s="170" t="s">
        <v>64</v>
      </c>
      <c r="B6" s="117"/>
      <c r="C6" s="117"/>
      <c r="D6" s="117"/>
      <c r="E6" s="117"/>
      <c r="F6" s="117"/>
      <c r="G6" s="117"/>
      <c r="H6" s="117"/>
      <c r="I6" s="117"/>
      <c r="J6" s="118"/>
      <c r="K6" s="118"/>
      <c r="L6" s="118"/>
      <c r="M6" s="118"/>
      <c r="N6" s="118"/>
      <c r="O6" s="118"/>
      <c r="P6" s="117"/>
      <c r="Q6" s="117"/>
      <c r="R6" s="115"/>
      <c r="S6" s="117"/>
      <c r="T6" s="117"/>
      <c r="U6" s="117"/>
      <c r="V6" s="117"/>
      <c r="W6" s="117"/>
      <c r="X6" s="115"/>
      <c r="Y6" s="115"/>
      <c r="Z6" s="115"/>
      <c r="AA6" s="115"/>
      <c r="AB6" s="115"/>
      <c r="AC6" s="115"/>
      <c r="AD6" s="215"/>
      <c r="AE6" s="115"/>
      <c r="AF6" s="115"/>
      <c r="AG6" s="115"/>
      <c r="AH6" s="115"/>
      <c r="AI6" s="116"/>
      <c r="AJ6" s="116"/>
      <c r="AK6" s="115"/>
      <c r="AL6" s="115"/>
      <c r="AM6" s="115"/>
      <c r="AN6" s="115"/>
      <c r="AO6" s="115"/>
      <c r="AP6" s="115"/>
      <c r="AQ6" s="115"/>
      <c r="AR6" s="115"/>
      <c r="AS6" s="115"/>
      <c r="AT6" s="115"/>
      <c r="AU6" s="115"/>
      <c r="AV6" s="115"/>
      <c r="AW6" s="170" t="s">
        <v>64</v>
      </c>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row>
    <row r="7" spans="1:78" s="1" customFormat="1" ht="37.799999999999997" customHeight="1" thickBot="1" x14ac:dyDescent="0.35">
      <c r="A7" s="171" t="s">
        <v>185</v>
      </c>
      <c r="B7" s="177" t="s">
        <v>22</v>
      </c>
      <c r="C7" s="177" t="s">
        <v>104</v>
      </c>
      <c r="D7" s="177" t="s">
        <v>49</v>
      </c>
      <c r="E7" s="177" t="s">
        <v>50</v>
      </c>
      <c r="F7" s="177" t="s">
        <v>50</v>
      </c>
      <c r="G7" s="178" t="s">
        <v>50</v>
      </c>
      <c r="H7" s="178" t="s">
        <v>50</v>
      </c>
      <c r="I7" s="178" t="s">
        <v>50</v>
      </c>
      <c r="J7" s="178" t="s">
        <v>121</v>
      </c>
      <c r="K7" s="178" t="s">
        <v>121</v>
      </c>
      <c r="L7" s="178" t="s">
        <v>121</v>
      </c>
      <c r="M7" s="178" t="s">
        <v>42</v>
      </c>
      <c r="N7" s="178" t="s">
        <v>42</v>
      </c>
      <c r="O7" s="178" t="s">
        <v>42</v>
      </c>
      <c r="P7" s="178" t="s">
        <v>42</v>
      </c>
      <c r="Q7" s="178" t="s">
        <v>40</v>
      </c>
      <c r="R7" s="178" t="s">
        <v>47</v>
      </c>
      <c r="S7" s="178" t="s">
        <v>39</v>
      </c>
      <c r="T7" s="186" t="s">
        <v>39</v>
      </c>
      <c r="U7" s="186" t="s">
        <v>52</v>
      </c>
      <c r="V7" s="186" t="s">
        <v>52</v>
      </c>
      <c r="W7" s="186" t="s">
        <v>52</v>
      </c>
      <c r="X7" s="178" t="s">
        <v>31</v>
      </c>
      <c r="Y7" s="178" t="s">
        <v>34</v>
      </c>
      <c r="Z7" s="178" t="s">
        <v>38</v>
      </c>
      <c r="AA7" s="178" t="s">
        <v>174</v>
      </c>
      <c r="AB7" s="178" t="s">
        <v>51</v>
      </c>
      <c r="AC7" s="178" t="s">
        <v>48</v>
      </c>
      <c r="AD7" s="217" t="s">
        <v>221</v>
      </c>
      <c r="AE7" s="178" t="s">
        <v>37</v>
      </c>
      <c r="AF7" s="178" t="s">
        <v>120</v>
      </c>
      <c r="AG7" s="178" t="s">
        <v>226</v>
      </c>
      <c r="AH7" s="178" t="s">
        <v>55</v>
      </c>
      <c r="AI7" s="178" t="s">
        <v>53</v>
      </c>
      <c r="AJ7" s="178" t="s">
        <v>53</v>
      </c>
      <c r="AK7" s="183" t="s">
        <v>143</v>
      </c>
      <c r="AL7" s="183" t="s">
        <v>45</v>
      </c>
      <c r="AM7" s="186" t="s">
        <v>36</v>
      </c>
      <c r="AN7" s="186" t="s">
        <v>46</v>
      </c>
      <c r="AO7" s="186" t="s">
        <v>164</v>
      </c>
      <c r="AP7" s="178" t="s">
        <v>144</v>
      </c>
      <c r="AQ7" s="178" t="s">
        <v>145</v>
      </c>
      <c r="AR7" s="178" t="s">
        <v>56</v>
      </c>
      <c r="AS7" s="178" t="s">
        <v>33</v>
      </c>
      <c r="AT7" s="178" t="s">
        <v>32</v>
      </c>
      <c r="AU7" s="178" t="s">
        <v>140</v>
      </c>
      <c r="AV7" s="178" t="s">
        <v>140</v>
      </c>
      <c r="AW7" s="171" t="s">
        <v>185</v>
      </c>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row>
    <row r="8" spans="1:78" s="121" customFormat="1" ht="37.799999999999997" customHeight="1" thickBot="1" x14ac:dyDescent="0.35">
      <c r="A8" s="171" t="s">
        <v>86</v>
      </c>
      <c r="B8" s="179" t="s">
        <v>20</v>
      </c>
      <c r="C8" s="179" t="s">
        <v>20</v>
      </c>
      <c r="D8" s="179" t="s">
        <v>58</v>
      </c>
      <c r="E8" s="179" t="s">
        <v>58</v>
      </c>
      <c r="F8" s="179" t="s">
        <v>58</v>
      </c>
      <c r="G8" s="180" t="s">
        <v>58</v>
      </c>
      <c r="H8" s="180" t="s">
        <v>58</v>
      </c>
      <c r="I8" s="180" t="s">
        <v>58</v>
      </c>
      <c r="J8" s="180" t="s">
        <v>124</v>
      </c>
      <c r="K8" s="180" t="s">
        <v>124</v>
      </c>
      <c r="L8" s="180" t="s">
        <v>124</v>
      </c>
      <c r="M8" s="180" t="s">
        <v>115</v>
      </c>
      <c r="N8" s="180" t="s">
        <v>116</v>
      </c>
      <c r="O8" s="180" t="s">
        <v>109</v>
      </c>
      <c r="P8" s="182" t="s">
        <v>25</v>
      </c>
      <c r="Q8" s="180" t="s">
        <v>26</v>
      </c>
      <c r="R8" s="179" t="s">
        <v>26</v>
      </c>
      <c r="S8" s="180" t="s">
        <v>26</v>
      </c>
      <c r="T8" s="188" t="s">
        <v>130</v>
      </c>
      <c r="U8" s="188" t="s">
        <v>148</v>
      </c>
      <c r="V8" s="188" t="s">
        <v>111</v>
      </c>
      <c r="W8" s="188" t="s">
        <v>97</v>
      </c>
      <c r="X8" s="180" t="s">
        <v>93</v>
      </c>
      <c r="Y8" s="180" t="s">
        <v>94</v>
      </c>
      <c r="Z8" s="180" t="s">
        <v>95</v>
      </c>
      <c r="AA8" s="180" t="s">
        <v>95</v>
      </c>
      <c r="AB8" s="180" t="s">
        <v>134</v>
      </c>
      <c r="AC8" s="180" t="s">
        <v>134</v>
      </c>
      <c r="AD8" s="218" t="s">
        <v>222</v>
      </c>
      <c r="AE8" s="182" t="s">
        <v>27</v>
      </c>
      <c r="AF8" s="180" t="s">
        <v>28</v>
      </c>
      <c r="AG8" s="180" t="s">
        <v>29</v>
      </c>
      <c r="AH8" s="180" t="s">
        <v>30</v>
      </c>
      <c r="AI8" s="179" t="s">
        <v>114</v>
      </c>
      <c r="AJ8" s="179" t="s">
        <v>128</v>
      </c>
      <c r="AK8" s="184" t="s">
        <v>137</v>
      </c>
      <c r="AL8" s="184" t="s">
        <v>136</v>
      </c>
      <c r="AM8" s="187" t="s">
        <v>137</v>
      </c>
      <c r="AN8" s="187" t="s">
        <v>138</v>
      </c>
      <c r="AO8" s="187" t="s">
        <v>139</v>
      </c>
      <c r="AP8" s="182" t="s">
        <v>137</v>
      </c>
      <c r="AQ8" s="180" t="s">
        <v>146</v>
      </c>
      <c r="AR8" s="182" t="s">
        <v>175</v>
      </c>
      <c r="AS8" s="182" t="s">
        <v>142</v>
      </c>
      <c r="AT8" s="182" t="s">
        <v>24</v>
      </c>
      <c r="AU8" s="188" t="s">
        <v>141</v>
      </c>
      <c r="AV8" s="182" t="s">
        <v>147</v>
      </c>
      <c r="AW8" s="171" t="s">
        <v>86</v>
      </c>
      <c r="AX8" s="120"/>
      <c r="AY8" s="120"/>
      <c r="AZ8" s="120"/>
      <c r="BA8" s="120"/>
      <c r="BB8" s="120"/>
      <c r="BC8" s="120"/>
      <c r="BD8" s="120"/>
      <c r="BE8" s="120"/>
      <c r="BF8" s="120"/>
      <c r="BG8" s="120"/>
      <c r="BH8" s="120"/>
      <c r="BI8" s="120"/>
      <c r="BJ8" s="120"/>
      <c r="BK8" s="120"/>
      <c r="BL8" s="120"/>
      <c r="BM8" s="120"/>
      <c r="BN8" s="120"/>
      <c r="BO8" s="120"/>
      <c r="BP8" s="120"/>
      <c r="BQ8" s="120"/>
      <c r="BR8" s="120"/>
      <c r="BS8" s="120"/>
      <c r="BT8" s="120"/>
      <c r="BU8" s="120"/>
      <c r="BV8" s="120"/>
      <c r="BW8" s="120"/>
      <c r="BX8" s="120"/>
      <c r="BY8" s="120"/>
      <c r="BZ8" s="120"/>
    </row>
    <row r="9" spans="1:78" s="35" customFormat="1" ht="61.8" thickBot="1" x14ac:dyDescent="0.35">
      <c r="A9" s="170" t="s">
        <v>167</v>
      </c>
      <c r="B9" s="116"/>
      <c r="C9" s="116" t="s">
        <v>201</v>
      </c>
      <c r="D9" s="116" t="s">
        <v>168</v>
      </c>
      <c r="E9" s="116" t="s">
        <v>168</v>
      </c>
      <c r="F9" s="116" t="s">
        <v>168</v>
      </c>
      <c r="G9" s="116" t="s">
        <v>168</v>
      </c>
      <c r="H9" s="116" t="s">
        <v>168</v>
      </c>
      <c r="I9" s="116" t="s">
        <v>168</v>
      </c>
      <c r="J9" s="116" t="s">
        <v>172</v>
      </c>
      <c r="K9" s="116" t="s">
        <v>172</v>
      </c>
      <c r="L9" s="116" t="s">
        <v>172</v>
      </c>
      <c r="M9" s="116" t="s">
        <v>170</v>
      </c>
      <c r="N9" s="116" t="s">
        <v>170</v>
      </c>
      <c r="O9" s="116" t="s">
        <v>170</v>
      </c>
      <c r="P9" s="116" t="s">
        <v>170</v>
      </c>
      <c r="Q9" s="116"/>
      <c r="R9" s="116" t="s">
        <v>192</v>
      </c>
      <c r="S9" s="116" t="s">
        <v>190</v>
      </c>
      <c r="T9" s="185" t="s">
        <v>190</v>
      </c>
      <c r="U9" s="185" t="s">
        <v>169</v>
      </c>
      <c r="V9" s="185" t="s">
        <v>169</v>
      </c>
      <c r="W9" s="185" t="s">
        <v>169</v>
      </c>
      <c r="X9" s="116" t="s">
        <v>179</v>
      </c>
      <c r="Y9" s="116" t="s">
        <v>171</v>
      </c>
      <c r="Z9" s="116" t="s">
        <v>202</v>
      </c>
      <c r="AA9" s="116" t="s">
        <v>204</v>
      </c>
      <c r="AB9" s="116"/>
      <c r="AC9" s="116" t="s">
        <v>188</v>
      </c>
      <c r="AD9" s="219" t="s">
        <v>220</v>
      </c>
      <c r="AE9" s="116"/>
      <c r="AF9" s="116" t="s">
        <v>177</v>
      </c>
      <c r="AG9" s="116" t="s">
        <v>227</v>
      </c>
      <c r="AH9" s="116"/>
      <c r="AI9" s="116" t="s">
        <v>189</v>
      </c>
      <c r="AJ9" s="116" t="s">
        <v>189</v>
      </c>
      <c r="AK9" s="185"/>
      <c r="AL9" s="185" t="s">
        <v>191</v>
      </c>
      <c r="AM9" s="185"/>
      <c r="AN9" s="185"/>
      <c r="AO9" s="185"/>
      <c r="AP9" s="116"/>
      <c r="AQ9" s="116"/>
      <c r="AR9" s="219" t="s">
        <v>216</v>
      </c>
      <c r="AS9" s="116"/>
      <c r="AT9" s="116"/>
      <c r="AU9" s="116"/>
      <c r="AV9" s="116"/>
      <c r="AW9" s="170" t="s">
        <v>167</v>
      </c>
      <c r="AX9" s="72"/>
      <c r="AY9" s="72"/>
      <c r="AZ9" s="72"/>
      <c r="BA9" s="72"/>
      <c r="BB9" s="72"/>
      <c r="BC9" s="72"/>
      <c r="BD9" s="72"/>
      <c r="BE9" s="72"/>
      <c r="BF9" s="72"/>
      <c r="BG9" s="72"/>
      <c r="BH9" s="72"/>
      <c r="BI9" s="72"/>
      <c r="BJ9" s="72"/>
      <c r="BK9" s="72"/>
      <c r="BL9" s="72"/>
      <c r="BM9" s="72"/>
      <c r="BN9" s="72"/>
      <c r="BO9" s="72"/>
      <c r="BP9" s="72"/>
      <c r="BQ9" s="72"/>
      <c r="BR9" s="72"/>
      <c r="BS9" s="72"/>
      <c r="BT9" s="72"/>
      <c r="BU9" s="72"/>
      <c r="BV9" s="72"/>
      <c r="BW9" s="72"/>
      <c r="BX9" s="72"/>
      <c r="BY9" s="72"/>
      <c r="BZ9" s="72"/>
    </row>
    <row r="10" spans="1:78" s="1" customFormat="1" ht="101.4" customHeight="1" thickBot="1" x14ac:dyDescent="0.35">
      <c r="A10" s="170" t="s">
        <v>197</v>
      </c>
      <c r="B10" s="181" t="s">
        <v>208</v>
      </c>
      <c r="C10" s="181"/>
      <c r="D10" s="181" t="s">
        <v>207</v>
      </c>
      <c r="E10" s="181"/>
      <c r="F10" s="181"/>
      <c r="G10" s="181"/>
      <c r="H10" s="181"/>
      <c r="I10" s="181"/>
      <c r="J10" s="189"/>
      <c r="K10" s="189" t="s">
        <v>215</v>
      </c>
      <c r="L10" s="189"/>
      <c r="M10" s="189"/>
      <c r="N10" s="189" t="s">
        <v>214</v>
      </c>
      <c r="O10" s="189"/>
      <c r="P10" s="181" t="s">
        <v>213</v>
      </c>
      <c r="Q10" s="181"/>
      <c r="R10" s="116" t="s">
        <v>206</v>
      </c>
      <c r="S10" s="181"/>
      <c r="T10" s="181"/>
      <c r="U10" s="181" t="s">
        <v>211</v>
      </c>
      <c r="V10" s="181" t="s">
        <v>210</v>
      </c>
      <c r="W10" s="181" t="s">
        <v>212</v>
      </c>
      <c r="X10" s="116"/>
      <c r="Y10" s="116"/>
      <c r="Z10" s="116"/>
      <c r="AA10" s="116"/>
      <c r="AB10" s="116"/>
      <c r="AC10" s="116"/>
      <c r="AD10" s="219"/>
      <c r="AE10" s="116"/>
      <c r="AF10" s="116"/>
      <c r="AG10" s="116"/>
      <c r="AH10" s="116"/>
      <c r="AI10" s="116"/>
      <c r="AJ10" s="116" t="s">
        <v>209</v>
      </c>
      <c r="AK10" s="116"/>
      <c r="AL10" s="116"/>
      <c r="AM10" s="116"/>
      <c r="AN10" s="116"/>
      <c r="AO10" s="116" t="s">
        <v>198</v>
      </c>
      <c r="AP10" s="116"/>
      <c r="AQ10" s="116"/>
      <c r="AR10" s="116"/>
      <c r="AS10" s="116"/>
      <c r="AT10" s="116"/>
      <c r="AU10" s="116" t="s">
        <v>200</v>
      </c>
      <c r="AV10" s="116"/>
      <c r="AW10" s="170" t="s">
        <v>197</v>
      </c>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row>
    <row r="11" spans="1:78" s="136" customFormat="1" ht="29.4" customHeight="1" thickBot="1" x14ac:dyDescent="0.35">
      <c r="A11" s="172" t="s">
        <v>153</v>
      </c>
      <c r="B11" s="116" t="s">
        <v>176</v>
      </c>
      <c r="C11" s="116"/>
      <c r="D11" s="116" t="s">
        <v>181</v>
      </c>
      <c r="E11" s="116" t="s">
        <v>181</v>
      </c>
      <c r="F11" s="116" t="s">
        <v>181</v>
      </c>
      <c r="G11" s="116" t="s">
        <v>181</v>
      </c>
      <c r="H11" s="116" t="s">
        <v>181</v>
      </c>
      <c r="I11" s="116" t="s">
        <v>181</v>
      </c>
      <c r="J11" s="116" t="s">
        <v>176</v>
      </c>
      <c r="K11" s="116" t="s">
        <v>176</v>
      </c>
      <c r="L11" s="116" t="s">
        <v>176</v>
      </c>
      <c r="M11" s="116" t="s">
        <v>176</v>
      </c>
      <c r="N11" s="116" t="s">
        <v>176</v>
      </c>
      <c r="O11" s="116" t="s">
        <v>176</v>
      </c>
      <c r="P11" s="116" t="s">
        <v>176</v>
      </c>
      <c r="Q11" s="116"/>
      <c r="R11" s="116" t="s">
        <v>181</v>
      </c>
      <c r="S11" s="116" t="s">
        <v>176</v>
      </c>
      <c r="T11" s="116" t="s">
        <v>176</v>
      </c>
      <c r="U11" s="116" t="s">
        <v>176</v>
      </c>
      <c r="V11" s="116" t="s">
        <v>176</v>
      </c>
      <c r="W11" s="116" t="s">
        <v>176</v>
      </c>
      <c r="X11" s="116" t="s">
        <v>176</v>
      </c>
      <c r="Y11" s="116"/>
      <c r="Z11" s="116" t="s">
        <v>176</v>
      </c>
      <c r="AA11" s="116" t="s">
        <v>181</v>
      </c>
      <c r="AB11" s="116"/>
      <c r="AC11" s="116" t="s">
        <v>181</v>
      </c>
      <c r="AD11" s="116" t="s">
        <v>181</v>
      </c>
      <c r="AE11" s="116"/>
      <c r="AF11" s="116" t="s">
        <v>176</v>
      </c>
      <c r="AG11" s="116"/>
      <c r="AH11" s="116"/>
      <c r="AI11" s="116" t="s">
        <v>176</v>
      </c>
      <c r="AJ11" s="116" t="s">
        <v>176</v>
      </c>
      <c r="AK11" s="116"/>
      <c r="AL11" s="116" t="s">
        <v>176</v>
      </c>
      <c r="AM11" s="116" t="s">
        <v>176</v>
      </c>
      <c r="AN11" s="116"/>
      <c r="AO11" s="116"/>
      <c r="AP11" s="116"/>
      <c r="AQ11" s="116"/>
      <c r="AR11" s="116" t="s">
        <v>181</v>
      </c>
      <c r="AS11" s="116"/>
      <c r="AT11" s="116"/>
      <c r="AU11" s="116" t="s">
        <v>181</v>
      </c>
      <c r="AV11" s="116"/>
      <c r="AW11" s="220" t="s">
        <v>153</v>
      </c>
      <c r="AX11" s="135"/>
      <c r="AY11" s="135"/>
      <c r="AZ11" s="135"/>
      <c r="BA11" s="135"/>
      <c r="BB11" s="135"/>
      <c r="BC11" s="135"/>
      <c r="BD11" s="135"/>
      <c r="BE11" s="135"/>
      <c r="BF11" s="135"/>
      <c r="BG11" s="135"/>
      <c r="BH11" s="135"/>
      <c r="BI11" s="135"/>
      <c r="BJ11" s="135"/>
      <c r="BK11" s="135"/>
      <c r="BL11" s="135"/>
      <c r="BM11" s="135"/>
      <c r="BN11" s="135"/>
      <c r="BO11" s="135"/>
      <c r="BP11" s="135"/>
      <c r="BQ11" s="135"/>
      <c r="BR11" s="135"/>
      <c r="BS11" s="135"/>
      <c r="BT11" s="135"/>
      <c r="BU11" s="135"/>
      <c r="BV11" s="135"/>
      <c r="BW11" s="135"/>
      <c r="BX11" s="135"/>
      <c r="BY11" s="135"/>
      <c r="BZ11" s="135"/>
    </row>
    <row r="12" spans="1:78" s="26" customFormat="1" ht="21.6" customHeight="1" thickTop="1" x14ac:dyDescent="0.3">
      <c r="A12" s="194" t="s">
        <v>152</v>
      </c>
      <c r="B12" s="194"/>
      <c r="C12" s="194"/>
      <c r="D12" s="194"/>
      <c r="E12" s="194"/>
      <c r="F12" s="194"/>
      <c r="G12" s="194"/>
      <c r="H12" s="194"/>
      <c r="I12" s="127"/>
      <c r="J12" s="127"/>
      <c r="K12" s="127"/>
      <c r="L12" s="127"/>
      <c r="M12" s="127"/>
      <c r="N12" s="127"/>
      <c r="O12" s="127"/>
      <c r="P12" s="127"/>
      <c r="Q12" s="127"/>
      <c r="R12" s="127"/>
      <c r="S12" s="127"/>
      <c r="T12" s="127"/>
      <c r="U12" s="127"/>
      <c r="V12" s="127"/>
      <c r="W12" s="127"/>
      <c r="X12" s="127"/>
      <c r="Y12" s="127"/>
      <c r="Z12" s="127"/>
      <c r="AA12" s="151"/>
      <c r="AB12" s="127"/>
      <c r="AC12" s="127"/>
      <c r="AD12" s="190"/>
      <c r="AE12" s="127"/>
      <c r="AF12" s="127"/>
      <c r="AG12" s="127"/>
      <c r="AH12" s="127"/>
      <c r="AI12" s="127"/>
      <c r="AJ12" s="127"/>
      <c r="AK12" s="127"/>
      <c r="AL12" s="127"/>
      <c r="AM12" s="127"/>
      <c r="AN12" s="127"/>
      <c r="AO12" s="127"/>
      <c r="AP12" s="127"/>
      <c r="AQ12" s="127"/>
      <c r="AR12" s="127"/>
      <c r="AS12" s="127"/>
      <c r="AT12" s="127"/>
      <c r="AU12" s="127"/>
      <c r="AV12" s="127"/>
    </row>
    <row r="13" spans="1:78" s="26" customFormat="1" ht="21" customHeight="1" x14ac:dyDescent="0.3">
      <c r="A13" s="194" t="s">
        <v>85</v>
      </c>
      <c r="B13" s="194"/>
      <c r="C13" s="194"/>
      <c r="D13" s="194"/>
      <c r="E13" s="194"/>
      <c r="F13" s="194"/>
      <c r="G13" s="141"/>
      <c r="H13" s="141"/>
      <c r="I13" s="141"/>
      <c r="J13" s="141"/>
      <c r="K13" s="141"/>
      <c r="L13" s="141"/>
      <c r="M13" s="141"/>
      <c r="N13" s="141"/>
      <c r="O13" s="141"/>
      <c r="P13" s="141"/>
      <c r="Q13" s="141"/>
      <c r="R13" s="141"/>
      <c r="S13" s="141"/>
      <c r="T13" s="141"/>
      <c r="U13" s="141"/>
      <c r="V13" s="141"/>
      <c r="W13" s="141"/>
      <c r="X13" s="141"/>
      <c r="Y13" s="141"/>
      <c r="Z13" s="141"/>
      <c r="AA13" s="141"/>
      <c r="AB13" s="141"/>
      <c r="AC13" s="141"/>
      <c r="AD13" s="141"/>
      <c r="AE13" s="141"/>
      <c r="AF13" s="141"/>
      <c r="AG13" s="141"/>
      <c r="AH13" s="141"/>
      <c r="AI13" s="141"/>
      <c r="AJ13" s="141"/>
      <c r="AK13" s="141"/>
      <c r="AL13" s="141"/>
      <c r="AM13" s="141"/>
      <c r="AN13" s="141"/>
      <c r="AO13" s="141"/>
      <c r="AP13" s="141"/>
      <c r="AQ13" s="141"/>
      <c r="AR13" s="141"/>
      <c r="AS13" s="141"/>
      <c r="AT13" s="141"/>
      <c r="AU13" s="141"/>
      <c r="AV13" s="141"/>
    </row>
    <row r="14" spans="1:78" x14ac:dyDescent="0.3">
      <c r="AW14" s="72"/>
    </row>
    <row r="22" spans="4:14" x14ac:dyDescent="0.3">
      <c r="N22" s="122"/>
    </row>
    <row r="24" spans="4:14" x14ac:dyDescent="0.3">
      <c r="D24" s="66"/>
    </row>
    <row r="38" spans="6:6" x14ac:dyDescent="0.3">
      <c r="F38" t="s">
        <v>99</v>
      </c>
    </row>
  </sheetData>
  <mergeCells count="4">
    <mergeCell ref="A1:P1"/>
    <mergeCell ref="A12:H12"/>
    <mergeCell ref="B2:H2"/>
    <mergeCell ref="A13:F13"/>
  </mergeCells>
  <conditionalFormatting sqref="B7:AC11 AE11:AV11 AD7:AV10">
    <cfRule type="containsText" dxfId="16" priority="2" operator="containsText" text="unrestricted">
      <formula>NOT(ISERROR(SEARCH("unrestricted",B7)))</formula>
    </cfRule>
  </conditionalFormatting>
  <conditionalFormatting sqref="AD11">
    <cfRule type="containsText" dxfId="15" priority="1" operator="containsText" text="unrestricted">
      <formula>NOT(ISERROR(SEARCH("unrestricted",AD11)))</formula>
    </cfRule>
  </conditionalFormatting>
  <hyperlinks>
    <hyperlink ref="AF3" r:id="rId1" display="mailto:John.Scinocca@ec.gc.ca"/>
  </hyperlinks>
  <pageMargins left="0.23622047244094491" right="0.23622047244094491" top="0.74803149606299213" bottom="0.74803149606299213" header="0.31496062992125984" footer="0.31496062992125984"/>
  <pageSetup paperSize="9" scale="47" fitToHeight="0" orientation="landscape" r:id="rId2"/>
  <colBreaks count="1" manualBreakCount="1">
    <brk id="34" max="8"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N39"/>
  <sheetViews>
    <sheetView topLeftCell="AH1" zoomScale="75" zoomScaleNormal="75" zoomScaleSheetLayoutView="75" workbookViewId="0">
      <selection activeCell="AH22" sqref="A22:XFD22"/>
    </sheetView>
  </sheetViews>
  <sheetFormatPr baseColWidth="10" defaultColWidth="8.88671875" defaultRowHeight="14.4" x14ac:dyDescent="0.3"/>
  <cols>
    <col min="1" max="1" width="20.77734375" customWidth="1"/>
    <col min="2" max="12" width="13.77734375" customWidth="1"/>
    <col min="13" max="13" width="19.6640625" customWidth="1"/>
    <col min="14" max="14" width="10.77734375" customWidth="1"/>
    <col min="15" max="15" width="10.88671875" customWidth="1"/>
    <col min="16" max="16" width="12" customWidth="1"/>
    <col min="17" max="17" width="11.88671875" customWidth="1"/>
    <col min="18" max="18" width="11.6640625" customWidth="1"/>
    <col min="19" max="19" width="13.6640625" customWidth="1"/>
    <col min="20" max="20" width="16.6640625" customWidth="1"/>
    <col min="21" max="21" width="11.88671875" customWidth="1"/>
    <col min="22" max="22" width="12.6640625" customWidth="1"/>
    <col min="23" max="23" width="15.21875" customWidth="1"/>
    <col min="24" max="24" width="16" customWidth="1"/>
    <col min="25" max="25" width="15.44140625" customWidth="1"/>
    <col min="26" max="26" width="12.6640625" customWidth="1"/>
    <col min="27" max="27" width="11.21875" customWidth="1"/>
    <col min="28" max="29" width="13.5546875" customWidth="1"/>
    <col min="30" max="30" width="13.21875" customWidth="1"/>
    <col min="31" max="31" width="11.88671875" customWidth="1"/>
    <col min="32" max="32" width="10.88671875" customWidth="1"/>
    <col min="33" max="33" width="11.6640625" customWidth="1"/>
    <col min="34" max="35" width="19.77734375" customWidth="1"/>
    <col min="36" max="36" width="9.44140625" customWidth="1"/>
    <col min="37" max="37" width="14.77734375" customWidth="1"/>
    <col min="38" max="39" width="12.77734375" customWidth="1"/>
    <col min="40" max="40" width="11.6640625" customWidth="1"/>
    <col min="41" max="41" width="9.88671875" customWidth="1"/>
    <col min="42" max="42" width="11" customWidth="1"/>
    <col min="43" max="44" width="10.77734375" customWidth="1"/>
    <col min="45" max="46" width="10.6640625" customWidth="1"/>
    <col min="47" max="47" width="11.109375" customWidth="1"/>
    <col min="48" max="48" width="10.5546875" customWidth="1"/>
    <col min="49" max="49" width="10.77734375" customWidth="1"/>
    <col min="50" max="50" width="9.88671875" customWidth="1"/>
    <col min="51" max="51" width="14.33203125" customWidth="1"/>
    <col min="52" max="52" width="13.6640625" customWidth="1"/>
    <col min="53" max="53" width="19.21875" style="26" customWidth="1"/>
    <col min="54" max="143" width="8.88671875" style="26"/>
  </cols>
  <sheetData>
    <row r="1" spans="1:144" ht="80.400000000000006" customHeight="1" x14ac:dyDescent="0.3">
      <c r="A1" s="191" t="s">
        <v>91</v>
      </c>
      <c r="B1" s="191"/>
      <c r="C1" s="191"/>
      <c r="D1" s="191"/>
      <c r="E1" s="191"/>
      <c r="F1" s="191"/>
      <c r="G1" s="191"/>
      <c r="H1" s="191"/>
      <c r="I1" s="191"/>
      <c r="J1" s="191"/>
      <c r="K1" s="191"/>
      <c r="L1" s="191"/>
      <c r="M1" s="191"/>
      <c r="N1" s="191"/>
      <c r="O1" s="191"/>
      <c r="P1" s="191"/>
      <c r="Q1" s="191"/>
      <c r="R1" s="21"/>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row>
    <row r="2" spans="1:144" ht="18" customHeight="1" thickBot="1" x14ac:dyDescent="0.35">
      <c r="A2" s="53">
        <f>GeneralRemarks!A2</f>
        <v>41901</v>
      </c>
      <c r="B2" s="51"/>
      <c r="C2" s="51"/>
      <c r="D2" s="51"/>
      <c r="E2" s="51"/>
      <c r="F2" s="51"/>
      <c r="G2" s="51"/>
      <c r="H2" s="51"/>
      <c r="I2" s="51"/>
      <c r="J2" s="51"/>
      <c r="K2" s="51"/>
      <c r="L2" s="51"/>
      <c r="M2" s="51"/>
      <c r="N2" s="51"/>
      <c r="O2" s="51"/>
      <c r="P2" s="51"/>
      <c r="Q2" s="51"/>
      <c r="R2" s="21"/>
      <c r="S2" s="20"/>
      <c r="T2" s="20"/>
      <c r="U2" s="20"/>
      <c r="V2" s="20"/>
      <c r="W2" s="20"/>
      <c r="X2" s="54">
        <f>GeneralRemarks!A2</f>
        <v>41901</v>
      </c>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Z2" s="73">
        <f>A2</f>
        <v>41901</v>
      </c>
    </row>
    <row r="3" spans="1:144" s="1" customFormat="1" ht="36.6" customHeight="1" thickTop="1" thickBot="1" x14ac:dyDescent="0.35">
      <c r="A3" s="74" t="str">
        <f>AllEntries!A3</f>
        <v>Contact</v>
      </c>
      <c r="B3" s="28" t="str">
        <f>AllEntries!B3</f>
        <v>O.B.Christensen
obc@dmi.d</v>
      </c>
      <c r="C3" s="29" t="str">
        <f>AllEntries!C3</f>
        <v>Annette.Rinke
@awi.de</v>
      </c>
      <c r="D3" s="29" t="str">
        <f>AllEntries!D3</f>
        <v>S. Legutke
legutke@dkrz.de</v>
      </c>
      <c r="E3" s="29" t="str">
        <f>AllEntries!E3</f>
        <v>sven.kotlarski
@env.ethz.ch</v>
      </c>
      <c r="F3" s="29" t="str">
        <f>AllEntries!F3</f>
        <v>heimo.truhetz
@uni-graz.at</v>
      </c>
      <c r="G3" s="29" t="str">
        <f>AllEntries!G3</f>
        <v>conor.sweeney
@ucd.ie</v>
      </c>
      <c r="H3" s="29" t="str">
        <f>AllEntries!H3</f>
        <v>edouard.davin
@env.ethz.ch</v>
      </c>
      <c r="I3" s="29" t="str">
        <f>AllEntries!I3</f>
        <v>Burkhardt.Rockel
@hzg.de</v>
      </c>
      <c r="J3" s="29" t="str">
        <f>AllEntries!J3</f>
        <v>andreas.haensler
@hzg.de</v>
      </c>
      <c r="K3" s="29" t="str">
        <f>AllEntries!K3</f>
        <v>claas.teichmann
@zmaw.de
lennart.marien@hzg.de</v>
      </c>
      <c r="L3" s="29" t="str">
        <f>AllEntries!L3</f>
        <v>alberto.elizalde
@zmaw.de</v>
      </c>
      <c r="M3" s="74" t="str">
        <f>AllEntries!A3</f>
        <v>Contact</v>
      </c>
      <c r="N3" s="28" t="str">
        <f>AllEntries!M3</f>
        <v>Ralf.Doescher
@smhi.se</v>
      </c>
      <c r="O3" s="29" t="str">
        <f>AllEntries!N3</f>
        <v>Ralf.Doescher
@smhi.se</v>
      </c>
      <c r="P3" s="29" t="str">
        <f>AllEntries!O3</f>
        <v>Ralf.Doescher
@smhi.se</v>
      </c>
      <c r="Q3" s="29" t="e">
        <f>AllEntries!#REF!</f>
        <v>#REF!</v>
      </c>
      <c r="R3" s="29" t="str">
        <f>AllEntries!P3</f>
        <v>Michael/
Grigory</v>
      </c>
      <c r="S3" s="123" t="str">
        <f>AllEntries!Q3</f>
        <v>Petr Skalak
skalak@chmi.cz</v>
      </c>
      <c r="T3" s="157" t="str">
        <f>AllEntries!R3</f>
        <v>Gabriella Szepszo szepszo.g@met.hu
Ilona Krüzselyi
kruzselyi.i@met.hu</v>
      </c>
      <c r="U3" s="29" t="str">
        <f>AllEntries!S3</f>
        <v>samuel.somot
@meteo.fr</v>
      </c>
      <c r="V3" s="29" t="str">
        <f>AllEntries!T3</f>
        <v>Michel.DEQUE
@meteo.fr</v>
      </c>
      <c r="W3" s="29" t="str">
        <f>AllEntries!U3</f>
        <v>Erik van Meijgaard 
vanmeijg@knmi.nl</v>
      </c>
      <c r="X3" s="29" t="str">
        <f>AllEntries!V3</f>
        <v>Erik van Meijgaard 
vanmeijg@knmi.nl</v>
      </c>
      <c r="Y3" s="29" t="str">
        <f>AllEntries!W3</f>
        <v>Erik van Meijgaard 
vanmeijg@knmi.nl</v>
      </c>
      <c r="Z3" s="29" t="str">
        <f>AllEntries!X3</f>
        <v>Winger.Katja
@uqam.ca</v>
      </c>
      <c r="AA3" s="29" t="str">
        <f>AllEntries!Y3</f>
        <v>marta.dominguez@uclm.es; miguel.gaertner
@uclm.es</v>
      </c>
      <c r="AB3" s="29" t="str">
        <f>AllEntries!Z3</f>
        <v>Erika Coppola coppolae@ictp.it</v>
      </c>
      <c r="AC3" s="29" t="str">
        <f>AllEntries!AA3</f>
        <v>Sandro Calmanti sandro.calmanti
@enea.it</v>
      </c>
      <c r="AD3" s="29">
        <f>AllEntries!AB3</f>
        <v>0</v>
      </c>
      <c r="AE3" s="29" t="str">
        <f>AllEntries!AC3</f>
        <v>ivan.guettler @gmail.com
Cedo Brankovic</v>
      </c>
      <c r="AF3" s="29">
        <f>AllEntries!AE3</f>
        <v>0</v>
      </c>
      <c r="AG3" s="27" t="str">
        <f>AllEntries!AF3</f>
        <v>John.Scinocca
@ec.gc.ca</v>
      </c>
      <c r="AH3" s="74" t="str">
        <f>AllEntries!A3</f>
        <v>Contact</v>
      </c>
      <c r="AI3" s="27" t="str">
        <f>AllEntries!AG3</f>
        <v>Jack.Katzfey@csiro.au</v>
      </c>
      <c r="AJ3" s="29">
        <f>AllEntries!AH3</f>
        <v>0</v>
      </c>
      <c r="AK3" s="55" t="str">
        <f>AllEntries!AI3</f>
        <v>carlo.buontempo
@metoffice.gov.uk</v>
      </c>
      <c r="AL3" s="55" t="str">
        <f>AllEntries!AJ3</f>
        <v>carlo.buontempo
@metoffice.gov.uk</v>
      </c>
      <c r="AM3" s="29">
        <f>AllEntries!AK3</f>
        <v>0</v>
      </c>
      <c r="AN3" s="29">
        <f>AllEntries!AL3</f>
        <v>0</v>
      </c>
      <c r="AO3" s="29">
        <f>AllEntries!AM3</f>
        <v>0</v>
      </c>
      <c r="AP3" s="29">
        <f>AllEntries!AN3</f>
        <v>0</v>
      </c>
      <c r="AQ3" s="29" t="str">
        <f>AllEntries!AO3</f>
        <v>robert.vautard
@lsce.ipsl.fr</v>
      </c>
      <c r="AR3" s="29">
        <f>AllEntries!AP3</f>
        <v>0</v>
      </c>
      <c r="AS3" s="29">
        <f>AllEntries!AQ3</f>
        <v>0</v>
      </c>
      <c r="AT3" s="29" t="str">
        <f>AllEntries!AR3</f>
        <v>Rowan Fealy : rowan.fealy
@nuim.ie</v>
      </c>
      <c r="AU3" s="29">
        <f>AllEntries!AS3</f>
        <v>0</v>
      </c>
      <c r="AV3" s="29">
        <f>AllEntries!AT3</f>
        <v>0</v>
      </c>
      <c r="AW3" s="29" t="e">
        <f>AllEntries!#REF!</f>
        <v>#REF!</v>
      </c>
      <c r="AX3" s="41">
        <f>AllEntries!AU3</f>
        <v>0</v>
      </c>
      <c r="AY3" s="27">
        <f>AllEntries!AV3</f>
        <v>0</v>
      </c>
      <c r="AZ3" s="81"/>
      <c r="BA3" s="74" t="s">
        <v>57</v>
      </c>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row>
    <row r="4" spans="1:144" s="1" customFormat="1" ht="24.6" customHeight="1" thickBot="1" x14ac:dyDescent="0.35">
      <c r="A4" s="75" t="str">
        <f>AllEntries!A4</f>
        <v>Data providing  center</v>
      </c>
      <c r="B4" s="34" t="str">
        <f>AllEntries!B4</f>
        <v>DMI</v>
      </c>
      <c r="C4" s="35" t="str">
        <f>AllEntries!C4</f>
        <v>AWI</v>
      </c>
      <c r="D4" s="35" t="str">
        <f>AllEntries!D4</f>
        <v>DKRZ</v>
      </c>
      <c r="E4" s="35" t="str">
        <f>AllEntries!E4</f>
        <v>ETH</v>
      </c>
      <c r="F4" s="35" t="str">
        <f>AllEntries!F4</f>
        <v>WEGC</v>
      </c>
      <c r="G4" s="35" t="str">
        <f>AllEntries!G4</f>
        <v>UCD</v>
      </c>
      <c r="H4" s="35" t="str">
        <f>AllEntries!H4</f>
        <v>ETH</v>
      </c>
      <c r="I4" s="35" t="str">
        <f>AllEntries!I4</f>
        <v>GKSS</v>
      </c>
      <c r="J4" s="36" t="str">
        <f>AllEntries!J4</f>
        <v>CSC</v>
      </c>
      <c r="K4" s="36" t="str">
        <f>AllEntries!K4</f>
        <v>MPI-M</v>
      </c>
      <c r="L4" s="36" t="str">
        <f>AllEntries!L4</f>
        <v>MPI-M</v>
      </c>
      <c r="M4" s="75" t="str">
        <f>AllEntries!A4</f>
        <v>Data providing  center</v>
      </c>
      <c r="N4" s="34" t="str">
        <f>AllEntries!M4</f>
        <v>SMHI</v>
      </c>
      <c r="O4" s="35" t="str">
        <f>AllEntries!N4</f>
        <v>SMHI</v>
      </c>
      <c r="P4" s="35" t="str">
        <f>AllEntries!O4</f>
        <v>SMHI</v>
      </c>
      <c r="Q4" s="35" t="e">
        <f>AllEntries!#REF!</f>
        <v>#REF!</v>
      </c>
      <c r="R4" s="35" t="str">
        <f>AllEntries!P4</f>
        <v>SMHI</v>
      </c>
      <c r="S4" s="35" t="str">
        <f>AllEntries!Q4</f>
        <v>CHMI</v>
      </c>
      <c r="T4" s="35" t="str">
        <f>AllEntries!R4</f>
        <v>HMS</v>
      </c>
      <c r="U4" s="35" t="str">
        <f>AllEntries!S4</f>
        <v>CNRM</v>
      </c>
      <c r="V4" s="35" t="str">
        <f>AllEntries!T4</f>
        <v>CNRM</v>
      </c>
      <c r="W4" s="35" t="str">
        <f>AllEntries!U4</f>
        <v>KNMI</v>
      </c>
      <c r="X4" s="35" t="str">
        <f>AllEntries!V4</f>
        <v>KNMI</v>
      </c>
      <c r="Y4" s="35" t="str">
        <f>AllEntries!W4</f>
        <v>KNMI</v>
      </c>
      <c r="Z4" s="35" t="str">
        <f>AllEntries!X4</f>
        <v>UQAM</v>
      </c>
      <c r="AA4" s="35" t="str">
        <f>AllEntries!Y4</f>
        <v>UCLM</v>
      </c>
      <c r="AB4" s="35" t="str">
        <f>AllEntries!Z4</f>
        <v>ICTP</v>
      </c>
      <c r="AC4" s="35">
        <f>AllEntries!AA4</f>
        <v>0</v>
      </c>
      <c r="AD4" s="35" t="str">
        <f>AllEntries!AB4</f>
        <v>CUNI</v>
      </c>
      <c r="AE4" s="35" t="str">
        <f>AllEntries!AC4</f>
        <v>DHMZ</v>
      </c>
      <c r="AF4" s="35" t="str">
        <f>AllEntries!AE4</f>
        <v>GISS</v>
      </c>
      <c r="AG4" s="33" t="str">
        <f>AllEntries!AF4</f>
        <v>CCCma</v>
      </c>
      <c r="AH4" s="75" t="str">
        <f>AllEntries!A4</f>
        <v>Data providing  center</v>
      </c>
      <c r="AI4" s="33" t="str">
        <f>AllEntries!AG4</f>
        <v>CSIRO</v>
      </c>
      <c r="AJ4" s="35" t="str">
        <f>AllEntries!AH4</f>
        <v>KAUST</v>
      </c>
      <c r="AK4" s="56" t="str">
        <f>AllEntries!AI4</f>
        <v>MOHC</v>
      </c>
      <c r="AL4" s="56" t="str">
        <f>AllEntries!AJ4</f>
        <v>MOHC</v>
      </c>
      <c r="AM4" s="35" t="str">
        <f>AllEntries!AK4</f>
        <v>MIUB</v>
      </c>
      <c r="AN4" s="35" t="str">
        <f>AllEntries!AL4</f>
        <v>BCCR</v>
      </c>
      <c r="AO4" s="35" t="str">
        <f>AllEntries!AM4</f>
        <v>CRP-GL</v>
      </c>
      <c r="AP4" s="35" t="str">
        <f>AllEntries!AN4</f>
        <v>IDL</v>
      </c>
      <c r="AQ4" s="35" t="str">
        <f>AllEntries!AO4</f>
        <v>IPSL/INERIS</v>
      </c>
      <c r="AR4" s="35" t="str">
        <f>AllEntries!AP4</f>
        <v>AUTH-Met</v>
      </c>
      <c r="AS4" s="35" t="str">
        <f>AllEntries!AQ4</f>
        <v>AUTH-LHTEE</v>
      </c>
      <c r="AT4" s="35" t="str">
        <f>AllEntries!AR4</f>
        <v>NUIM</v>
      </c>
      <c r="AU4" s="35" t="str">
        <f>AllEntries!AS4</f>
        <v>UHOH</v>
      </c>
      <c r="AV4" s="35" t="str">
        <f>AllEntries!AT4</f>
        <v>UM</v>
      </c>
      <c r="AW4" s="35" t="e">
        <f>AllEntries!#REF!</f>
        <v>#REF!</v>
      </c>
      <c r="AX4" s="42" t="str">
        <f>AllEntries!AU4</f>
        <v>UCAN</v>
      </c>
      <c r="AY4" s="33" t="str">
        <f>AllEntries!AV4</f>
        <v>UCAN</v>
      </c>
      <c r="AZ4" s="198" t="s">
        <v>16</v>
      </c>
      <c r="BA4" s="75" t="s">
        <v>41</v>
      </c>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row>
    <row r="5" spans="1:144" s="1" customFormat="1" ht="24.6" customHeight="1" thickBot="1" x14ac:dyDescent="0.35">
      <c r="A5" s="75" t="str">
        <f>AllEntries!A6</f>
        <v>URL, path etc. to data**</v>
      </c>
      <c r="B5" s="69">
        <f>AllEntries!B6</f>
        <v>0</v>
      </c>
      <c r="C5" s="70">
        <f>AllEntries!C6</f>
        <v>0</v>
      </c>
      <c r="D5" s="70">
        <f>AllEntries!D6</f>
        <v>0</v>
      </c>
      <c r="E5" s="70">
        <f>AllEntries!E6</f>
        <v>0</v>
      </c>
      <c r="F5" s="70">
        <f>AllEntries!F6</f>
        <v>0</v>
      </c>
      <c r="G5" s="70">
        <f>AllEntries!G6</f>
        <v>0</v>
      </c>
      <c r="H5" s="70">
        <f>AllEntries!H6</f>
        <v>0</v>
      </c>
      <c r="I5" s="70">
        <f>AllEntries!I6</f>
        <v>0</v>
      </c>
      <c r="J5" s="71">
        <f>AllEntries!J6</f>
        <v>0</v>
      </c>
      <c r="K5" s="71">
        <f>AllEntries!K6</f>
        <v>0</v>
      </c>
      <c r="L5" s="71">
        <f>AllEntries!L6</f>
        <v>0</v>
      </c>
      <c r="M5" s="75" t="str">
        <f>AllEntries!A6</f>
        <v>URL, path etc. to data**</v>
      </c>
      <c r="N5" s="69">
        <f>AllEntries!M6</f>
        <v>0</v>
      </c>
      <c r="O5" s="70">
        <f>AllEntries!N6</f>
        <v>0</v>
      </c>
      <c r="P5" s="70">
        <f>AllEntries!O6</f>
        <v>0</v>
      </c>
      <c r="Q5" s="70" t="e">
        <f>AllEntries!#REF!</f>
        <v>#REF!</v>
      </c>
      <c r="R5" s="70">
        <f>AllEntries!P6</f>
        <v>0</v>
      </c>
      <c r="S5" s="70">
        <f>AllEntries!Q6</f>
        <v>0</v>
      </c>
      <c r="T5" s="70">
        <f>AllEntries!R6</f>
        <v>0</v>
      </c>
      <c r="U5" s="70">
        <f>AllEntries!S6</f>
        <v>0</v>
      </c>
      <c r="V5" s="70">
        <f>AllEntries!T6</f>
        <v>0</v>
      </c>
      <c r="W5" s="70">
        <f>AllEntries!U6</f>
        <v>0</v>
      </c>
      <c r="X5" s="70">
        <f>AllEntries!V6</f>
        <v>0</v>
      </c>
      <c r="Y5" s="70">
        <f>AllEntries!W6</f>
        <v>0</v>
      </c>
      <c r="Z5" s="35">
        <f>AllEntries!X6</f>
        <v>0</v>
      </c>
      <c r="AA5" s="35">
        <f>AllEntries!Y6</f>
        <v>0</v>
      </c>
      <c r="AB5" s="35">
        <f>AllEntries!Z6</f>
        <v>0</v>
      </c>
      <c r="AC5" s="35">
        <f>AllEntries!AA6</f>
        <v>0</v>
      </c>
      <c r="AD5" s="35">
        <f>AllEntries!AB6</f>
        <v>0</v>
      </c>
      <c r="AE5" s="35">
        <f>AllEntries!AC6</f>
        <v>0</v>
      </c>
      <c r="AF5" s="35">
        <f>AllEntries!AE6</f>
        <v>0</v>
      </c>
      <c r="AG5" s="33">
        <f>AllEntries!AF6</f>
        <v>0</v>
      </c>
      <c r="AH5" s="75" t="str">
        <f>AllEntries!A6</f>
        <v>URL, path etc. to data**</v>
      </c>
      <c r="AI5" s="33">
        <f>AllEntries!AG6</f>
        <v>0</v>
      </c>
      <c r="AJ5" s="35">
        <f>AllEntries!AH6</f>
        <v>0</v>
      </c>
      <c r="AK5" s="56">
        <f>AllEntries!AI6</f>
        <v>0</v>
      </c>
      <c r="AL5" s="56">
        <f>AllEntries!AJ6</f>
        <v>0</v>
      </c>
      <c r="AM5" s="35">
        <f>AllEntries!AK6</f>
        <v>0</v>
      </c>
      <c r="AN5" s="35">
        <f>AllEntries!AL6</f>
        <v>0</v>
      </c>
      <c r="AO5" s="35">
        <f>AllEntries!AM6</f>
        <v>0</v>
      </c>
      <c r="AP5" s="35">
        <f>AllEntries!AN6</f>
        <v>0</v>
      </c>
      <c r="AQ5" s="35">
        <f>AllEntries!AO6</f>
        <v>0</v>
      </c>
      <c r="AR5" s="35">
        <f>AllEntries!AP6</f>
        <v>0</v>
      </c>
      <c r="AS5" s="35">
        <f>AllEntries!AQ6</f>
        <v>0</v>
      </c>
      <c r="AT5" s="35">
        <f>AllEntries!AR6</f>
        <v>0</v>
      </c>
      <c r="AU5" s="35">
        <f>AllEntries!AS6</f>
        <v>0</v>
      </c>
      <c r="AV5" s="35">
        <f>AllEntries!AT6</f>
        <v>0</v>
      </c>
      <c r="AW5" s="35" t="e">
        <f>AllEntries!#REF!</f>
        <v>#REF!</v>
      </c>
      <c r="AX5" s="42">
        <f>AllEntries!AU6</f>
        <v>0</v>
      </c>
      <c r="AY5" s="33">
        <f>AllEntries!AV6</f>
        <v>0</v>
      </c>
      <c r="AZ5" s="199"/>
      <c r="BA5" s="75"/>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row>
    <row r="6" spans="1:144" s="1" customFormat="1" ht="37.799999999999997" customHeight="1" thickBot="1" x14ac:dyDescent="0.35">
      <c r="A6" s="76" t="str">
        <f>AllEntries!A8</f>
        <v xml:space="preserve">RCM name </v>
      </c>
      <c r="B6" s="22" t="str">
        <f>AllEntries!B8</f>
        <v>HIRHAM5</v>
      </c>
      <c r="C6" s="23" t="str">
        <f>AllEntries!C8</f>
        <v>HIRHAM5</v>
      </c>
      <c r="D6" s="23" t="str">
        <f>AllEntries!D8</f>
        <v>CCLM4-8-17</v>
      </c>
      <c r="E6" s="23" t="str">
        <f>AllEntries!E8</f>
        <v>CCLM4-8-17</v>
      </c>
      <c r="F6" s="23" t="str">
        <f>AllEntries!F8</f>
        <v>CCLM4-8-17</v>
      </c>
      <c r="G6" s="24" t="str">
        <f>AllEntries!G8</f>
        <v>CCLM4-8-17</v>
      </c>
      <c r="H6" s="24" t="str">
        <f>AllEntries!H8</f>
        <v>CCLM4-8-17</v>
      </c>
      <c r="I6" s="24" t="str">
        <f>AllEntries!I8</f>
        <v>CCLM4-8-17</v>
      </c>
      <c r="J6" s="24" t="str">
        <f>AllEntries!J8</f>
        <v>REMO2009</v>
      </c>
      <c r="K6" s="24" t="str">
        <f>AllEntries!K8</f>
        <v>REMO2009</v>
      </c>
      <c r="L6" s="24" t="str">
        <f>AllEntries!L8</f>
        <v>REMO2009</v>
      </c>
      <c r="M6" s="76" t="str">
        <f>AllEntries!A8</f>
        <v xml:space="preserve">RCM name </v>
      </c>
      <c r="N6" s="46" t="str">
        <f>AllEntries!M8</f>
        <v>RCAO-SN</v>
      </c>
      <c r="O6" s="25" t="str">
        <f>AllEntries!N8</f>
        <v>RCA4-SN</v>
      </c>
      <c r="P6" s="25" t="str">
        <f>AllEntries!O8</f>
        <v>RCAO</v>
      </c>
      <c r="Q6" s="25" t="e">
        <f>AllEntries!#REF!</f>
        <v>#REF!</v>
      </c>
      <c r="R6" s="25" t="str">
        <f>AllEntries!P8</f>
        <v>RCA4</v>
      </c>
      <c r="S6" s="24" t="str">
        <f>AllEntries!Q8</f>
        <v>ALADIN52</v>
      </c>
      <c r="T6" s="24" t="str">
        <f>AllEntries!R8</f>
        <v>ALADIN52</v>
      </c>
      <c r="U6" s="24" t="str">
        <f>AllEntries!S8</f>
        <v>ALADIN52</v>
      </c>
      <c r="V6" s="37" t="str">
        <f>AllEntries!T8</f>
        <v>ARPEGE52</v>
      </c>
      <c r="W6" s="37" t="str">
        <f>AllEntries!U8</f>
        <v>RACMO22E</v>
      </c>
      <c r="X6" s="37" t="str">
        <f>AllEntries!V8</f>
        <v>RACMO21P</v>
      </c>
      <c r="Y6" s="37" t="str">
        <f>AllEntries!W8</f>
        <v>RACMO22T</v>
      </c>
      <c r="Z6" s="24" t="str">
        <f>AllEntries!X8</f>
        <v>CRCM5</v>
      </c>
      <c r="AA6" s="24" t="str">
        <f>AllEntries!Y8</f>
        <v>PROMES</v>
      </c>
      <c r="AB6" s="24" t="str">
        <f>AllEntries!Z8</f>
        <v>RegCM4-3</v>
      </c>
      <c r="AC6" s="24" t="str">
        <f>AllEntries!AA8</f>
        <v>RegCM4-3</v>
      </c>
      <c r="AD6" s="24" t="str">
        <f>AllEntries!AB8</f>
        <v>RegCM4-2</v>
      </c>
      <c r="AE6" s="24" t="str">
        <f>AllEntries!AC8</f>
        <v>RegCM4-2</v>
      </c>
      <c r="AF6" s="25" t="str">
        <f>AllEntries!AE8</f>
        <v>RM3</v>
      </c>
      <c r="AG6" s="124" t="str">
        <f>AllEntries!AF8</f>
        <v>CanRCM4</v>
      </c>
      <c r="AH6" s="76" t="str">
        <f>AllEntries!A8</f>
        <v xml:space="preserve">RCM name </v>
      </c>
      <c r="AI6" s="124" t="str">
        <f>AllEntries!AG8</f>
        <v>CCAM</v>
      </c>
      <c r="AJ6" s="24" t="str">
        <f>AllEntries!AH8</f>
        <v>GFDL</v>
      </c>
      <c r="AK6" s="57" t="str">
        <f>AllEntries!AI8</f>
        <v>HadGEM3-RA</v>
      </c>
      <c r="AL6" s="57" t="str">
        <f>AllEntries!AJ8</f>
        <v>HadRM3P</v>
      </c>
      <c r="AM6" s="38" t="str">
        <f>AllEntries!AK8</f>
        <v>WRF331A</v>
      </c>
      <c r="AN6" s="38" t="str">
        <f>AllEntries!AL8</f>
        <v>WRF331C</v>
      </c>
      <c r="AO6" s="39" t="str">
        <f>AllEntries!AM8</f>
        <v>WRF331A</v>
      </c>
      <c r="AP6" s="39" t="str">
        <f>AllEntries!AN8</f>
        <v>WRF331D</v>
      </c>
      <c r="AQ6" s="39" t="str">
        <f>AllEntries!AO8</f>
        <v>WRF331F</v>
      </c>
      <c r="AR6" s="25" t="str">
        <f>AllEntries!AP8</f>
        <v>WRF331A</v>
      </c>
      <c r="AS6" s="24" t="str">
        <f>AllEntries!AQ8</f>
        <v>WRF321B</v>
      </c>
      <c r="AT6" s="25" t="str">
        <f>AllEntries!AR8</f>
        <v>WRF341E</v>
      </c>
      <c r="AU6" s="25" t="str">
        <f>AllEntries!AS8</f>
        <v>WRF331H</v>
      </c>
      <c r="AV6" s="25" t="str">
        <f>AllEntries!AT8</f>
        <v>WRF331</v>
      </c>
      <c r="AW6" s="37" t="e">
        <f>AllEntries!#REF!</f>
        <v>#REF!</v>
      </c>
      <c r="AX6" s="43" t="str">
        <f>AllEntries!AU8</f>
        <v>WRF331G</v>
      </c>
      <c r="AY6" s="84" t="str">
        <f>AllEntries!AV8</f>
        <v>WRF350I</v>
      </c>
      <c r="AZ6" s="200"/>
      <c r="BA6" s="76" t="s">
        <v>19</v>
      </c>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row>
    <row r="7" spans="1:144" x14ac:dyDescent="0.3">
      <c r="A7" s="77" t="s">
        <v>83</v>
      </c>
      <c r="B7" s="16">
        <f>(1*56+2*95+0)*AFR_44/1000</f>
        <v>24.796799999999998</v>
      </c>
      <c r="C7" s="17"/>
      <c r="D7" s="17">
        <f>(4*56+4*95*2+20)*AFR_44/1000</f>
        <v>101.2032</v>
      </c>
      <c r="E7" s="17">
        <f>(0*56+0*95+0)*AFR_44/1000</f>
        <v>0</v>
      </c>
      <c r="F7" s="17">
        <f>(0*56+0*95+0)*AFR_44/1000</f>
        <v>0</v>
      </c>
      <c r="G7" s="17">
        <f t="shared" ref="G7:AT7" si="0">(0*56+0*95+0)*AFR_44/1000</f>
        <v>0</v>
      </c>
      <c r="H7" s="17">
        <f t="shared" si="0"/>
        <v>0</v>
      </c>
      <c r="I7" s="17">
        <f t="shared" si="0"/>
        <v>0</v>
      </c>
      <c r="J7" s="17">
        <f>(2*56+5*95+32)*AFR_44/1000</f>
        <v>62.395199999999996</v>
      </c>
      <c r="K7" s="17">
        <f>(0*56+0*95+0)*AFR_44/1000</f>
        <v>0</v>
      </c>
      <c r="L7" s="17">
        <f>(0*56+0*95+0)*AFR_44/1000</f>
        <v>0</v>
      </c>
      <c r="M7" s="77" t="s">
        <v>11</v>
      </c>
      <c r="N7" s="16"/>
      <c r="O7" s="17"/>
      <c r="P7" s="17"/>
      <c r="Q7" s="17"/>
      <c r="R7" s="17">
        <f>(10*56+21*95+32)*AFR_44/1000</f>
        <v>260.76960000000003</v>
      </c>
      <c r="S7" s="17">
        <f>(0*56+0*95+0)*AFR_44/1000</f>
        <v>0</v>
      </c>
      <c r="T7" s="17"/>
      <c r="U7" s="17">
        <f>(1*56+2*95+20)*AFR_44/1000</f>
        <v>26.812799999999999</v>
      </c>
      <c r="V7" s="17">
        <f t="shared" si="0"/>
        <v>0</v>
      </c>
      <c r="W7" s="17"/>
      <c r="X7" s="17"/>
      <c r="Y7" s="17">
        <f>(1*56+2*95+32)*AFR_44/1000</f>
        <v>28.022399999999998</v>
      </c>
      <c r="Z7" s="17">
        <f>(2*56+2*95+32)*AFR_44/1000</f>
        <v>33.667199999999994</v>
      </c>
      <c r="AA7" s="17">
        <f>(1*56+1*65+19)*AFR_44/1000</f>
        <v>14.112</v>
      </c>
      <c r="AB7" s="17">
        <f>(1*36+4*95+22)*AFR_44/1000</f>
        <v>44.150400000000005</v>
      </c>
      <c r="AC7" s="17"/>
      <c r="AD7" s="17">
        <f t="shared" ref="AD7:AQ7" si="1">(0*56+0*95+0)*AFR_44/1000</f>
        <v>0</v>
      </c>
      <c r="AE7" s="17">
        <f t="shared" si="1"/>
        <v>0</v>
      </c>
      <c r="AF7" s="17">
        <f>(0*56+0*95+18)*AFR_44/1000</f>
        <v>1.8143999999999998</v>
      </c>
      <c r="AG7" s="85">
        <f>(1*56+2*95+20)*AFR_44/1000</f>
        <v>26.812799999999999</v>
      </c>
      <c r="AH7" s="77" t="s">
        <v>11</v>
      </c>
      <c r="AI7" s="158"/>
      <c r="AJ7" s="17">
        <f t="shared" si="1"/>
        <v>0</v>
      </c>
      <c r="AK7" s="58">
        <f t="shared" si="0"/>
        <v>0</v>
      </c>
      <c r="AL7" s="58">
        <f t="shared" si="0"/>
        <v>0</v>
      </c>
      <c r="AM7" s="58"/>
      <c r="AN7" s="17">
        <f>(1*56+2*95+32)*AFR_44/1000</f>
        <v>28.022399999999998</v>
      </c>
      <c r="AO7" s="17">
        <f t="shared" si="1"/>
        <v>0</v>
      </c>
      <c r="AP7" s="17">
        <f t="shared" si="1"/>
        <v>0</v>
      </c>
      <c r="AQ7" s="17">
        <f t="shared" si="1"/>
        <v>0</v>
      </c>
      <c r="AR7" s="17">
        <f t="shared" si="0"/>
        <v>0</v>
      </c>
      <c r="AS7" s="17">
        <f t="shared" si="0"/>
        <v>0</v>
      </c>
      <c r="AT7" s="17">
        <f t="shared" si="0"/>
        <v>0</v>
      </c>
      <c r="AU7" s="17">
        <f>(0*56+0*95+0)*AFR_44/1000</f>
        <v>0</v>
      </c>
      <c r="AV7" s="17">
        <f>(0*56+0*95+0)*AFR_44/1000</f>
        <v>0</v>
      </c>
      <c r="AW7" s="17">
        <f>(0*56+0*95+22)*AFR_44/1000</f>
        <v>2.2176</v>
      </c>
      <c r="AX7" s="44">
        <f>(0*56+0*95+22)*AFR_44/1000</f>
        <v>2.2176</v>
      </c>
      <c r="AY7" s="85">
        <f>(4*56+0*95+32)*AFR_44/1000</f>
        <v>25.8048</v>
      </c>
      <c r="AZ7" s="82">
        <f t="shared" ref="AZ7:AZ26" si="2">SUM(D7:AY7)</f>
        <v>658.02239999999983</v>
      </c>
      <c r="BA7" s="77" t="s">
        <v>11</v>
      </c>
      <c r="EN7" s="26"/>
    </row>
    <row r="8" spans="1:144" x14ac:dyDescent="0.3">
      <c r="A8" s="77" t="s">
        <v>12</v>
      </c>
      <c r="B8" s="18">
        <f>(1*56+2*95+0)*AFR44tier1/1000</f>
        <v>715.12199999999996</v>
      </c>
      <c r="C8" s="15"/>
      <c r="D8" s="15">
        <f>(4*56+4*95*2+20)*AFR44tier1/1000</f>
        <v>2918.6280000000002</v>
      </c>
      <c r="E8" s="15">
        <f>(0*56+0*95+0)*AFR44tier1/1000</f>
        <v>0</v>
      </c>
      <c r="F8" s="15">
        <f>(0*56+0*95+0)*AFR44tier1/1000</f>
        <v>0</v>
      </c>
      <c r="G8" s="15">
        <f t="shared" ref="G8:AT8" si="3">(0*56+0*95+0)*AFR44tier1/1000</f>
        <v>0</v>
      </c>
      <c r="H8" s="15">
        <f t="shared" si="3"/>
        <v>0</v>
      </c>
      <c r="I8" s="15">
        <f t="shared" si="3"/>
        <v>0</v>
      </c>
      <c r="J8" s="15">
        <f>(2*56+5*95+32)*AFR44tier1/1000</f>
        <v>1799.433</v>
      </c>
      <c r="K8" s="15">
        <f>(0*56+0*95+0)*AFR44tier1/1000</f>
        <v>0</v>
      </c>
      <c r="L8" s="15">
        <f>(0*56+0*95+0)*AFR44tier1/1000</f>
        <v>0</v>
      </c>
      <c r="M8" s="77" t="s">
        <v>12</v>
      </c>
      <c r="N8" s="18"/>
      <c r="O8" s="15"/>
      <c r="P8" s="15"/>
      <c r="Q8" s="15"/>
      <c r="R8" s="15">
        <f>(10*56+21*95+32)*AFR44tier1/1000</f>
        <v>7520.4089999999997</v>
      </c>
      <c r="S8" s="15">
        <f>(0*56+0*95+0)*AFR44tier1/1000</f>
        <v>0</v>
      </c>
      <c r="T8" s="15"/>
      <c r="U8" s="15">
        <f>(1*56+2*95+20)*AFR44tier1/1000</f>
        <v>773.26199999999994</v>
      </c>
      <c r="V8" s="15">
        <f t="shared" si="3"/>
        <v>0</v>
      </c>
      <c r="W8" s="15"/>
      <c r="X8" s="15"/>
      <c r="Y8" s="15">
        <f>(1*56+2*95+32)*AFR44tier1/1000</f>
        <v>808.14599999999996</v>
      </c>
      <c r="Z8" s="15">
        <f>(2*56+2*95+32)*AFR44tier1/1000</f>
        <v>970.93799999999999</v>
      </c>
      <c r="AA8" s="15">
        <f>(1*56+1*65+19)*AFR44tier1/1000</f>
        <v>406.98</v>
      </c>
      <c r="AB8" s="15">
        <f>(0*56+4*95+22)*AFR44tier1/1000</f>
        <v>1168.614</v>
      </c>
      <c r="AC8" s="15"/>
      <c r="AD8" s="15">
        <f t="shared" ref="AD8:AQ8" si="4">(0*56+0*95+0)*AFR44tier1/1000</f>
        <v>0</v>
      </c>
      <c r="AE8" s="15">
        <f t="shared" si="4"/>
        <v>0</v>
      </c>
      <c r="AF8" s="15">
        <f>(0*56+0*95+18)*AFR44tier1/1000</f>
        <v>52.326000000000001</v>
      </c>
      <c r="AG8" s="86">
        <f>(1*56+2*95+20)*AFR44tier1/1000</f>
        <v>773.26199999999994</v>
      </c>
      <c r="AH8" s="77" t="s">
        <v>12</v>
      </c>
      <c r="AI8" s="159"/>
      <c r="AJ8" s="15">
        <f t="shared" si="4"/>
        <v>0</v>
      </c>
      <c r="AK8" s="59">
        <f t="shared" si="3"/>
        <v>0</v>
      </c>
      <c r="AL8" s="59">
        <f t="shared" si="3"/>
        <v>0</v>
      </c>
      <c r="AM8" s="59"/>
      <c r="AN8" s="15">
        <f>(1*56+2*95+32)*AFR44tier1/1000</f>
        <v>808.14599999999996</v>
      </c>
      <c r="AO8" s="15">
        <f t="shared" si="4"/>
        <v>0</v>
      </c>
      <c r="AP8" s="15">
        <f t="shared" si="4"/>
        <v>0</v>
      </c>
      <c r="AQ8" s="15">
        <f t="shared" si="4"/>
        <v>0</v>
      </c>
      <c r="AR8" s="15">
        <f t="shared" si="3"/>
        <v>0</v>
      </c>
      <c r="AS8" s="15">
        <f t="shared" si="3"/>
        <v>0</v>
      </c>
      <c r="AT8" s="15">
        <f t="shared" si="3"/>
        <v>0</v>
      </c>
      <c r="AU8" s="15">
        <f>(0*56+0*95+0)*AFR44tier1/1000</f>
        <v>0</v>
      </c>
      <c r="AV8" s="15">
        <f>(0*56+0*95+0)*AFR44tier1/1000</f>
        <v>0</v>
      </c>
      <c r="AW8" s="15">
        <f>(0*56+0*95+22)*AFR44tier1/1000</f>
        <v>63.954000000000001</v>
      </c>
      <c r="AX8" s="45">
        <f>(0*56+0*95+22)*AFR44tier1/1000</f>
        <v>63.954000000000001</v>
      </c>
      <c r="AY8" s="86">
        <f>(4*56+0*95+32)*AFR44tier1/1000</f>
        <v>744.19200000000001</v>
      </c>
      <c r="AZ8" s="83">
        <f t="shared" si="2"/>
        <v>18872.244000000002</v>
      </c>
      <c r="BA8" s="77" t="s">
        <v>12</v>
      </c>
      <c r="EN8" s="26"/>
    </row>
    <row r="9" spans="1:144" x14ac:dyDescent="0.3">
      <c r="A9" s="77" t="s">
        <v>13</v>
      </c>
      <c r="B9" s="18">
        <f>(0*56+0*95+0)*AFR_22/1000</f>
        <v>0</v>
      </c>
      <c r="C9" s="15"/>
      <c r="D9" s="15">
        <f>(1*56+0*95+20)*AFR_22/1000</f>
        <v>30.6432</v>
      </c>
      <c r="E9" s="15">
        <f t="shared" ref="E9:AY9" si="5">(0*56+0*95+0)*AFR_22/1000</f>
        <v>0</v>
      </c>
      <c r="F9" s="15">
        <f t="shared" si="5"/>
        <v>0</v>
      </c>
      <c r="G9" s="15">
        <f t="shared" si="5"/>
        <v>0</v>
      </c>
      <c r="H9" s="15">
        <f t="shared" si="5"/>
        <v>0</v>
      </c>
      <c r="I9" s="15">
        <f t="shared" si="5"/>
        <v>0</v>
      </c>
      <c r="J9" s="15">
        <f t="shared" si="5"/>
        <v>0</v>
      </c>
      <c r="K9" s="15">
        <f t="shared" si="5"/>
        <v>0</v>
      </c>
      <c r="L9" s="15">
        <f t="shared" si="5"/>
        <v>0</v>
      </c>
      <c r="M9" s="77" t="s">
        <v>13</v>
      </c>
      <c r="N9" s="18"/>
      <c r="O9" s="15"/>
      <c r="P9" s="15"/>
      <c r="Q9" s="15"/>
      <c r="R9" s="15">
        <f t="shared" si="5"/>
        <v>0</v>
      </c>
      <c r="S9" s="15">
        <f t="shared" si="5"/>
        <v>0</v>
      </c>
      <c r="T9" s="15"/>
      <c r="U9" s="15">
        <f t="shared" si="5"/>
        <v>0</v>
      </c>
      <c r="V9" s="15">
        <f t="shared" si="5"/>
        <v>0</v>
      </c>
      <c r="W9" s="15"/>
      <c r="X9" s="15"/>
      <c r="Y9" s="15">
        <f t="shared" si="5"/>
        <v>0</v>
      </c>
      <c r="Z9" s="15">
        <f t="shared" si="5"/>
        <v>0</v>
      </c>
      <c r="AA9" s="15">
        <f t="shared" si="5"/>
        <v>0</v>
      </c>
      <c r="AB9" s="15">
        <f t="shared" si="5"/>
        <v>0</v>
      </c>
      <c r="AC9" s="15"/>
      <c r="AD9" s="15">
        <f t="shared" si="5"/>
        <v>0</v>
      </c>
      <c r="AE9" s="15">
        <f t="shared" si="5"/>
        <v>0</v>
      </c>
      <c r="AF9" s="15">
        <f t="shared" si="5"/>
        <v>0</v>
      </c>
      <c r="AG9" s="86">
        <f>(1*56+0*95+0)*AFR_22/1000</f>
        <v>22.5792</v>
      </c>
      <c r="AH9" s="77" t="s">
        <v>13</v>
      </c>
      <c r="AI9" s="159"/>
      <c r="AJ9" s="15">
        <f>(1*56+0*95+0)*AFR_22/1000</f>
        <v>22.5792</v>
      </c>
      <c r="AK9" s="59">
        <f t="shared" si="5"/>
        <v>0</v>
      </c>
      <c r="AL9" s="59">
        <f t="shared" si="5"/>
        <v>0</v>
      </c>
      <c r="AM9" s="59"/>
      <c r="AN9" s="15">
        <f t="shared" si="5"/>
        <v>0</v>
      </c>
      <c r="AO9" s="15">
        <f t="shared" si="5"/>
        <v>0</v>
      </c>
      <c r="AP9" s="15">
        <f t="shared" si="5"/>
        <v>0</v>
      </c>
      <c r="AQ9" s="15">
        <f t="shared" si="5"/>
        <v>0</v>
      </c>
      <c r="AR9" s="15">
        <f t="shared" si="5"/>
        <v>0</v>
      </c>
      <c r="AS9" s="15">
        <f t="shared" si="5"/>
        <v>0</v>
      </c>
      <c r="AT9" s="15">
        <f t="shared" si="5"/>
        <v>0</v>
      </c>
      <c r="AU9" s="15">
        <f t="shared" si="5"/>
        <v>0</v>
      </c>
      <c r="AV9" s="15">
        <f t="shared" si="5"/>
        <v>0</v>
      </c>
      <c r="AW9" s="15">
        <f t="shared" si="5"/>
        <v>0</v>
      </c>
      <c r="AX9" s="45">
        <f t="shared" si="5"/>
        <v>0</v>
      </c>
      <c r="AY9" s="86">
        <f t="shared" si="5"/>
        <v>0</v>
      </c>
      <c r="AZ9" s="83">
        <f t="shared" si="2"/>
        <v>75.801600000000008</v>
      </c>
      <c r="BA9" s="77" t="s">
        <v>13</v>
      </c>
      <c r="EN9" s="26"/>
    </row>
    <row r="10" spans="1:144" x14ac:dyDescent="0.3">
      <c r="A10" s="77" t="s">
        <v>14</v>
      </c>
      <c r="B10" s="18">
        <f>(0*56+0*95+0)*AFR22tier1/1000</f>
        <v>0</v>
      </c>
      <c r="C10" s="15"/>
      <c r="D10" s="15">
        <f>(1*56+0*95+20)*AFR22tier1/1000</f>
        <v>883.72799999999995</v>
      </c>
      <c r="E10" s="15">
        <f t="shared" ref="E10:AY10" si="6">(0*56+0*95+0)*AFR22tier1/1000</f>
        <v>0</v>
      </c>
      <c r="F10" s="15">
        <f t="shared" si="6"/>
        <v>0</v>
      </c>
      <c r="G10" s="15">
        <f t="shared" si="6"/>
        <v>0</v>
      </c>
      <c r="H10" s="15">
        <f t="shared" si="6"/>
        <v>0</v>
      </c>
      <c r="I10" s="15">
        <f t="shared" si="6"/>
        <v>0</v>
      </c>
      <c r="J10" s="15">
        <f t="shared" si="6"/>
        <v>0</v>
      </c>
      <c r="K10" s="15">
        <f t="shared" si="6"/>
        <v>0</v>
      </c>
      <c r="L10" s="15">
        <f t="shared" si="6"/>
        <v>0</v>
      </c>
      <c r="M10" s="77" t="s">
        <v>14</v>
      </c>
      <c r="N10" s="18"/>
      <c r="O10" s="15"/>
      <c r="P10" s="15"/>
      <c r="Q10" s="15"/>
      <c r="R10" s="15">
        <f t="shared" si="6"/>
        <v>0</v>
      </c>
      <c r="S10" s="15">
        <f t="shared" si="6"/>
        <v>0</v>
      </c>
      <c r="T10" s="15"/>
      <c r="U10" s="15">
        <f t="shared" si="6"/>
        <v>0</v>
      </c>
      <c r="V10" s="15">
        <f t="shared" si="6"/>
        <v>0</v>
      </c>
      <c r="W10" s="15"/>
      <c r="X10" s="15"/>
      <c r="Y10" s="15">
        <f t="shared" si="6"/>
        <v>0</v>
      </c>
      <c r="Z10" s="15">
        <f t="shared" si="6"/>
        <v>0</v>
      </c>
      <c r="AA10" s="15">
        <f t="shared" si="6"/>
        <v>0</v>
      </c>
      <c r="AB10" s="15">
        <f t="shared" si="6"/>
        <v>0</v>
      </c>
      <c r="AC10" s="15"/>
      <c r="AD10" s="15">
        <f t="shared" si="6"/>
        <v>0</v>
      </c>
      <c r="AE10" s="15">
        <f t="shared" si="6"/>
        <v>0</v>
      </c>
      <c r="AF10" s="15">
        <f t="shared" si="6"/>
        <v>0</v>
      </c>
      <c r="AG10" s="86">
        <f>(1*56+0*95+0)*AFR22tier1/1000</f>
        <v>651.16800000000001</v>
      </c>
      <c r="AH10" s="77" t="s">
        <v>14</v>
      </c>
      <c r="AI10" s="159"/>
      <c r="AJ10" s="15">
        <f>(1*56+0*95+0)*AFR22tier1/1000</f>
        <v>651.16800000000001</v>
      </c>
      <c r="AK10" s="59">
        <f t="shared" si="6"/>
        <v>0</v>
      </c>
      <c r="AL10" s="59">
        <f t="shared" si="6"/>
        <v>0</v>
      </c>
      <c r="AM10" s="59"/>
      <c r="AN10" s="15">
        <f t="shared" si="6"/>
        <v>0</v>
      </c>
      <c r="AO10" s="15">
        <f t="shared" si="6"/>
        <v>0</v>
      </c>
      <c r="AP10" s="15">
        <f t="shared" si="6"/>
        <v>0</v>
      </c>
      <c r="AQ10" s="15">
        <f t="shared" si="6"/>
        <v>0</v>
      </c>
      <c r="AR10" s="15">
        <f t="shared" si="6"/>
        <v>0</v>
      </c>
      <c r="AS10" s="15">
        <f t="shared" si="6"/>
        <v>0</v>
      </c>
      <c r="AT10" s="15">
        <f t="shared" si="6"/>
        <v>0</v>
      </c>
      <c r="AU10" s="15">
        <f t="shared" si="6"/>
        <v>0</v>
      </c>
      <c r="AV10" s="15">
        <f t="shared" si="6"/>
        <v>0</v>
      </c>
      <c r="AW10" s="15">
        <f t="shared" si="6"/>
        <v>0</v>
      </c>
      <c r="AX10" s="45">
        <f t="shared" si="6"/>
        <v>0</v>
      </c>
      <c r="AY10" s="86">
        <f t="shared" si="6"/>
        <v>0</v>
      </c>
      <c r="AZ10" s="83">
        <f t="shared" si="2"/>
        <v>2186.0639999999999</v>
      </c>
      <c r="BA10" s="77" t="s">
        <v>14</v>
      </c>
      <c r="EN10" s="26"/>
    </row>
    <row r="11" spans="1:144" x14ac:dyDescent="0.3">
      <c r="A11" s="77" t="s">
        <v>43</v>
      </c>
      <c r="B11" s="18">
        <f>(0*56+0*95+0)*EUR_11/16/1000</f>
        <v>0</v>
      </c>
      <c r="C11" s="15"/>
      <c r="D11" s="15">
        <f>(0*56+0*95+0)*EUR_11/16/1000</f>
        <v>0</v>
      </c>
      <c r="E11" s="15">
        <f>(1*56+5*95+0)*EUR_11/16/1000</f>
        <v>15.6114</v>
      </c>
      <c r="F11" s="15">
        <f>(1*56+0*95+22)*EUR_11/16/1000</f>
        <v>2.2931999999999997</v>
      </c>
      <c r="G11" s="15">
        <f>(1*56+1*95+0)*EUR_11/16/1000</f>
        <v>4.4394</v>
      </c>
      <c r="H11" s="15">
        <f>(0*56+0*95+0)*EUR_11/16/1000</f>
        <v>0</v>
      </c>
      <c r="I11" s="15">
        <f>(0*56+0*95+0)*EUR_11/16/1000</f>
        <v>0</v>
      </c>
      <c r="J11" s="15">
        <f>(0*56+0*95+0)*EUR_11/16/1000</f>
        <v>0</v>
      </c>
      <c r="K11" s="15">
        <f>(2*56+6*95+21)*EUR_11/16/1000</f>
        <v>20.668200000000002</v>
      </c>
      <c r="L11" s="15">
        <f>(0*56+0*95+0)*EUR_11/16/1000</f>
        <v>0</v>
      </c>
      <c r="M11" s="77" t="s">
        <v>43</v>
      </c>
      <c r="N11" s="18"/>
      <c r="O11" s="15"/>
      <c r="P11" s="15"/>
      <c r="Q11" s="15"/>
      <c r="R11" s="15">
        <f>(9*55+23*95+21)*EUR_11/16/1000</f>
        <v>79.409399999999991</v>
      </c>
      <c r="S11" s="15">
        <f t="shared" ref="S11:AG11" si="7">(0*56+0*95+0)*EUR_11/16/1000</f>
        <v>0</v>
      </c>
      <c r="T11" s="15"/>
      <c r="U11" s="15">
        <f t="shared" si="7"/>
        <v>0</v>
      </c>
      <c r="V11" s="15">
        <f>(0*56+0*95+21)*EUR_11/16/1000</f>
        <v>0.61739999999999995</v>
      </c>
      <c r="W11" s="15">
        <f>(0*56+0*95+0)*EUR_11/16/1000</f>
        <v>0</v>
      </c>
      <c r="X11" s="15"/>
      <c r="Y11" s="15">
        <v>0</v>
      </c>
      <c r="Z11" s="15">
        <f>(0*56+0*95+0)*EUR_11/16/1000</f>
        <v>0</v>
      </c>
      <c r="AA11" s="15">
        <f t="shared" ref="AA11:AW11" si="8">(0*56+0*95+0)*EUR_11/16/1000</f>
        <v>0</v>
      </c>
      <c r="AB11" s="15">
        <f t="shared" si="7"/>
        <v>0</v>
      </c>
      <c r="AC11" s="15"/>
      <c r="AD11" s="15">
        <f>(1*56+2*45+21)*EUR_11/16/1000</f>
        <v>4.9098000000000006</v>
      </c>
      <c r="AE11" s="15">
        <f>(1*36+2*45+21)*EUR_11/16/1000</f>
        <v>4.3218000000000005</v>
      </c>
      <c r="AF11" s="15">
        <f t="shared" si="7"/>
        <v>0</v>
      </c>
      <c r="AG11" s="86">
        <f t="shared" si="7"/>
        <v>0</v>
      </c>
      <c r="AH11" s="77" t="s">
        <v>43</v>
      </c>
      <c r="AI11" s="159"/>
      <c r="AJ11" s="15">
        <f>(0*56+0*95+0)*EUR_11/16/1000</f>
        <v>0</v>
      </c>
      <c r="AK11" s="59">
        <f t="shared" si="8"/>
        <v>0</v>
      </c>
      <c r="AL11" s="59">
        <f t="shared" si="8"/>
        <v>0</v>
      </c>
      <c r="AM11" s="59"/>
      <c r="AN11" s="15">
        <f>(1*55+3*95+21)*EUR_11/16/1000</f>
        <v>10.6134</v>
      </c>
      <c r="AO11" s="15">
        <f>(2*56+2*95+22)*EUR_11/16/1000</f>
        <v>9.5256000000000007</v>
      </c>
      <c r="AP11" s="15">
        <f>(1*46+1*95+21)*EUR_11/16/1000</f>
        <v>4.7628000000000004</v>
      </c>
      <c r="AQ11" s="15">
        <f>(0*56+0*95+0)*EUR_11/16/1000</f>
        <v>0</v>
      </c>
      <c r="AR11" s="15">
        <f>(0*56+0*95+21)*EUR_11/16/1000</f>
        <v>0.61739999999999995</v>
      </c>
      <c r="AS11" s="15">
        <f>(0*56+0*95+21)*EUR_11/16/1000</f>
        <v>0.61739999999999995</v>
      </c>
      <c r="AT11" s="15">
        <f t="shared" si="8"/>
        <v>0</v>
      </c>
      <c r="AU11" s="15">
        <f t="shared" si="8"/>
        <v>0</v>
      </c>
      <c r="AV11" s="15">
        <f t="shared" si="8"/>
        <v>0</v>
      </c>
      <c r="AW11" s="15">
        <f t="shared" si="8"/>
        <v>0</v>
      </c>
      <c r="AX11" s="45">
        <f>(1*56+0*95+21)*EUR_11/16/1000</f>
        <v>2.2637999999999998</v>
      </c>
      <c r="AY11" s="86">
        <f>(0*56+0*95+21)*EUR_11/16/1000</f>
        <v>0.61739999999999995</v>
      </c>
      <c r="AZ11" s="83">
        <f t="shared" si="2"/>
        <v>161.28840000000002</v>
      </c>
      <c r="BA11" s="77" t="s">
        <v>43</v>
      </c>
      <c r="EN11" s="26"/>
    </row>
    <row r="12" spans="1:144" x14ac:dyDescent="0.3">
      <c r="A12" s="77" t="s">
        <v>44</v>
      </c>
      <c r="B12" s="18">
        <f>(0*56+0*95+0)*EUR11tier1/16/1000</f>
        <v>0</v>
      </c>
      <c r="C12" s="15"/>
      <c r="D12" s="15">
        <f>(0*56+0*95+0)*EUR11tier1/16/1000</f>
        <v>0</v>
      </c>
      <c r="E12" s="15">
        <f>(1*56+5*95+0)*EUR11tier1/16/1000</f>
        <v>431.60343749999998</v>
      </c>
      <c r="F12" s="15">
        <f>(1*56+0*95+22)*EUR11tier1/16/1000</f>
        <v>63.399374999999999</v>
      </c>
      <c r="G12" s="15">
        <f>(1*56+1*95+0)*EUR11tier1/16/1000</f>
        <v>122.73468750000001</v>
      </c>
      <c r="H12" s="15">
        <f>(0*56+0*95+0)*EUR11tier1/16/1000</f>
        <v>0</v>
      </c>
      <c r="I12" s="15">
        <f>(0*56+0*95+0)*EUR11tier1/16/1000</f>
        <v>0</v>
      </c>
      <c r="J12" s="15">
        <f>(0*56+0*95+0)*EUR11tier1/16/1000</f>
        <v>0</v>
      </c>
      <c r="K12" s="15">
        <f>(2*56+6*95+21)*EUR11tier1/16/1000</f>
        <v>571.40718749999996</v>
      </c>
      <c r="L12" s="15">
        <f>(0*56+0*95+0)*EUR11tier1/16/1000</f>
        <v>0</v>
      </c>
      <c r="M12" s="77" t="s">
        <v>44</v>
      </c>
      <c r="N12" s="18"/>
      <c r="O12" s="15"/>
      <c r="P12" s="15"/>
      <c r="Q12" s="15"/>
      <c r="R12" s="15">
        <f>(9*55+23*95+21)*EUR11tier1/16/1000</f>
        <v>2195.4065624999998</v>
      </c>
      <c r="S12" s="15">
        <f t="shared" ref="S12:AG12" si="9">(0*56+0*95+0)*EUR11tier1/16/1000</f>
        <v>0</v>
      </c>
      <c r="T12" s="15"/>
      <c r="U12" s="15">
        <f t="shared" si="9"/>
        <v>0</v>
      </c>
      <c r="V12" s="15">
        <f>(0*56+0*95+21)*EUR11tier1/16/1000</f>
        <v>17.069062500000001</v>
      </c>
      <c r="W12" s="15">
        <f>(0*56+0*95+0)*EUR11tier1/16/1000</f>
        <v>0</v>
      </c>
      <c r="X12" s="15"/>
      <c r="Y12" s="15">
        <v>0</v>
      </c>
      <c r="Z12" s="15">
        <f>(0*56+0*95+0)*EUR11tier1/16/1000</f>
        <v>0</v>
      </c>
      <c r="AA12" s="15">
        <f t="shared" ref="AA12:AW12" si="10">(0*56+0*95+0)*EUR11tier1/16/1000</f>
        <v>0</v>
      </c>
      <c r="AB12" s="15">
        <f t="shared" si="9"/>
        <v>0</v>
      </c>
      <c r="AC12" s="15"/>
      <c r="AD12" s="15">
        <f>(1*56+2*45+21)*EUR11tier1/16/1000</f>
        <v>135.7396875</v>
      </c>
      <c r="AE12" s="15">
        <f>(1*36+2*45+21)*EUR11tier1/16/1000</f>
        <v>119.48343749999999</v>
      </c>
      <c r="AF12" s="15">
        <f t="shared" si="9"/>
        <v>0</v>
      </c>
      <c r="AG12" s="86">
        <f t="shared" si="9"/>
        <v>0</v>
      </c>
      <c r="AH12" s="77" t="s">
        <v>44</v>
      </c>
      <c r="AI12" s="159"/>
      <c r="AJ12" s="15">
        <f>(0*56+0*95+0)*EUR11tier1/16/1000</f>
        <v>0</v>
      </c>
      <c r="AK12" s="59">
        <f t="shared" si="10"/>
        <v>0</v>
      </c>
      <c r="AL12" s="59">
        <f t="shared" si="10"/>
        <v>0</v>
      </c>
      <c r="AM12" s="59"/>
      <c r="AN12" s="15">
        <f>(1*55+3*95+21)*EUR11tier1/16/1000</f>
        <v>293.42531250000002</v>
      </c>
      <c r="AO12" s="15">
        <f>(2*56+2*95+22)*EUR11tier1/16/1000</f>
        <v>263.35124999999999</v>
      </c>
      <c r="AP12" s="15">
        <f>(1*46+1*95+21)*EUR11tier1/16/1000</f>
        <v>131.675625</v>
      </c>
      <c r="AQ12" s="15">
        <f>(0*56+0*95+0)*EUR11tier1/16/1000</f>
        <v>0</v>
      </c>
      <c r="AR12" s="15">
        <f>(0*56+0*95+21)*EUR11tier1/16/1000</f>
        <v>17.069062500000001</v>
      </c>
      <c r="AS12" s="15">
        <f>(0*56+0*95+21)*EUR11tier1/16/1000</f>
        <v>17.069062500000001</v>
      </c>
      <c r="AT12" s="15">
        <f t="shared" si="10"/>
        <v>0</v>
      </c>
      <c r="AU12" s="15">
        <f t="shared" si="10"/>
        <v>0</v>
      </c>
      <c r="AV12" s="15">
        <f t="shared" si="10"/>
        <v>0</v>
      </c>
      <c r="AW12" s="15">
        <f t="shared" si="10"/>
        <v>0</v>
      </c>
      <c r="AX12" s="45">
        <f>(1*56+0*95+21)*EUR11tier1/16/1000</f>
        <v>62.586562499999999</v>
      </c>
      <c r="AY12" s="86">
        <f>(0*56+0*95+21)*EUR11tier1/16/1000</f>
        <v>17.069062500000001</v>
      </c>
      <c r="AZ12" s="83">
        <f t="shared" si="2"/>
        <v>4459.0893749999987</v>
      </c>
      <c r="BA12" s="77" t="s">
        <v>67</v>
      </c>
      <c r="BB12" s="109"/>
      <c r="EN12" s="26"/>
    </row>
    <row r="13" spans="1:144" x14ac:dyDescent="0.3">
      <c r="A13" s="77" t="s">
        <v>68</v>
      </c>
      <c r="B13" s="18">
        <f>(1*56+1*95+21)*EUR_11/1000</f>
        <v>80.908799999999999</v>
      </c>
      <c r="C13" s="15"/>
      <c r="D13" s="15">
        <f>(3*56+6*95+21)*EUR_11/1000</f>
        <v>357.03359999999998</v>
      </c>
      <c r="E13" s="15">
        <f>(1*56+2*95+0)*EUR_11/1000</f>
        <v>115.71839999999999</v>
      </c>
      <c r="F13" s="15">
        <f>(0*56+1*95+0)*EUR_11/1000</f>
        <v>44.688000000000002</v>
      </c>
      <c r="G13" s="15">
        <f>(1*56+1*95+0)*EUR_11/1000</f>
        <v>71.0304</v>
      </c>
      <c r="H13" s="15">
        <f>(0*56+0*95+0)*EUR_11/1000</f>
        <v>0</v>
      </c>
      <c r="I13" s="15">
        <f>(0*56+0*95+0)*EUR_11/1000</f>
        <v>0</v>
      </c>
      <c r="J13" s="15">
        <f>(0*56+0*95+0)*EUR_11/1000</f>
        <v>0</v>
      </c>
      <c r="K13" s="15">
        <f>(2*56+6*95+21)*EUR_11/1000</f>
        <v>330.69120000000004</v>
      </c>
      <c r="L13" s="15">
        <f>(0*56+0*95+0)*EUR_11/1000</f>
        <v>0</v>
      </c>
      <c r="M13" s="77" t="s">
        <v>68</v>
      </c>
      <c r="N13" s="18"/>
      <c r="O13" s="15"/>
      <c r="P13" s="15"/>
      <c r="Q13" s="15"/>
      <c r="R13" s="15">
        <f>(3*37+5*95+21)*EUR_11/1000</f>
        <v>285.53280000000001</v>
      </c>
      <c r="S13" s="15">
        <f>(0*56+0*95+21)*EUR_11/1000</f>
        <v>9.8783999999999992</v>
      </c>
      <c r="T13" s="15"/>
      <c r="U13" s="15">
        <f t="shared" ref="U13:AY13" si="11">(0*56+0*95+0)*EUR_11/1000</f>
        <v>0</v>
      </c>
      <c r="V13" s="15">
        <f>(1*56+1*95+21)*EUR_11/1000</f>
        <v>80.908799999999999</v>
      </c>
      <c r="W13" s="15">
        <f>(1*56+2*95+33)*EUR_11/1000</f>
        <v>131.24160000000001</v>
      </c>
      <c r="X13" s="15"/>
      <c r="Y13" s="15">
        <v>0</v>
      </c>
      <c r="Z13" s="15">
        <f t="shared" si="11"/>
        <v>0</v>
      </c>
      <c r="AA13" s="15">
        <f>(1*56+1*95+21)*EUR_11/1000</f>
        <v>80.908799999999999</v>
      </c>
      <c r="AB13" s="15">
        <f t="shared" si="11"/>
        <v>0</v>
      </c>
      <c r="AC13" s="15"/>
      <c r="AD13" s="15">
        <f t="shared" si="11"/>
        <v>0</v>
      </c>
      <c r="AE13" s="15">
        <f t="shared" si="11"/>
        <v>0</v>
      </c>
      <c r="AF13" s="15">
        <f t="shared" si="11"/>
        <v>0</v>
      </c>
      <c r="AG13" s="86">
        <f t="shared" si="11"/>
        <v>0</v>
      </c>
      <c r="AH13" s="77" t="s">
        <v>68</v>
      </c>
      <c r="AI13" s="159"/>
      <c r="AJ13" s="15">
        <f t="shared" si="11"/>
        <v>0</v>
      </c>
      <c r="AK13" s="59">
        <f t="shared" si="11"/>
        <v>0</v>
      </c>
      <c r="AL13" s="59">
        <f t="shared" si="11"/>
        <v>0</v>
      </c>
      <c r="AM13" s="59"/>
      <c r="AN13" s="15">
        <f t="shared" si="11"/>
        <v>0</v>
      </c>
      <c r="AO13" s="15">
        <f>(1*37+1*95+20)*EUR_11/1000</f>
        <v>71.500799999999998</v>
      </c>
      <c r="AP13" s="15">
        <f t="shared" si="11"/>
        <v>0</v>
      </c>
      <c r="AQ13" s="15">
        <f t="shared" si="11"/>
        <v>0</v>
      </c>
      <c r="AR13" s="15">
        <f t="shared" si="11"/>
        <v>0</v>
      </c>
      <c r="AS13" s="15">
        <f t="shared" si="11"/>
        <v>0</v>
      </c>
      <c r="AT13" s="15">
        <f t="shared" si="11"/>
        <v>0</v>
      </c>
      <c r="AU13" s="15">
        <f>(1*56+2*95+20)*EUR_11/1000</f>
        <v>125.12639999999999</v>
      </c>
      <c r="AV13" s="15">
        <f>(0*56+0*95+21)*EUR_11/1000</f>
        <v>9.8783999999999992</v>
      </c>
      <c r="AW13" s="15">
        <f t="shared" si="11"/>
        <v>0</v>
      </c>
      <c r="AX13" s="45">
        <f t="shared" si="11"/>
        <v>0</v>
      </c>
      <c r="AY13" s="86">
        <f t="shared" si="11"/>
        <v>0</v>
      </c>
      <c r="AZ13" s="83">
        <f t="shared" si="2"/>
        <v>1714.1376</v>
      </c>
      <c r="BA13" s="77" t="s">
        <v>68</v>
      </c>
      <c r="EN13" s="26"/>
    </row>
    <row r="14" spans="1:144" x14ac:dyDescent="0.3">
      <c r="A14" s="77" t="s">
        <v>74</v>
      </c>
      <c r="B14" s="18">
        <f>(1*56+1*95+21)*EUR11tier1/1000</f>
        <v>2236.86</v>
      </c>
      <c r="C14" s="15"/>
      <c r="D14" s="15">
        <f>(3*56+6*95+21)*EUR11tier1/1000</f>
        <v>9870.7950000000001</v>
      </c>
      <c r="E14" s="15">
        <f>(1*56+2*95+0)*EUR11tier1/1000</f>
        <v>3199.23</v>
      </c>
      <c r="F14" s="15">
        <f>(0*56+1*95+0)*EUR11tier1/1000</f>
        <v>1235.4749999999999</v>
      </c>
      <c r="G14" s="15">
        <f>(1*56+1*95+0)*EUR11tier1/1000</f>
        <v>1963.7550000000001</v>
      </c>
      <c r="H14" s="15">
        <f>(0*56+0*95+0)*EUR11tier1/1000</f>
        <v>0</v>
      </c>
      <c r="I14" s="15">
        <f>(0*56+0*95+0)*EUR11tier1/1000</f>
        <v>0</v>
      </c>
      <c r="J14" s="15">
        <f>(0*56+0*95+0)*EUR11tier1/1000</f>
        <v>0</v>
      </c>
      <c r="K14" s="15">
        <f>(2*56+6*95+21)*EUR11tier1/1000</f>
        <v>9142.5149999999994</v>
      </c>
      <c r="L14" s="15">
        <f>(0*56+0*95+0)*EUR11tier1/1000</f>
        <v>0</v>
      </c>
      <c r="M14" s="77" t="s">
        <v>74</v>
      </c>
      <c r="N14" s="18"/>
      <c r="O14" s="15"/>
      <c r="P14" s="15"/>
      <c r="Q14" s="15"/>
      <c r="R14" s="15">
        <f>(3*37+5*95+21)*EUR11tier1/1000</f>
        <v>7894.0349999999999</v>
      </c>
      <c r="S14" s="15">
        <f>(0*56+0*95+21)*EUR11tier1/1000</f>
        <v>273.10500000000002</v>
      </c>
      <c r="T14" s="15"/>
      <c r="U14" s="15">
        <f t="shared" ref="U14:AY14" si="12">(0*56+0*95+0)*EUR11tier1/1000</f>
        <v>0</v>
      </c>
      <c r="V14" s="15">
        <f>(1*56+1*95+21)*EUR11tier1/1000</f>
        <v>2236.86</v>
      </c>
      <c r="W14" s="15">
        <f>(1*56+2*95+33)*EUR11tier1/1000</f>
        <v>3628.395</v>
      </c>
      <c r="X14" s="15"/>
      <c r="Y14" s="15">
        <v>0</v>
      </c>
      <c r="Z14" s="15">
        <f t="shared" si="12"/>
        <v>0</v>
      </c>
      <c r="AA14" s="15">
        <f>(1*56+1*95+21)*EUR11tier1/1000</f>
        <v>2236.86</v>
      </c>
      <c r="AB14" s="15">
        <f t="shared" si="12"/>
        <v>0</v>
      </c>
      <c r="AC14" s="15"/>
      <c r="AD14" s="15">
        <f t="shared" si="12"/>
        <v>0</v>
      </c>
      <c r="AE14" s="15">
        <f t="shared" si="12"/>
        <v>0</v>
      </c>
      <c r="AF14" s="15">
        <f t="shared" si="12"/>
        <v>0</v>
      </c>
      <c r="AG14" s="86">
        <f t="shared" si="12"/>
        <v>0</v>
      </c>
      <c r="AH14" s="77" t="s">
        <v>74</v>
      </c>
      <c r="AI14" s="159"/>
      <c r="AJ14" s="15">
        <f t="shared" si="12"/>
        <v>0</v>
      </c>
      <c r="AK14" s="59">
        <f t="shared" si="12"/>
        <v>0</v>
      </c>
      <c r="AL14" s="59">
        <f t="shared" si="12"/>
        <v>0</v>
      </c>
      <c r="AM14" s="59"/>
      <c r="AN14" s="15">
        <f t="shared" si="12"/>
        <v>0</v>
      </c>
      <c r="AO14" s="15">
        <f>(1*37+1*95+20)*EUR11tier1/1000</f>
        <v>1976.76</v>
      </c>
      <c r="AP14" s="15">
        <f t="shared" si="12"/>
        <v>0</v>
      </c>
      <c r="AQ14" s="15">
        <f t="shared" si="12"/>
        <v>0</v>
      </c>
      <c r="AR14" s="15">
        <f t="shared" si="12"/>
        <v>0</v>
      </c>
      <c r="AS14" s="15">
        <f t="shared" si="12"/>
        <v>0</v>
      </c>
      <c r="AT14" s="15">
        <f t="shared" si="12"/>
        <v>0</v>
      </c>
      <c r="AU14" s="15">
        <f>(1*56+2*95+20)*EUR11tier1/1000</f>
        <v>3459.33</v>
      </c>
      <c r="AV14" s="15">
        <f>(0*56+0*95+21)*EUR11tier1/1000</f>
        <v>273.10500000000002</v>
      </c>
      <c r="AW14" s="15">
        <f t="shared" si="12"/>
        <v>0</v>
      </c>
      <c r="AX14" s="45">
        <f t="shared" si="12"/>
        <v>0</v>
      </c>
      <c r="AY14" s="86">
        <f t="shared" si="12"/>
        <v>0</v>
      </c>
      <c r="AZ14" s="83">
        <f t="shared" si="2"/>
        <v>47390.220000000008</v>
      </c>
      <c r="BA14" s="77" t="s">
        <v>74</v>
      </c>
      <c r="EN14" s="26"/>
    </row>
    <row r="15" spans="1:144" x14ac:dyDescent="0.3">
      <c r="A15" s="77" t="s">
        <v>17</v>
      </c>
      <c r="B15" s="18">
        <f>(0*56+0*95+0)*MED_44/1000</f>
        <v>0</v>
      </c>
      <c r="C15" s="15"/>
      <c r="D15" s="15">
        <f>(0*56+0*95*0+0)*MED_44/1000</f>
        <v>0</v>
      </c>
      <c r="E15" s="15">
        <f t="shared" ref="E15:AY15" si="13">(0*56+0*95+0)*MED_44/1000</f>
        <v>0</v>
      </c>
      <c r="F15" s="15">
        <f t="shared" si="13"/>
        <v>0</v>
      </c>
      <c r="G15" s="15">
        <f t="shared" si="13"/>
        <v>0</v>
      </c>
      <c r="H15" s="15">
        <f t="shared" si="13"/>
        <v>0</v>
      </c>
      <c r="I15" s="15">
        <f t="shared" si="13"/>
        <v>0</v>
      </c>
      <c r="J15" s="15">
        <f t="shared" si="13"/>
        <v>0</v>
      </c>
      <c r="K15" s="15">
        <f t="shared" si="13"/>
        <v>0</v>
      </c>
      <c r="L15" s="15">
        <f t="shared" si="13"/>
        <v>0</v>
      </c>
      <c r="M15" s="77" t="s">
        <v>17</v>
      </c>
      <c r="N15" s="18"/>
      <c r="O15" s="15"/>
      <c r="P15" s="15"/>
      <c r="Q15" s="15"/>
      <c r="R15" s="15">
        <f t="shared" si="13"/>
        <v>0</v>
      </c>
      <c r="S15" s="15">
        <f t="shared" si="13"/>
        <v>0</v>
      </c>
      <c r="T15" s="15"/>
      <c r="U15" s="15">
        <f>(1*56+2*95+33)*MED_44/1000</f>
        <v>4.4528039390675485</v>
      </c>
      <c r="V15" s="15">
        <f t="shared" si="13"/>
        <v>0</v>
      </c>
      <c r="W15" s="15"/>
      <c r="X15" s="15"/>
      <c r="Y15" s="15">
        <f t="shared" si="13"/>
        <v>0</v>
      </c>
      <c r="Z15" s="15">
        <f t="shared" si="13"/>
        <v>0</v>
      </c>
      <c r="AA15" s="15">
        <f>(1*56+2*95+20)*MED_44/1000</f>
        <v>4.2453256193260493</v>
      </c>
      <c r="AB15" s="15">
        <f t="shared" si="13"/>
        <v>0</v>
      </c>
      <c r="AC15" s="15"/>
      <c r="AD15" s="15">
        <f t="shared" si="13"/>
        <v>0</v>
      </c>
      <c r="AE15" s="15">
        <f t="shared" si="13"/>
        <v>0</v>
      </c>
      <c r="AF15" s="15">
        <f t="shared" si="13"/>
        <v>0</v>
      </c>
      <c r="AG15" s="86">
        <f t="shared" si="13"/>
        <v>0</v>
      </c>
      <c r="AH15" s="77" t="s">
        <v>17</v>
      </c>
      <c r="AI15" s="159"/>
      <c r="AJ15" s="15">
        <f t="shared" si="13"/>
        <v>0</v>
      </c>
      <c r="AK15" s="59">
        <f t="shared" si="13"/>
        <v>0</v>
      </c>
      <c r="AL15" s="59">
        <f t="shared" si="13"/>
        <v>0</v>
      </c>
      <c r="AM15" s="59"/>
      <c r="AN15" s="15">
        <f t="shared" si="13"/>
        <v>0</v>
      </c>
      <c r="AO15" s="15">
        <f t="shared" si="13"/>
        <v>0</v>
      </c>
      <c r="AP15" s="15">
        <f t="shared" si="13"/>
        <v>0</v>
      </c>
      <c r="AQ15" s="15">
        <f t="shared" si="13"/>
        <v>0</v>
      </c>
      <c r="AR15" s="15">
        <f t="shared" si="13"/>
        <v>0</v>
      </c>
      <c r="AS15" s="15">
        <f t="shared" si="13"/>
        <v>0</v>
      </c>
      <c r="AT15" s="15">
        <f t="shared" si="13"/>
        <v>0</v>
      </c>
      <c r="AU15" s="15">
        <f t="shared" si="13"/>
        <v>0</v>
      </c>
      <c r="AV15" s="15">
        <f t="shared" si="13"/>
        <v>0</v>
      </c>
      <c r="AW15" s="15">
        <f t="shared" si="13"/>
        <v>0</v>
      </c>
      <c r="AX15" s="45">
        <f t="shared" si="13"/>
        <v>0</v>
      </c>
      <c r="AY15" s="86">
        <f t="shared" si="13"/>
        <v>0</v>
      </c>
      <c r="AZ15" s="83">
        <f t="shared" si="2"/>
        <v>8.6981295583935978</v>
      </c>
      <c r="BA15" s="77" t="s">
        <v>17</v>
      </c>
      <c r="EN15" s="26"/>
    </row>
    <row r="16" spans="1:144" x14ac:dyDescent="0.3">
      <c r="A16" s="77" t="s">
        <v>73</v>
      </c>
      <c r="B16" s="18">
        <f>(0*56+0*95+0)*MED44tier1/1000</f>
        <v>0</v>
      </c>
      <c r="C16" s="15"/>
      <c r="D16" s="15">
        <f>(0*56+0*95*0+0)*MED44tier1/1000</f>
        <v>0</v>
      </c>
      <c r="E16" s="15">
        <f t="shared" ref="E16:AY16" si="14">(0*56+0*95+0)*MED44tier1/1000</f>
        <v>0</v>
      </c>
      <c r="F16" s="15">
        <f t="shared" si="14"/>
        <v>0</v>
      </c>
      <c r="G16" s="15">
        <f t="shared" si="14"/>
        <v>0</v>
      </c>
      <c r="H16" s="15">
        <f t="shared" si="14"/>
        <v>0</v>
      </c>
      <c r="I16" s="15">
        <f t="shared" si="14"/>
        <v>0</v>
      </c>
      <c r="J16" s="15">
        <f t="shared" si="14"/>
        <v>0</v>
      </c>
      <c r="K16" s="15">
        <f t="shared" si="14"/>
        <v>0</v>
      </c>
      <c r="L16" s="15">
        <f t="shared" si="14"/>
        <v>0</v>
      </c>
      <c r="M16" s="77" t="s">
        <v>75</v>
      </c>
      <c r="N16" s="18"/>
      <c r="O16" s="15"/>
      <c r="P16" s="15"/>
      <c r="Q16" s="15"/>
      <c r="R16" s="15">
        <f t="shared" si="14"/>
        <v>0</v>
      </c>
      <c r="S16" s="15">
        <f t="shared" si="14"/>
        <v>0</v>
      </c>
      <c r="T16" s="15"/>
      <c r="U16" s="15">
        <f>(1*56+2*95+33)*MED44tier1/1000</f>
        <v>128.41568502846593</v>
      </c>
      <c r="V16" s="15">
        <f t="shared" si="14"/>
        <v>0</v>
      </c>
      <c r="W16" s="15"/>
      <c r="X16" s="15"/>
      <c r="Y16" s="15">
        <f t="shared" si="14"/>
        <v>0</v>
      </c>
      <c r="Z16" s="15">
        <f t="shared" si="14"/>
        <v>0</v>
      </c>
      <c r="AA16" s="15">
        <f>(1*56+2*95+20)*MED44tier1/1000</f>
        <v>122.43215848592091</v>
      </c>
      <c r="AB16" s="15">
        <f t="shared" si="14"/>
        <v>0</v>
      </c>
      <c r="AC16" s="15"/>
      <c r="AD16" s="15">
        <f t="shared" si="14"/>
        <v>0</v>
      </c>
      <c r="AE16" s="15">
        <f t="shared" si="14"/>
        <v>0</v>
      </c>
      <c r="AF16" s="15">
        <f t="shared" si="14"/>
        <v>0</v>
      </c>
      <c r="AG16" s="86">
        <f t="shared" si="14"/>
        <v>0</v>
      </c>
      <c r="AH16" s="77" t="s">
        <v>75</v>
      </c>
      <c r="AI16" s="159"/>
      <c r="AJ16" s="15">
        <f t="shared" si="14"/>
        <v>0</v>
      </c>
      <c r="AK16" s="59">
        <f t="shared" si="14"/>
        <v>0</v>
      </c>
      <c r="AL16" s="59">
        <f t="shared" si="14"/>
        <v>0</v>
      </c>
      <c r="AM16" s="59"/>
      <c r="AN16" s="15">
        <f t="shared" si="14"/>
        <v>0</v>
      </c>
      <c r="AO16" s="15">
        <f t="shared" si="14"/>
        <v>0</v>
      </c>
      <c r="AP16" s="15">
        <f t="shared" si="14"/>
        <v>0</v>
      </c>
      <c r="AQ16" s="15">
        <f t="shared" si="14"/>
        <v>0</v>
      </c>
      <c r="AR16" s="15">
        <f t="shared" si="14"/>
        <v>0</v>
      </c>
      <c r="AS16" s="15">
        <f t="shared" si="14"/>
        <v>0</v>
      </c>
      <c r="AT16" s="15">
        <f t="shared" si="14"/>
        <v>0</v>
      </c>
      <c r="AU16" s="15">
        <f t="shared" si="14"/>
        <v>0</v>
      </c>
      <c r="AV16" s="15">
        <f t="shared" si="14"/>
        <v>0</v>
      </c>
      <c r="AW16" s="15">
        <f t="shared" si="14"/>
        <v>0</v>
      </c>
      <c r="AX16" s="45">
        <f t="shared" si="14"/>
        <v>0</v>
      </c>
      <c r="AY16" s="86">
        <f t="shared" si="14"/>
        <v>0</v>
      </c>
      <c r="AZ16" s="83">
        <f t="shared" si="2"/>
        <v>250.84784351438685</v>
      </c>
      <c r="BA16" s="77" t="s">
        <v>73</v>
      </c>
      <c r="EN16" s="26"/>
    </row>
    <row r="17" spans="1:144" x14ac:dyDescent="0.3">
      <c r="A17" s="77" t="s">
        <v>18</v>
      </c>
      <c r="B17" s="18">
        <f t="shared" ref="B17:AY17" si="15">(0*56+0*95+0)*MED_44*4/1000</f>
        <v>0</v>
      </c>
      <c r="C17" s="15"/>
      <c r="D17" s="15">
        <f t="shared" si="15"/>
        <v>0</v>
      </c>
      <c r="E17" s="15">
        <f t="shared" si="15"/>
        <v>0</v>
      </c>
      <c r="F17" s="15">
        <f t="shared" si="15"/>
        <v>0</v>
      </c>
      <c r="G17" s="15">
        <f t="shared" si="15"/>
        <v>0</v>
      </c>
      <c r="H17" s="15">
        <f t="shared" si="15"/>
        <v>0</v>
      </c>
      <c r="I17" s="15">
        <f t="shared" si="15"/>
        <v>0</v>
      </c>
      <c r="J17" s="15">
        <f>(0*56+0*95+0)*MED_44*4/1000</f>
        <v>0</v>
      </c>
      <c r="K17" s="15">
        <f>(0*56+0*95+0)*MED_44*4/1000</f>
        <v>0</v>
      </c>
      <c r="L17" s="15">
        <f>(1*56+2*95+20)*MED_44*4/1000</f>
        <v>16.981302477304197</v>
      </c>
      <c r="M17" s="77" t="s">
        <v>69</v>
      </c>
      <c r="N17" s="18"/>
      <c r="O17" s="15"/>
      <c r="P17" s="15"/>
      <c r="Q17" s="15"/>
      <c r="R17" s="15">
        <f t="shared" si="15"/>
        <v>0</v>
      </c>
      <c r="S17" s="15">
        <f t="shared" si="15"/>
        <v>0</v>
      </c>
      <c r="T17" s="15"/>
      <c r="U17" s="15">
        <f t="shared" si="15"/>
        <v>0</v>
      </c>
      <c r="V17" s="15">
        <f t="shared" si="15"/>
        <v>0</v>
      </c>
      <c r="W17" s="15"/>
      <c r="X17" s="15"/>
      <c r="Y17" s="15">
        <f t="shared" si="15"/>
        <v>0</v>
      </c>
      <c r="Z17" s="15">
        <f t="shared" si="15"/>
        <v>0</v>
      </c>
      <c r="AA17" s="15">
        <f>(1*56+2*95+20)*MED_44*4/1000</f>
        <v>16.981302477304197</v>
      </c>
      <c r="AB17" s="15">
        <f t="shared" si="15"/>
        <v>0</v>
      </c>
      <c r="AC17" s="15"/>
      <c r="AD17" s="15">
        <f t="shared" si="15"/>
        <v>0</v>
      </c>
      <c r="AE17" s="15">
        <f t="shared" si="15"/>
        <v>0</v>
      </c>
      <c r="AF17" s="15">
        <f t="shared" si="15"/>
        <v>0</v>
      </c>
      <c r="AG17" s="86">
        <f t="shared" si="15"/>
        <v>0</v>
      </c>
      <c r="AH17" s="77" t="s">
        <v>69</v>
      </c>
      <c r="AI17" s="159"/>
      <c r="AJ17" s="15">
        <f t="shared" si="15"/>
        <v>0</v>
      </c>
      <c r="AK17" s="59">
        <f t="shared" si="15"/>
        <v>0</v>
      </c>
      <c r="AL17" s="59">
        <f t="shared" si="15"/>
        <v>0</v>
      </c>
      <c r="AM17" s="59"/>
      <c r="AN17" s="15">
        <f t="shared" si="15"/>
        <v>0</v>
      </c>
      <c r="AO17" s="15">
        <f t="shared" si="15"/>
        <v>0</v>
      </c>
      <c r="AP17" s="15">
        <f t="shared" si="15"/>
        <v>0</v>
      </c>
      <c r="AQ17" s="15">
        <f t="shared" si="15"/>
        <v>0</v>
      </c>
      <c r="AR17" s="15">
        <f t="shared" si="15"/>
        <v>0</v>
      </c>
      <c r="AS17" s="15">
        <f t="shared" si="15"/>
        <v>0</v>
      </c>
      <c r="AT17" s="15">
        <f t="shared" si="15"/>
        <v>0</v>
      </c>
      <c r="AU17" s="15">
        <f t="shared" si="15"/>
        <v>0</v>
      </c>
      <c r="AV17" s="15">
        <f t="shared" si="15"/>
        <v>0</v>
      </c>
      <c r="AW17" s="15">
        <f t="shared" si="15"/>
        <v>0</v>
      </c>
      <c r="AX17" s="45">
        <f t="shared" si="15"/>
        <v>0</v>
      </c>
      <c r="AY17" s="86">
        <f t="shared" si="15"/>
        <v>0</v>
      </c>
      <c r="AZ17" s="83">
        <f t="shared" si="2"/>
        <v>33.962604954608395</v>
      </c>
      <c r="BA17" s="77" t="s">
        <v>69</v>
      </c>
      <c r="EN17" s="26"/>
    </row>
    <row r="18" spans="1:144" x14ac:dyDescent="0.3">
      <c r="A18" s="77" t="s">
        <v>70</v>
      </c>
      <c r="B18" s="18">
        <f t="shared" ref="B18:AY18" si="16">(0*56+0*95+0)*MED44tier1*4/1000</f>
        <v>0</v>
      </c>
      <c r="C18" s="15"/>
      <c r="D18" s="15">
        <f t="shared" si="16"/>
        <v>0</v>
      </c>
      <c r="E18" s="15">
        <f t="shared" si="16"/>
        <v>0</v>
      </c>
      <c r="F18" s="15">
        <f t="shared" si="16"/>
        <v>0</v>
      </c>
      <c r="G18" s="15">
        <f t="shared" si="16"/>
        <v>0</v>
      </c>
      <c r="H18" s="15">
        <f t="shared" si="16"/>
        <v>0</v>
      </c>
      <c r="I18" s="15">
        <f t="shared" si="16"/>
        <v>0</v>
      </c>
      <c r="J18" s="15">
        <f>(0*56+0*95+0)*MED44tier1*4/1000</f>
        <v>0</v>
      </c>
      <c r="K18" s="15">
        <f>(0*56+0*95+0)*MED44tier1*4/1000</f>
        <v>0</v>
      </c>
      <c r="L18" s="15">
        <f>(1*56+2*95+20)*MED44tier1*4/1000</f>
        <v>489.72863394368363</v>
      </c>
      <c r="M18" s="77" t="s">
        <v>70</v>
      </c>
      <c r="N18" s="18"/>
      <c r="O18" s="15"/>
      <c r="P18" s="15"/>
      <c r="Q18" s="15"/>
      <c r="R18" s="15">
        <f t="shared" si="16"/>
        <v>0</v>
      </c>
      <c r="S18" s="15">
        <f t="shared" si="16"/>
        <v>0</v>
      </c>
      <c r="T18" s="15"/>
      <c r="U18" s="15">
        <f t="shared" si="16"/>
        <v>0</v>
      </c>
      <c r="V18" s="15">
        <f t="shared" si="16"/>
        <v>0</v>
      </c>
      <c r="W18" s="15"/>
      <c r="X18" s="15"/>
      <c r="Y18" s="15">
        <f t="shared" si="16"/>
        <v>0</v>
      </c>
      <c r="Z18" s="15">
        <f t="shared" si="16"/>
        <v>0</v>
      </c>
      <c r="AA18" s="15">
        <f>(1*56+2*95+20)*MED44tier1*4/1000</f>
        <v>489.72863394368363</v>
      </c>
      <c r="AB18" s="15">
        <f t="shared" si="16"/>
        <v>0</v>
      </c>
      <c r="AC18" s="15"/>
      <c r="AD18" s="15">
        <f t="shared" si="16"/>
        <v>0</v>
      </c>
      <c r="AE18" s="15">
        <f t="shared" si="16"/>
        <v>0</v>
      </c>
      <c r="AF18" s="15">
        <f t="shared" si="16"/>
        <v>0</v>
      </c>
      <c r="AG18" s="86">
        <f t="shared" si="16"/>
        <v>0</v>
      </c>
      <c r="AH18" s="77" t="s">
        <v>70</v>
      </c>
      <c r="AI18" s="159"/>
      <c r="AJ18" s="15">
        <f t="shared" si="16"/>
        <v>0</v>
      </c>
      <c r="AK18" s="59">
        <f t="shared" si="16"/>
        <v>0</v>
      </c>
      <c r="AL18" s="59">
        <f t="shared" si="16"/>
        <v>0</v>
      </c>
      <c r="AM18" s="59"/>
      <c r="AN18" s="15">
        <f t="shared" si="16"/>
        <v>0</v>
      </c>
      <c r="AO18" s="15">
        <f t="shared" si="16"/>
        <v>0</v>
      </c>
      <c r="AP18" s="15">
        <f t="shared" si="16"/>
        <v>0</v>
      </c>
      <c r="AQ18" s="15">
        <f t="shared" si="16"/>
        <v>0</v>
      </c>
      <c r="AR18" s="15">
        <f t="shared" si="16"/>
        <v>0</v>
      </c>
      <c r="AS18" s="15">
        <f t="shared" si="16"/>
        <v>0</v>
      </c>
      <c r="AT18" s="15">
        <f t="shared" si="16"/>
        <v>0</v>
      </c>
      <c r="AU18" s="15">
        <f t="shared" si="16"/>
        <v>0</v>
      </c>
      <c r="AV18" s="15">
        <f t="shared" si="16"/>
        <v>0</v>
      </c>
      <c r="AW18" s="15">
        <f t="shared" si="16"/>
        <v>0</v>
      </c>
      <c r="AX18" s="45">
        <f t="shared" si="16"/>
        <v>0</v>
      </c>
      <c r="AY18" s="86">
        <f t="shared" si="16"/>
        <v>0</v>
      </c>
      <c r="AZ18" s="83">
        <f t="shared" si="2"/>
        <v>979.45726788736727</v>
      </c>
      <c r="BA18" s="77" t="s">
        <v>70</v>
      </c>
      <c r="EN18" s="26"/>
    </row>
    <row r="19" spans="1:144" x14ac:dyDescent="0.3">
      <c r="A19" s="77" t="s">
        <v>72</v>
      </c>
      <c r="B19" s="18">
        <f t="shared" ref="B19:AY19" si="17">(0*56+0*95+0)*MED_44*16/1000</f>
        <v>0</v>
      </c>
      <c r="C19" s="15"/>
      <c r="D19" s="15">
        <f t="shared" si="17"/>
        <v>0</v>
      </c>
      <c r="E19" s="15">
        <f t="shared" si="17"/>
        <v>0</v>
      </c>
      <c r="F19" s="15">
        <f t="shared" si="17"/>
        <v>0</v>
      </c>
      <c r="G19" s="15">
        <f t="shared" si="17"/>
        <v>0</v>
      </c>
      <c r="H19" s="15">
        <f t="shared" si="17"/>
        <v>0</v>
      </c>
      <c r="I19" s="15">
        <f t="shared" si="17"/>
        <v>0</v>
      </c>
      <c r="J19" s="15">
        <f>(0*56+0*95+0)*MED_44*16/1000</f>
        <v>0</v>
      </c>
      <c r="K19" s="15">
        <f>(0*56+0*95+0)*MED_44*16/1000</f>
        <v>0</v>
      </c>
      <c r="L19" s="15">
        <f>(0*56+0*95+20)*MED_44*16/1000</f>
        <v>5.1071586397907369</v>
      </c>
      <c r="M19" s="77" t="s">
        <v>76</v>
      </c>
      <c r="N19" s="18"/>
      <c r="O19" s="15"/>
      <c r="P19" s="15"/>
      <c r="Q19" s="15"/>
      <c r="R19" s="15">
        <f t="shared" si="17"/>
        <v>0</v>
      </c>
      <c r="S19" s="15">
        <f t="shared" si="17"/>
        <v>0</v>
      </c>
      <c r="T19" s="15"/>
      <c r="U19" s="15">
        <f>(1*56+2*95+33)*MED_44*16/1000</f>
        <v>71.244863025080775</v>
      </c>
      <c r="V19" s="15">
        <f t="shared" si="17"/>
        <v>0</v>
      </c>
      <c r="W19" s="15"/>
      <c r="X19" s="15"/>
      <c r="Y19" s="15">
        <f t="shared" si="17"/>
        <v>0</v>
      </c>
      <c r="Z19" s="15">
        <f t="shared" si="17"/>
        <v>0</v>
      </c>
      <c r="AA19" s="15">
        <f t="shared" si="17"/>
        <v>0</v>
      </c>
      <c r="AB19" s="15">
        <f t="shared" si="17"/>
        <v>0</v>
      </c>
      <c r="AC19" s="15"/>
      <c r="AD19" s="15">
        <f t="shared" si="17"/>
        <v>0</v>
      </c>
      <c r="AE19" s="15">
        <f t="shared" si="17"/>
        <v>0</v>
      </c>
      <c r="AF19" s="15">
        <f t="shared" si="17"/>
        <v>0</v>
      </c>
      <c r="AG19" s="86">
        <f t="shared" si="17"/>
        <v>0</v>
      </c>
      <c r="AH19" s="77" t="s">
        <v>76</v>
      </c>
      <c r="AI19" s="159"/>
      <c r="AJ19" s="15">
        <f t="shared" si="17"/>
        <v>0</v>
      </c>
      <c r="AK19" s="59">
        <f t="shared" si="17"/>
        <v>0</v>
      </c>
      <c r="AL19" s="59">
        <f t="shared" si="17"/>
        <v>0</v>
      </c>
      <c r="AM19" s="59"/>
      <c r="AN19" s="15">
        <f t="shared" si="17"/>
        <v>0</v>
      </c>
      <c r="AO19" s="15">
        <f t="shared" si="17"/>
        <v>0</v>
      </c>
      <c r="AP19" s="15">
        <f t="shared" si="17"/>
        <v>0</v>
      </c>
      <c r="AQ19" s="15">
        <f t="shared" si="17"/>
        <v>0</v>
      </c>
      <c r="AR19" s="15">
        <f t="shared" si="17"/>
        <v>0</v>
      </c>
      <c r="AS19" s="15">
        <f t="shared" si="17"/>
        <v>0</v>
      </c>
      <c r="AT19" s="15">
        <f t="shared" si="17"/>
        <v>0</v>
      </c>
      <c r="AU19" s="15">
        <f t="shared" si="17"/>
        <v>0</v>
      </c>
      <c r="AV19" s="15">
        <f t="shared" si="17"/>
        <v>0</v>
      </c>
      <c r="AW19" s="15">
        <f t="shared" si="17"/>
        <v>0</v>
      </c>
      <c r="AX19" s="45">
        <f t="shared" si="17"/>
        <v>0</v>
      </c>
      <c r="AY19" s="86">
        <f t="shared" si="17"/>
        <v>0</v>
      </c>
      <c r="AZ19" s="83">
        <f t="shared" si="2"/>
        <v>76.352021664871515</v>
      </c>
      <c r="BA19" s="77" t="s">
        <v>71</v>
      </c>
      <c r="EN19" s="26"/>
    </row>
    <row r="20" spans="1:144" x14ac:dyDescent="0.3">
      <c r="A20" s="77" t="s">
        <v>72</v>
      </c>
      <c r="B20" s="18">
        <f t="shared" ref="B20:AY20" si="18">(0*56+0*95+0)*MED44tier1*16/1000</f>
        <v>0</v>
      </c>
      <c r="C20" s="15"/>
      <c r="D20" s="15">
        <f t="shared" si="18"/>
        <v>0</v>
      </c>
      <c r="E20" s="15">
        <f t="shared" si="18"/>
        <v>0</v>
      </c>
      <c r="F20" s="15">
        <f t="shared" si="18"/>
        <v>0</v>
      </c>
      <c r="G20" s="15">
        <f t="shared" si="18"/>
        <v>0</v>
      </c>
      <c r="H20" s="15">
        <f t="shared" si="18"/>
        <v>0</v>
      </c>
      <c r="I20" s="15">
        <f t="shared" si="18"/>
        <v>0</v>
      </c>
      <c r="J20" s="15">
        <f>(0*56+0*95+0)*MED44tier1*16/1000</f>
        <v>0</v>
      </c>
      <c r="K20" s="15">
        <f>(0*56+0*95+0)*MED44tier1*16/1000</f>
        <v>0</v>
      </c>
      <c r="L20" s="15">
        <f>(0*56+0*95+20)*MED44tier1*16/1000</f>
        <v>147.28680720110785</v>
      </c>
      <c r="M20" s="77" t="s">
        <v>72</v>
      </c>
      <c r="N20" s="18"/>
      <c r="O20" s="15"/>
      <c r="P20" s="15"/>
      <c r="Q20" s="15"/>
      <c r="R20" s="15">
        <f t="shared" si="18"/>
        <v>0</v>
      </c>
      <c r="S20" s="15">
        <f t="shared" si="18"/>
        <v>0</v>
      </c>
      <c r="T20" s="15"/>
      <c r="U20" s="15">
        <f>(1*56+2*95+33)*MED44tier1*16/1000</f>
        <v>2054.6509604554549</v>
      </c>
      <c r="V20" s="15">
        <f t="shared" si="18"/>
        <v>0</v>
      </c>
      <c r="W20" s="15"/>
      <c r="X20" s="15"/>
      <c r="Y20" s="15">
        <f t="shared" si="18"/>
        <v>0</v>
      </c>
      <c r="Z20" s="15">
        <f t="shared" si="18"/>
        <v>0</v>
      </c>
      <c r="AA20" s="15">
        <f t="shared" si="18"/>
        <v>0</v>
      </c>
      <c r="AB20" s="15">
        <f t="shared" si="18"/>
        <v>0</v>
      </c>
      <c r="AC20" s="15"/>
      <c r="AD20" s="15">
        <f t="shared" si="18"/>
        <v>0</v>
      </c>
      <c r="AE20" s="15">
        <f t="shared" si="18"/>
        <v>0</v>
      </c>
      <c r="AF20" s="15">
        <f t="shared" si="18"/>
        <v>0</v>
      </c>
      <c r="AG20" s="86">
        <f t="shared" si="18"/>
        <v>0</v>
      </c>
      <c r="AH20" s="77" t="s">
        <v>72</v>
      </c>
      <c r="AI20" s="159"/>
      <c r="AJ20" s="15">
        <f t="shared" si="18"/>
        <v>0</v>
      </c>
      <c r="AK20" s="59">
        <f t="shared" si="18"/>
        <v>0</v>
      </c>
      <c r="AL20" s="59">
        <f t="shared" si="18"/>
        <v>0</v>
      </c>
      <c r="AM20" s="59"/>
      <c r="AN20" s="15">
        <f t="shared" si="18"/>
        <v>0</v>
      </c>
      <c r="AO20" s="15">
        <f t="shared" si="18"/>
        <v>0</v>
      </c>
      <c r="AP20" s="15">
        <f t="shared" si="18"/>
        <v>0</v>
      </c>
      <c r="AQ20" s="15">
        <f t="shared" si="18"/>
        <v>0</v>
      </c>
      <c r="AR20" s="15">
        <f t="shared" si="18"/>
        <v>0</v>
      </c>
      <c r="AS20" s="15">
        <f t="shared" si="18"/>
        <v>0</v>
      </c>
      <c r="AT20" s="15">
        <f t="shared" si="18"/>
        <v>0</v>
      </c>
      <c r="AU20" s="15">
        <f t="shared" si="18"/>
        <v>0</v>
      </c>
      <c r="AV20" s="15">
        <f t="shared" si="18"/>
        <v>0</v>
      </c>
      <c r="AW20" s="15">
        <f t="shared" si="18"/>
        <v>0</v>
      </c>
      <c r="AX20" s="45">
        <f t="shared" si="18"/>
        <v>0</v>
      </c>
      <c r="AY20" s="86">
        <f t="shared" si="18"/>
        <v>0</v>
      </c>
      <c r="AZ20" s="83">
        <f t="shared" si="2"/>
        <v>2201.9377676565628</v>
      </c>
      <c r="BA20" s="77" t="s">
        <v>72</v>
      </c>
      <c r="EN20" s="26"/>
    </row>
    <row r="21" spans="1:144" x14ac:dyDescent="0.3">
      <c r="A21" s="77" t="s">
        <v>65</v>
      </c>
      <c r="B21" s="18"/>
      <c r="C21" s="15"/>
      <c r="D21" s="15"/>
      <c r="E21" s="15"/>
      <c r="F21" s="15"/>
      <c r="G21" s="15"/>
      <c r="H21" s="15"/>
      <c r="I21" s="50" t="s">
        <v>77</v>
      </c>
      <c r="J21" s="50"/>
      <c r="K21" s="15"/>
      <c r="L21" s="15"/>
      <c r="M21" s="77" t="s">
        <v>65</v>
      </c>
      <c r="N21" s="18"/>
      <c r="O21" s="15"/>
      <c r="P21" s="15"/>
      <c r="Q21" s="15"/>
      <c r="R21" s="15"/>
      <c r="S21" s="15"/>
      <c r="T21" s="15"/>
      <c r="U21" s="15"/>
      <c r="V21" s="15"/>
      <c r="W21" s="15"/>
      <c r="X21" s="15"/>
      <c r="Y21" s="15"/>
      <c r="Z21" s="15"/>
      <c r="AA21" s="15"/>
      <c r="AB21" s="15"/>
      <c r="AC21" s="15"/>
      <c r="AD21" s="15"/>
      <c r="AE21" s="15"/>
      <c r="AF21" s="15"/>
      <c r="AG21" s="86"/>
      <c r="AH21" s="77" t="s">
        <v>65</v>
      </c>
      <c r="AI21" s="159"/>
      <c r="AJ21" s="15"/>
      <c r="AK21" s="59"/>
      <c r="AL21" s="59"/>
      <c r="AM21" s="59"/>
      <c r="AN21" s="15"/>
      <c r="AO21" s="15"/>
      <c r="AP21" s="15"/>
      <c r="AQ21" s="15"/>
      <c r="AR21" s="15"/>
      <c r="AS21" s="15"/>
      <c r="AT21" s="15"/>
      <c r="AU21" s="15"/>
      <c r="AV21" s="15"/>
      <c r="AW21" s="15"/>
      <c r="AX21" s="45"/>
      <c r="AY21" s="86"/>
      <c r="AZ21" s="83">
        <f t="shared" si="2"/>
        <v>0</v>
      </c>
      <c r="BA21" s="77" t="s">
        <v>65</v>
      </c>
      <c r="EN21" s="26"/>
    </row>
    <row r="22" spans="1:144" x14ac:dyDescent="0.3">
      <c r="A22" s="88" t="s">
        <v>66</v>
      </c>
      <c r="B22" s="89"/>
      <c r="C22" s="90"/>
      <c r="D22" s="90"/>
      <c r="E22" s="90"/>
      <c r="F22" s="90"/>
      <c r="G22" s="90"/>
      <c r="H22" s="91" t="s">
        <v>77</v>
      </c>
      <c r="I22" s="90"/>
      <c r="J22" s="90"/>
      <c r="K22" s="90"/>
      <c r="L22" s="90"/>
      <c r="M22" s="88" t="s">
        <v>66</v>
      </c>
      <c r="N22" s="18"/>
      <c r="O22" s="15"/>
      <c r="P22" s="15"/>
      <c r="Q22" s="15"/>
      <c r="R22" s="15"/>
      <c r="S22" s="15"/>
      <c r="T22" s="15"/>
      <c r="U22" s="15"/>
      <c r="V22" s="15"/>
      <c r="W22" s="15"/>
      <c r="X22" s="15"/>
      <c r="Y22" s="15"/>
      <c r="Z22" s="15"/>
      <c r="AA22" s="15"/>
      <c r="AB22" s="15"/>
      <c r="AC22" s="15"/>
      <c r="AD22" s="15"/>
      <c r="AE22" s="15"/>
      <c r="AF22" s="15"/>
      <c r="AG22" s="86"/>
      <c r="AH22" s="88" t="s">
        <v>66</v>
      </c>
      <c r="AI22" s="160"/>
      <c r="AJ22" s="90"/>
      <c r="AK22" s="93"/>
      <c r="AL22" s="93"/>
      <c r="AM22" s="93"/>
      <c r="AN22" s="90"/>
      <c r="AO22" s="90"/>
      <c r="AP22" s="90"/>
      <c r="AQ22" s="90"/>
      <c r="AR22" s="90"/>
      <c r="AS22" s="90"/>
      <c r="AT22" s="90"/>
      <c r="AU22" s="90"/>
      <c r="AV22" s="90"/>
      <c r="AW22" s="90"/>
      <c r="AX22" s="92"/>
      <c r="AY22" s="94"/>
      <c r="AZ22" s="83">
        <f t="shared" si="2"/>
        <v>0</v>
      </c>
      <c r="BA22" s="88" t="s">
        <v>66</v>
      </c>
      <c r="EN22" s="26"/>
    </row>
    <row r="23" spans="1:144" s="108" customFormat="1" x14ac:dyDescent="0.3">
      <c r="A23" s="77" t="s">
        <v>112</v>
      </c>
      <c r="B23" s="18"/>
      <c r="C23" s="15"/>
      <c r="D23" s="15"/>
      <c r="E23" s="15"/>
      <c r="F23" s="15"/>
      <c r="G23" s="15"/>
      <c r="H23" s="50"/>
      <c r="I23" s="15"/>
      <c r="J23" s="15"/>
      <c r="K23" s="15"/>
      <c r="L23" s="15"/>
      <c r="M23" s="77" t="s">
        <v>112</v>
      </c>
      <c r="N23" s="18"/>
      <c r="O23" s="15"/>
      <c r="P23" s="15"/>
      <c r="Q23" s="15"/>
      <c r="R23" s="15"/>
      <c r="S23" s="15"/>
      <c r="T23" s="15"/>
      <c r="U23" s="15"/>
      <c r="V23" s="15"/>
      <c r="W23" s="15"/>
      <c r="X23" s="15">
        <f>(1*56+2*95+33)*ANT_44/1000</f>
        <v>7.8432528081243271</v>
      </c>
      <c r="Y23" s="15"/>
      <c r="Z23" s="15"/>
      <c r="AA23" s="15"/>
      <c r="AB23" s="15"/>
      <c r="AC23" s="15"/>
      <c r="AD23" s="15"/>
      <c r="AE23" s="15"/>
      <c r="AF23" s="15"/>
      <c r="AG23" s="86"/>
      <c r="AH23" s="77" t="s">
        <v>112</v>
      </c>
      <c r="AI23" s="159"/>
      <c r="AJ23" s="15"/>
      <c r="AK23" s="59"/>
      <c r="AL23" s="59"/>
      <c r="AM23" s="59"/>
      <c r="AN23" s="15"/>
      <c r="AO23" s="15"/>
      <c r="AP23" s="15"/>
      <c r="AQ23" s="15"/>
      <c r="AR23" s="15"/>
      <c r="AS23" s="15"/>
      <c r="AT23" s="15"/>
      <c r="AU23" s="15"/>
      <c r="AV23" s="15"/>
      <c r="AW23" s="15"/>
      <c r="AX23" s="15"/>
      <c r="AY23" s="95"/>
      <c r="AZ23" s="83">
        <f t="shared" si="2"/>
        <v>7.8432528081243271</v>
      </c>
      <c r="BA23" s="77" t="s">
        <v>112</v>
      </c>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row>
    <row r="24" spans="1:144" s="108" customFormat="1" x14ac:dyDescent="0.3">
      <c r="A24" s="77" t="s">
        <v>113</v>
      </c>
      <c r="B24" s="18"/>
      <c r="C24" s="15"/>
      <c r="D24" s="15"/>
      <c r="E24" s="15"/>
      <c r="F24" s="15"/>
      <c r="G24" s="15"/>
      <c r="H24" s="50"/>
      <c r="I24" s="15"/>
      <c r="J24" s="15"/>
      <c r="K24" s="15"/>
      <c r="L24" s="15"/>
      <c r="M24" s="77" t="s">
        <v>113</v>
      </c>
      <c r="N24" s="18"/>
      <c r="O24" s="15"/>
      <c r="P24" s="15"/>
      <c r="Q24" s="15"/>
      <c r="R24" s="15"/>
      <c r="S24" s="15"/>
      <c r="T24" s="15"/>
      <c r="U24" s="15"/>
      <c r="V24" s="15"/>
      <c r="W24" s="15"/>
      <c r="X24" s="15">
        <f>(1*56+2*95+33)*ANT44tier1/1000</f>
        <v>252.19309701492537</v>
      </c>
      <c r="Y24" s="15"/>
      <c r="Z24" s="15"/>
      <c r="AA24" s="15"/>
      <c r="AB24" s="15"/>
      <c r="AC24" s="15"/>
      <c r="AD24" s="15"/>
      <c r="AE24" s="15"/>
      <c r="AF24" s="15"/>
      <c r="AG24" s="86"/>
      <c r="AH24" s="77" t="s">
        <v>113</v>
      </c>
      <c r="AI24" s="159"/>
      <c r="AJ24" s="15"/>
      <c r="AK24" s="59"/>
      <c r="AL24" s="59"/>
      <c r="AM24" s="59"/>
      <c r="AN24" s="15"/>
      <c r="AO24" s="15"/>
      <c r="AP24" s="15"/>
      <c r="AQ24" s="15"/>
      <c r="AR24" s="15"/>
      <c r="AS24" s="15"/>
      <c r="AT24" s="15"/>
      <c r="AU24" s="15"/>
      <c r="AV24" s="15"/>
      <c r="AW24" s="15"/>
      <c r="AX24" s="15"/>
      <c r="AY24" s="95"/>
      <c r="AZ24" s="83">
        <f t="shared" si="2"/>
        <v>252.19309701492537</v>
      </c>
      <c r="BA24" s="77" t="s">
        <v>113</v>
      </c>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row>
    <row r="25" spans="1:144" s="108" customFormat="1" x14ac:dyDescent="0.3">
      <c r="A25" s="77" t="s">
        <v>107</v>
      </c>
      <c r="B25" s="18"/>
      <c r="C25" s="15">
        <f>(1*56+2*95+33)*ARC_44/1000</f>
        <v>11.126961317125712</v>
      </c>
      <c r="D25" s="15"/>
      <c r="E25" s="15"/>
      <c r="F25" s="15"/>
      <c r="G25" s="15"/>
      <c r="H25" s="50"/>
      <c r="I25" s="15"/>
      <c r="J25" s="15"/>
      <c r="K25" s="15"/>
      <c r="L25" s="15"/>
      <c r="M25" s="77" t="s">
        <v>107</v>
      </c>
      <c r="N25" s="18">
        <f>(0*56+1*95+0)*ARC_44/1000</f>
        <v>3.7887502692721955</v>
      </c>
      <c r="O25" s="15">
        <f>(1*56+1*95+32)*ARC_44/1000</f>
        <v>7.2983294660717029</v>
      </c>
      <c r="P25" s="15">
        <f>(0*56+1*95+0)*ARC_44/1000</f>
        <v>3.7887502692721955</v>
      </c>
      <c r="Q25" s="15">
        <f>(4*56+9*95+1*32)*ARC_44/1000</f>
        <v>44.308437359593782</v>
      </c>
      <c r="R25" s="15"/>
      <c r="S25" s="15"/>
      <c r="T25" s="15"/>
      <c r="U25" s="15"/>
      <c r="V25" s="15"/>
      <c r="W25" s="15"/>
      <c r="X25" s="15"/>
      <c r="Y25" s="15"/>
      <c r="Z25" s="15"/>
      <c r="AA25" s="15"/>
      <c r="AB25" s="15"/>
      <c r="AC25" s="15"/>
      <c r="AD25" s="15"/>
      <c r="AE25" s="15"/>
      <c r="AF25" s="15"/>
      <c r="AG25" s="86"/>
      <c r="AH25" s="77" t="s">
        <v>107</v>
      </c>
      <c r="AI25" s="159"/>
      <c r="AJ25" s="15"/>
      <c r="AK25" s="59"/>
      <c r="AL25" s="59"/>
      <c r="AM25" s="59"/>
      <c r="AN25" s="15"/>
      <c r="AO25" s="15"/>
      <c r="AP25" s="15"/>
      <c r="AQ25" s="15"/>
      <c r="AR25" s="15"/>
      <c r="AS25" s="15"/>
      <c r="AT25" s="15"/>
      <c r="AU25" s="15"/>
      <c r="AV25" s="15"/>
      <c r="AW25" s="15"/>
      <c r="AX25" s="15"/>
      <c r="AY25" s="95"/>
      <c r="AZ25" s="83">
        <f t="shared" si="2"/>
        <v>59.184267364209873</v>
      </c>
      <c r="BA25" s="77" t="s">
        <v>107</v>
      </c>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row>
    <row r="26" spans="1:144" s="108" customFormat="1" ht="15" thickBot="1" x14ac:dyDescent="0.35">
      <c r="A26" s="88" t="s">
        <v>106</v>
      </c>
      <c r="B26" s="47"/>
      <c r="C26" s="48">
        <f>(1*56+2*95+33)*ARC44tier1/1000</f>
        <v>320.89361655639328</v>
      </c>
      <c r="D26" s="48"/>
      <c r="E26" s="48"/>
      <c r="F26" s="48"/>
      <c r="G26" s="48"/>
      <c r="H26" s="49"/>
      <c r="I26" s="48"/>
      <c r="J26" s="48"/>
      <c r="K26" s="48"/>
      <c r="L26" s="48"/>
      <c r="M26" s="88" t="s">
        <v>106</v>
      </c>
      <c r="N26" s="47">
        <f>(0*56+1*95+0)*ARC44tier1/1000</f>
        <v>109.26485151561779</v>
      </c>
      <c r="O26" s="48">
        <f>(1*56+1*95+1*32)*ARC44tier1/1000</f>
        <v>210.47860870903216</v>
      </c>
      <c r="P26" s="48">
        <f>(0*56+1*95+0)*ARC44tier1/1000</f>
        <v>109.26485151561779</v>
      </c>
      <c r="Q26" s="48">
        <f>(4*56+9*95+1*32)*ARC44tier1/1000</f>
        <v>1277.8236845668564</v>
      </c>
      <c r="R26" s="48"/>
      <c r="S26" s="48"/>
      <c r="T26" s="48"/>
      <c r="U26" s="48"/>
      <c r="V26" s="48"/>
      <c r="W26" s="48"/>
      <c r="X26" s="48"/>
      <c r="Y26" s="48"/>
      <c r="Z26" s="48"/>
      <c r="AA26" s="48"/>
      <c r="AB26" s="48"/>
      <c r="AC26" s="48"/>
      <c r="AD26" s="48"/>
      <c r="AE26" s="48"/>
      <c r="AF26" s="48"/>
      <c r="AG26" s="119"/>
      <c r="AH26" s="88" t="s">
        <v>106</v>
      </c>
      <c r="AI26" s="160"/>
      <c r="AJ26" s="90"/>
      <c r="AK26" s="93"/>
      <c r="AL26" s="93"/>
      <c r="AM26" s="93"/>
      <c r="AN26" s="90"/>
      <c r="AO26" s="90"/>
      <c r="AP26" s="90"/>
      <c r="AQ26" s="90"/>
      <c r="AR26" s="90"/>
      <c r="AS26" s="90"/>
      <c r="AT26" s="90"/>
      <c r="AU26" s="90"/>
      <c r="AV26" s="90"/>
      <c r="AW26" s="90"/>
      <c r="AX26" s="90"/>
      <c r="AY26" s="107"/>
      <c r="AZ26" s="83">
        <f t="shared" si="2"/>
        <v>1706.8319963071242</v>
      </c>
      <c r="BA26" s="88" t="s">
        <v>106</v>
      </c>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row>
    <row r="27" spans="1:144" ht="15" thickBot="1" x14ac:dyDescent="0.35">
      <c r="A27" s="87" t="s">
        <v>9</v>
      </c>
      <c r="B27" s="102">
        <f t="shared" ref="B27:O27" si="19">SUM(B7:B26)/1000</f>
        <v>3.0576876000000004</v>
      </c>
      <c r="C27" s="102">
        <f t="shared" si="19"/>
        <v>0.33202057787351902</v>
      </c>
      <c r="D27" s="102">
        <f t="shared" si="19"/>
        <v>14.162030999999999</v>
      </c>
      <c r="E27" s="102">
        <f t="shared" si="19"/>
        <v>3.7621632374999998</v>
      </c>
      <c r="F27" s="102">
        <f t="shared" si="19"/>
        <v>1.3458555749999999</v>
      </c>
      <c r="G27" s="102">
        <f t="shared" si="19"/>
        <v>2.1619594875000003</v>
      </c>
      <c r="H27" s="102">
        <f t="shared" si="19"/>
        <v>0</v>
      </c>
      <c r="I27" s="102">
        <f t="shared" si="19"/>
        <v>0</v>
      </c>
      <c r="J27" s="102">
        <f t="shared" si="19"/>
        <v>1.8618281999999999</v>
      </c>
      <c r="K27" s="102">
        <f t="shared" si="19"/>
        <v>10.065281587499999</v>
      </c>
      <c r="L27" s="102">
        <f t="shared" si="19"/>
        <v>0.65910390226188642</v>
      </c>
      <c r="M27" s="87" t="s">
        <v>9</v>
      </c>
      <c r="N27" s="102">
        <f t="shared" si="19"/>
        <v>0.11305360178488999</v>
      </c>
      <c r="O27" s="102">
        <f t="shared" si="19"/>
        <v>0.21777693817510385</v>
      </c>
      <c r="P27" s="102">
        <f t="shared" ref="P27:Y27" si="20">SUM(P7:P26)/1000</f>
        <v>0.11305360178488999</v>
      </c>
      <c r="Q27" s="102">
        <f t="shared" si="20"/>
        <v>1.3221321219264504</v>
      </c>
      <c r="R27" s="102">
        <f t="shared" si="20"/>
        <v>18.235562362500001</v>
      </c>
      <c r="S27" s="100">
        <f t="shared" si="20"/>
        <v>0.2829834</v>
      </c>
      <c r="T27" s="156"/>
      <c r="U27" s="101">
        <f t="shared" si="20"/>
        <v>3.0588391124480689</v>
      </c>
      <c r="V27" s="101">
        <f t="shared" si="20"/>
        <v>2.3354552625</v>
      </c>
      <c r="W27" s="101"/>
      <c r="X27" s="101">
        <f t="shared" si="20"/>
        <v>0.26003634982304968</v>
      </c>
      <c r="Y27" s="101">
        <f t="shared" si="20"/>
        <v>0.83616839999999992</v>
      </c>
      <c r="Z27" s="101">
        <f t="shared" ref="Z27" si="21">SUM(Z7:Z26)/1000</f>
        <v>1.0046051999999999</v>
      </c>
      <c r="AA27" s="101">
        <f t="shared" ref="AA27" si="22">SUM(AA7:AA26)/1000</f>
        <v>3.3722482205262354</v>
      </c>
      <c r="AB27" s="101">
        <f t="shared" ref="AB27" si="23">SUM(AB7:AB26)/1000</f>
        <v>1.2127644</v>
      </c>
      <c r="AC27" s="101"/>
      <c r="AD27" s="101">
        <f t="shared" ref="AD27" si="24">SUM(AD7:AD26)/1000</f>
        <v>0.1406494875</v>
      </c>
      <c r="AE27" s="101">
        <f t="shared" ref="AE27" si="25">SUM(AE7:AE26)/1000</f>
        <v>0.12380523749999998</v>
      </c>
      <c r="AF27" s="101">
        <f t="shared" ref="AF27" si="26">SUM(AF7:AF26)/1000</f>
        <v>5.4140399999999998E-2</v>
      </c>
      <c r="AG27" s="101">
        <f t="shared" ref="AG27" si="27">SUM(AG7:AG26)/1000</f>
        <v>1.4738220000000002</v>
      </c>
      <c r="AH27" s="87" t="s">
        <v>9</v>
      </c>
      <c r="AI27" s="161"/>
      <c r="AJ27" s="102">
        <f t="shared" ref="AJ27" si="28">SUM(AJ7:AJ26)/1000</f>
        <v>0.67374719999999999</v>
      </c>
      <c r="AK27" s="102">
        <f t="shared" ref="AK27" si="29">SUM(AK7:AK26)/1000</f>
        <v>0</v>
      </c>
      <c r="AL27" s="102">
        <f t="shared" ref="AL27" si="30">SUM(AL7:AL26)/1000</f>
        <v>0</v>
      </c>
      <c r="AM27" s="102"/>
      <c r="AN27" s="102">
        <f t="shared" ref="AN27" si="31">SUM(AN7:AN26)/1000</f>
        <v>1.1402071124999997</v>
      </c>
      <c r="AO27" s="102">
        <f t="shared" ref="AO27:AW27" si="32">SUM(AO7:AO26)/1000</f>
        <v>2.3211376500000003</v>
      </c>
      <c r="AP27" s="102">
        <f t="shared" si="32"/>
        <v>0.136438425</v>
      </c>
      <c r="AQ27" s="102">
        <f t="shared" si="32"/>
        <v>0</v>
      </c>
      <c r="AR27" s="102">
        <f t="shared" si="32"/>
        <v>1.76864625E-2</v>
      </c>
      <c r="AS27" s="102">
        <f t="shared" si="32"/>
        <v>1.76864625E-2</v>
      </c>
      <c r="AT27" s="102">
        <f t="shared" si="32"/>
        <v>0</v>
      </c>
      <c r="AU27" s="102">
        <f t="shared" si="32"/>
        <v>3.5844564000000001</v>
      </c>
      <c r="AV27" s="102">
        <f t="shared" si="32"/>
        <v>0.2829834</v>
      </c>
      <c r="AW27" s="102">
        <f t="shared" si="32"/>
        <v>6.6171599999999997E-2</v>
      </c>
      <c r="AX27" s="102">
        <f>SUM(AX7:AX26)/1000</f>
        <v>0.13102196250000001</v>
      </c>
      <c r="AY27" s="102">
        <f>SUM(AY7:AY26)/1000</f>
        <v>0.78768326249999998</v>
      </c>
      <c r="AZ27" s="103">
        <f>SUM(AZ7:AZ26)/1000</f>
        <v>81.094175623730578</v>
      </c>
      <c r="BA27" s="78" t="s">
        <v>59</v>
      </c>
      <c r="EN27" s="26"/>
    </row>
    <row r="28" spans="1:144" s="26" customFormat="1" ht="37.200000000000003" customHeight="1" thickTop="1" x14ac:dyDescent="0.3">
      <c r="A28" s="201" t="s">
        <v>84</v>
      </c>
      <c r="B28" s="201"/>
      <c r="C28" s="201"/>
      <c r="D28" s="201"/>
      <c r="E28" s="201"/>
      <c r="F28" s="201"/>
      <c r="G28" s="201"/>
      <c r="H28" s="201"/>
      <c r="I28" s="201"/>
      <c r="J28" s="201"/>
      <c r="K28" s="201"/>
      <c r="L28" s="201"/>
      <c r="M28" s="201"/>
      <c r="N28" s="201"/>
      <c r="O28" s="201"/>
      <c r="P28" s="201"/>
      <c r="Q28" s="201"/>
      <c r="R28" s="40"/>
      <c r="S28" s="40"/>
      <c r="T28" s="40"/>
      <c r="U28" s="40"/>
      <c r="V28" s="40"/>
      <c r="W28" s="40"/>
      <c r="X28" s="40"/>
      <c r="Y28" s="31"/>
      <c r="Z28" s="31"/>
      <c r="AA28" s="31"/>
      <c r="AB28" s="31"/>
      <c r="AC28" s="31"/>
      <c r="AD28" s="31"/>
      <c r="AE28" s="32"/>
      <c r="AF28" s="31"/>
      <c r="AG28" s="31"/>
      <c r="AH28" s="31"/>
      <c r="AI28" s="31"/>
      <c r="AJ28" s="31"/>
      <c r="AK28" s="31"/>
      <c r="AL28" s="31"/>
      <c r="AM28" s="31"/>
      <c r="AN28" s="31"/>
      <c r="AO28" s="31"/>
      <c r="AP28" s="31"/>
      <c r="AQ28" s="31"/>
      <c r="AR28" s="31"/>
      <c r="AS28" s="31"/>
      <c r="AT28" s="31"/>
      <c r="AU28" s="31"/>
      <c r="AV28" s="31"/>
      <c r="AW28" s="30"/>
      <c r="AX28" s="30"/>
    </row>
    <row r="29" spans="1:144" s="26" customFormat="1" x14ac:dyDescent="0.3">
      <c r="A29" s="202" t="s">
        <v>85</v>
      </c>
      <c r="B29" s="202"/>
      <c r="C29" s="202"/>
      <c r="D29" s="202"/>
      <c r="E29" s="202"/>
      <c r="F29" s="202"/>
      <c r="G29" s="202"/>
      <c r="H29" s="202"/>
      <c r="I29" s="202"/>
      <c r="J29" s="202"/>
      <c r="K29" s="202"/>
      <c r="L29" s="202"/>
      <c r="M29" s="202"/>
      <c r="N29" s="202"/>
      <c r="O29" s="202"/>
      <c r="P29" s="202"/>
      <c r="Q29" s="202"/>
      <c r="R29" s="202"/>
      <c r="S29" s="202"/>
      <c r="T29" s="202"/>
      <c r="U29" s="202"/>
      <c r="V29" s="202"/>
      <c r="W29" s="202"/>
      <c r="X29" s="202"/>
      <c r="Y29" s="202"/>
      <c r="Z29" s="202"/>
      <c r="AA29" s="202"/>
      <c r="AB29" s="202"/>
      <c r="AC29" s="202"/>
      <c r="AD29" s="202"/>
      <c r="AE29" s="202"/>
      <c r="AF29" s="202"/>
      <c r="AG29" s="202"/>
      <c r="AH29" s="202"/>
      <c r="AI29" s="202"/>
      <c r="AJ29" s="202"/>
      <c r="AK29" s="202"/>
      <c r="AL29" s="202"/>
      <c r="AM29" s="202"/>
      <c r="AN29" s="202"/>
      <c r="AO29" s="202"/>
      <c r="AP29" s="202"/>
      <c r="AQ29" s="202"/>
      <c r="AR29" s="202"/>
      <c r="AS29" s="202"/>
      <c r="AT29" s="202"/>
      <c r="AU29" s="202"/>
      <c r="AV29" s="202"/>
      <c r="AW29" s="202"/>
      <c r="AX29" s="202"/>
    </row>
    <row r="30" spans="1:144" ht="30" customHeight="1" thickBot="1" x14ac:dyDescent="0.35">
      <c r="A30" s="203" t="s">
        <v>10</v>
      </c>
      <c r="B30" s="203"/>
      <c r="C30" s="203"/>
      <c r="D30" s="203"/>
      <c r="E30" s="203"/>
      <c r="F30" s="202"/>
      <c r="G30" s="202"/>
      <c r="H30" s="19"/>
      <c r="S30" s="19"/>
      <c r="T30" s="19"/>
      <c r="U30" s="19"/>
      <c r="V30" s="19"/>
      <c r="W30" s="19"/>
      <c r="X30" s="19"/>
      <c r="Y30" s="19"/>
      <c r="Z30" s="19"/>
      <c r="AA30" s="19"/>
      <c r="AB30" s="19"/>
      <c r="AC30" s="19"/>
      <c r="AD30" s="19"/>
      <c r="AE30" s="19"/>
      <c r="AF30" s="19"/>
      <c r="AG30" s="19"/>
      <c r="AH30" s="19"/>
      <c r="AI30" s="19"/>
      <c r="AJ30" s="19"/>
      <c r="AK30" s="19"/>
      <c r="AL30" s="19"/>
      <c r="AM30" s="19"/>
      <c r="AN30" s="19"/>
      <c r="AO30" s="19"/>
      <c r="AQ30" s="19"/>
      <c r="AR30" s="19"/>
      <c r="AS30" s="19"/>
      <c r="AT30" s="19"/>
      <c r="AV30" s="19"/>
      <c r="AW30" s="19"/>
    </row>
    <row r="31" spans="1:144" ht="15" thickBot="1" x14ac:dyDescent="0.35">
      <c r="A31" s="11" t="s">
        <v>0</v>
      </c>
      <c r="B31" s="4" t="s">
        <v>1</v>
      </c>
      <c r="C31" s="5" t="s">
        <v>2</v>
      </c>
      <c r="D31" s="204" t="s">
        <v>8</v>
      </c>
      <c r="E31" s="205"/>
      <c r="F31" s="14"/>
    </row>
    <row r="32" spans="1:144" x14ac:dyDescent="0.3">
      <c r="A32" s="12" t="s">
        <v>5</v>
      </c>
      <c r="B32" s="7">
        <f>B33*98*63/194/201</f>
        <v>15.959870749346052</v>
      </c>
      <c r="C32" s="8">
        <f>C33*98*63/194/201</f>
        <v>460.27127250346206</v>
      </c>
      <c r="D32" s="206">
        <f t="shared" ref="D32:D37" si="33">(B32+C32)/1</f>
        <v>476.23114325280812</v>
      </c>
      <c r="E32" s="207"/>
      <c r="F32" s="14"/>
    </row>
    <row r="33" spans="1:49" x14ac:dyDescent="0.3">
      <c r="A33" s="13" t="s">
        <v>3</v>
      </c>
      <c r="B33" s="9">
        <f>75.6+25.2</f>
        <v>100.8</v>
      </c>
      <c r="C33" s="10">
        <v>2907</v>
      </c>
      <c r="D33" s="208">
        <f t="shared" si="33"/>
        <v>3007.8</v>
      </c>
      <c r="E33" s="209"/>
      <c r="F33" s="14"/>
    </row>
    <row r="34" spans="1:49" x14ac:dyDescent="0.3">
      <c r="A34" s="13" t="s">
        <v>15</v>
      </c>
      <c r="B34" s="9">
        <f>4*AFR_44</f>
        <v>403.2</v>
      </c>
      <c r="C34" s="10">
        <f>4*AFR44tier1</f>
        <v>11628</v>
      </c>
      <c r="D34" s="208">
        <f t="shared" si="33"/>
        <v>12031.2</v>
      </c>
      <c r="E34" s="209"/>
      <c r="F34" s="14"/>
    </row>
    <row r="35" spans="1:49" x14ac:dyDescent="0.3">
      <c r="A35" s="96" t="s">
        <v>4</v>
      </c>
      <c r="B35" s="97">
        <f>352.8+117.6</f>
        <v>470.4</v>
      </c>
      <c r="C35" s="98">
        <v>13005</v>
      </c>
      <c r="D35" s="208">
        <f t="shared" si="33"/>
        <v>13475.4</v>
      </c>
      <c r="E35" s="209"/>
      <c r="F35" s="14"/>
    </row>
    <row r="36" spans="1:49" x14ac:dyDescent="0.3">
      <c r="A36" s="106" t="s">
        <v>110</v>
      </c>
      <c r="B36" s="9">
        <f>B33*125*87/194/201</f>
        <v>28.112017233420527</v>
      </c>
      <c r="C36" s="9">
        <f>C33*125*97/194/201</f>
        <v>903.91791044776119</v>
      </c>
      <c r="D36" s="208">
        <f t="shared" si="33"/>
        <v>932.02992768118168</v>
      </c>
      <c r="E36" s="209"/>
      <c r="F36" s="26"/>
    </row>
    <row r="37" spans="1:49" ht="15" thickBot="1" x14ac:dyDescent="0.35">
      <c r="A37" s="99" t="s">
        <v>105</v>
      </c>
      <c r="B37" s="6">
        <f>B33*116*133/194/201</f>
        <v>39.881581781812585</v>
      </c>
      <c r="C37" s="6">
        <f>C33*116*133/194/201</f>
        <v>1150.1563317433452</v>
      </c>
      <c r="D37" s="210">
        <f t="shared" si="33"/>
        <v>1190.0379135251578</v>
      </c>
      <c r="E37" s="211"/>
      <c r="F37" s="26"/>
    </row>
    <row r="38" spans="1:49" x14ac:dyDescent="0.3">
      <c r="A38" s="196" t="s">
        <v>6</v>
      </c>
      <c r="B38" s="196"/>
      <c r="C38" s="196"/>
      <c r="D38" s="196"/>
      <c r="E38" s="196"/>
      <c r="F38" s="197"/>
      <c r="G38" s="197"/>
    </row>
    <row r="39" spans="1:49" x14ac:dyDescent="0.3">
      <c r="A39" s="197" t="s">
        <v>7</v>
      </c>
      <c r="B39" s="197"/>
      <c r="C39" s="197"/>
      <c r="D39" s="197"/>
      <c r="E39" s="197"/>
      <c r="F39" s="197"/>
      <c r="G39" s="197"/>
      <c r="H39" s="3"/>
      <c r="S39" s="3"/>
      <c r="T39" s="3"/>
      <c r="U39" s="3"/>
      <c r="V39" s="3"/>
      <c r="W39" s="3"/>
      <c r="X39" s="3"/>
      <c r="Y39" s="3"/>
      <c r="Z39" s="3"/>
      <c r="AA39" s="3"/>
      <c r="AB39" s="3"/>
      <c r="AC39" s="3"/>
      <c r="AD39" s="3"/>
      <c r="AE39" s="3"/>
      <c r="AF39" s="3"/>
      <c r="AG39" s="3"/>
      <c r="AH39" s="3"/>
      <c r="AI39" s="3"/>
      <c r="AJ39" s="3"/>
      <c r="AK39" s="3"/>
      <c r="AL39" s="3"/>
      <c r="AM39" s="3"/>
      <c r="AN39" s="3"/>
      <c r="AO39" s="3"/>
      <c r="AQ39" s="3"/>
      <c r="AR39" s="3"/>
      <c r="AS39" s="3"/>
      <c r="AT39" s="3"/>
      <c r="AV39" s="3"/>
      <c r="AW39" s="3"/>
    </row>
  </sheetData>
  <mergeCells count="14">
    <mergeCell ref="A38:G38"/>
    <mergeCell ref="A39:G39"/>
    <mergeCell ref="A1:Q1"/>
    <mergeCell ref="AZ4:AZ6"/>
    <mergeCell ref="A28:Q28"/>
    <mergeCell ref="A29:AX29"/>
    <mergeCell ref="A30:G30"/>
    <mergeCell ref="D31:E31"/>
    <mergeCell ref="D32:E32"/>
    <mergeCell ref="D33:E33"/>
    <mergeCell ref="D34:E34"/>
    <mergeCell ref="D35:E35"/>
    <mergeCell ref="D36:E36"/>
    <mergeCell ref="D37:E37"/>
  </mergeCells>
  <pageMargins left="0.23622047244094491" right="0.23622047244094491" top="0.74803149606299213" bottom="0.74803149606299213" header="0.31496062992125984" footer="0.31496062992125984"/>
  <pageSetup paperSize="9" scale="55" fitToHeight="0" orientation="landscape" r:id="rId1"/>
  <colBreaks count="2" manualBreakCount="2">
    <brk id="12" max="38" man="1"/>
    <brk id="33" max="38" man="1"/>
  </colBreaks>
  <ignoredErrors>
    <ignoredError sqref="U7:U8 AG7:AG14 AA13:AA18 D9:I20 R7:R8 J7:J8 K11:K14 L15:L20 L7:L10 AN7:AO14 O25:O26 U9:V20 R9:S20 AJ7:AL14"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8"/>
  <sheetViews>
    <sheetView tabSelected="1" view="pageBreakPreview" topLeftCell="A2" zoomScaleNormal="100" zoomScaleSheetLayoutView="100" workbookViewId="0">
      <selection activeCell="AH3" sqref="AH3:AH6"/>
    </sheetView>
  </sheetViews>
  <sheetFormatPr baseColWidth="10" defaultColWidth="8.88671875" defaultRowHeight="14.4" x14ac:dyDescent="0.3"/>
  <cols>
    <col min="1" max="1" width="17.77734375" customWidth="1"/>
    <col min="2" max="2" width="15.6640625" customWidth="1"/>
    <col min="3" max="3" width="17.33203125" customWidth="1"/>
    <col min="4" max="4" width="24.33203125" customWidth="1"/>
    <col min="5" max="5" width="18.88671875" customWidth="1"/>
    <col min="6" max="6" width="19.33203125" customWidth="1"/>
    <col min="7" max="7" width="20.109375" customWidth="1"/>
    <col min="8" max="8" width="21" customWidth="1"/>
    <col min="9" max="9" width="20.44140625" customWidth="1"/>
    <col min="10" max="10" width="17" customWidth="1"/>
    <col min="11" max="11" width="19.6640625" customWidth="1"/>
    <col min="12" max="12" width="20.33203125" customWidth="1"/>
    <col min="13" max="13" width="17" customWidth="1"/>
    <col min="14" max="14" width="16.33203125" customWidth="1"/>
    <col min="15" max="15" width="15" customWidth="1"/>
    <col min="16" max="16" width="14.109375" customWidth="1"/>
    <col min="17" max="17" width="14.109375" hidden="1" customWidth="1"/>
    <col min="18" max="18" width="19.6640625" customWidth="1"/>
    <col min="19" max="19" width="26.33203125" customWidth="1"/>
    <col min="20" max="20" width="17.88671875" customWidth="1"/>
    <col min="21" max="21" width="16.6640625" style="62" customWidth="1"/>
    <col min="22" max="23" width="19" customWidth="1"/>
    <col min="24" max="24" width="23.6640625" customWidth="1"/>
    <col min="25" max="25" width="16.6640625" customWidth="1"/>
    <col min="26" max="26" width="17.6640625" customWidth="1"/>
    <col min="27" max="28" width="18.88671875" customWidth="1"/>
    <col min="29" max="29" width="18.33203125" customWidth="1"/>
    <col min="30" max="31" width="18.44140625" customWidth="1"/>
    <col min="32" max="32" width="12.88671875" customWidth="1"/>
    <col min="33" max="33" width="19.5546875" customWidth="1"/>
    <col min="34" max="34" width="15.109375" customWidth="1"/>
    <col min="35" max="35" width="15.21875" customWidth="1"/>
    <col min="36" max="36" width="22.44140625" customWidth="1"/>
    <col min="37" max="37" width="23" customWidth="1"/>
    <col min="38" max="38" width="19.44140625" customWidth="1"/>
    <col min="39" max="39" width="22.21875" customWidth="1"/>
    <col min="40" max="40" width="20.109375" customWidth="1"/>
    <col min="41" max="41" width="22.109375" customWidth="1"/>
    <col min="42" max="42" width="21" customWidth="1"/>
    <col min="43" max="43" width="16.88671875" customWidth="1"/>
    <col min="44" max="44" width="18.44140625" customWidth="1"/>
    <col min="45" max="45" width="17.44140625" customWidth="1"/>
    <col min="46" max="46" width="23" customWidth="1"/>
    <col min="47" max="47" width="21.44140625" customWidth="1"/>
    <col min="48" max="49" width="19.44140625" customWidth="1"/>
    <col min="71" max="76" width="8.88671875" style="26"/>
  </cols>
  <sheetData>
    <row r="1" spans="1:76" ht="80.400000000000006" customHeight="1" x14ac:dyDescent="0.3">
      <c r="A1" s="212" t="s">
        <v>92</v>
      </c>
      <c r="B1" s="212"/>
      <c r="C1" s="212"/>
      <c r="D1" s="212"/>
      <c r="E1" s="212"/>
      <c r="F1" s="212"/>
      <c r="G1" s="212"/>
      <c r="H1" s="212"/>
      <c r="I1" s="212"/>
      <c r="J1" s="212"/>
      <c r="K1" s="212"/>
      <c r="L1" s="212"/>
      <c r="M1" s="212"/>
      <c r="N1" s="212"/>
      <c r="O1" s="212"/>
      <c r="P1" s="212"/>
      <c r="Q1" s="212"/>
      <c r="R1" s="212"/>
      <c r="S1" s="212"/>
      <c r="T1" s="104"/>
      <c r="U1" s="64"/>
      <c r="V1" s="20"/>
      <c r="W1" s="20"/>
      <c r="X1" s="20"/>
      <c r="Y1" s="20"/>
      <c r="Z1" s="20"/>
      <c r="AA1" s="20"/>
      <c r="AB1" s="20"/>
      <c r="AC1" s="20"/>
      <c r="AD1" s="20"/>
      <c r="AE1" s="20"/>
      <c r="AF1" s="20"/>
      <c r="AG1" s="20"/>
      <c r="AH1" s="20"/>
      <c r="AI1" s="20"/>
      <c r="AJ1" s="20"/>
      <c r="AK1" s="20"/>
      <c r="AL1" s="26"/>
      <c r="AN1" s="20"/>
      <c r="AO1" s="20"/>
      <c r="AP1" s="20"/>
      <c r="AQ1" s="20"/>
      <c r="AR1" s="20"/>
      <c r="AS1" s="20"/>
      <c r="AT1" s="20"/>
      <c r="AV1" s="26"/>
      <c r="AW1" s="26"/>
    </row>
    <row r="2" spans="1:76" ht="18" customHeight="1" thickBot="1" x14ac:dyDescent="0.35">
      <c r="A2" s="54">
        <f>GeneralRemarks!A2</f>
        <v>41901</v>
      </c>
      <c r="B2" s="213"/>
      <c r="C2" s="213"/>
      <c r="D2" s="213"/>
      <c r="E2" s="138"/>
      <c r="F2" s="138"/>
      <c r="G2" s="138"/>
      <c r="H2" s="138"/>
      <c r="I2" s="138"/>
      <c r="J2" s="213"/>
      <c r="K2" s="213"/>
      <c r="L2" s="213"/>
      <c r="M2" s="213"/>
      <c r="N2" s="213"/>
      <c r="O2" s="213"/>
      <c r="P2" s="21"/>
      <c r="Q2" s="21"/>
      <c r="R2" s="20"/>
      <c r="S2" s="20"/>
      <c r="T2" s="20"/>
      <c r="U2" s="20"/>
      <c r="V2" s="20"/>
      <c r="W2" s="20"/>
      <c r="X2" s="54"/>
      <c r="Y2" s="20"/>
      <c r="Z2" s="20"/>
      <c r="AA2" s="20"/>
      <c r="AB2" s="20"/>
      <c r="AC2" s="20"/>
      <c r="AD2" s="20"/>
      <c r="AE2" s="20"/>
      <c r="AF2" s="20"/>
      <c r="AG2" s="20"/>
      <c r="AH2" s="20"/>
      <c r="AI2" s="20"/>
      <c r="AJ2" s="20"/>
      <c r="AK2" s="20"/>
      <c r="AL2" s="26"/>
      <c r="AN2" s="20"/>
      <c r="AO2" s="20"/>
      <c r="AP2" s="20"/>
      <c r="AQ2" s="20"/>
      <c r="AR2" s="20"/>
      <c r="AS2" s="20"/>
      <c r="AT2" s="20"/>
      <c r="AV2" s="52">
        <f>A2</f>
        <v>41901</v>
      </c>
      <c r="AW2" s="26"/>
    </row>
    <row r="3" spans="1:76" s="1" customFormat="1" ht="32.4" customHeight="1" thickTop="1" thickBot="1" x14ac:dyDescent="0.35">
      <c r="A3" s="79" t="s">
        <v>88</v>
      </c>
      <c r="B3" s="80" t="str">
        <f>AllEntries!B7</f>
        <v>DMI</v>
      </c>
      <c r="C3" s="80" t="str">
        <f>AllEntries!C7</f>
        <v>AWI</v>
      </c>
      <c r="D3" s="80" t="str">
        <f>AllEntries!D7</f>
        <v xml:space="preserve">CLMcom </v>
      </c>
      <c r="E3" s="80" t="str">
        <f>AllEntries!E7</f>
        <v>CLMcom</v>
      </c>
      <c r="F3" s="80" t="str">
        <f>AllEntries!F7</f>
        <v>CLMcom</v>
      </c>
      <c r="G3" s="80" t="str">
        <f>AllEntries!G7</f>
        <v>CLMcom</v>
      </c>
      <c r="H3" s="80" t="str">
        <f>AllEntries!H7</f>
        <v>CLMcom</v>
      </c>
      <c r="I3" s="80" t="str">
        <f>AllEntries!I7</f>
        <v>CLMcom</v>
      </c>
      <c r="J3" s="80" t="str">
        <f>AllEntries!J7</f>
        <v>MPI-CSC</v>
      </c>
      <c r="K3" s="80" t="str">
        <f>AllEntries!K7</f>
        <v>MPI-CSC</v>
      </c>
      <c r="L3" s="80" t="str">
        <f>AllEntries!L7</f>
        <v>MPI-CSC</v>
      </c>
      <c r="M3" s="80" t="str">
        <f>AllEntries!M7</f>
        <v>SMHI</v>
      </c>
      <c r="N3" s="80" t="str">
        <f>AllEntries!N7</f>
        <v>SMHI</v>
      </c>
      <c r="O3" s="80" t="str">
        <f>AllEntries!O7</f>
        <v>SMHI</v>
      </c>
      <c r="P3" s="80" t="str">
        <f>AllEntries!P7</f>
        <v>SMHI</v>
      </c>
      <c r="Q3" s="139"/>
      <c r="R3" s="80" t="str">
        <f>AllEntries!Q7</f>
        <v>CHMI</v>
      </c>
      <c r="S3" s="80" t="str">
        <f>AllEntries!R7</f>
        <v>HMS</v>
      </c>
      <c r="T3" s="80" t="str">
        <f>AllEntries!S7</f>
        <v>CNRM</v>
      </c>
      <c r="U3" s="80" t="str">
        <f>AllEntries!T7</f>
        <v>CNRM</v>
      </c>
      <c r="V3" s="110" t="str">
        <f>AllEntries!U7</f>
        <v>KNMI</v>
      </c>
      <c r="W3" s="110" t="str">
        <f>AllEntries!V7</f>
        <v>KNMI</v>
      </c>
      <c r="X3" s="125" t="str">
        <f>AllEntries!W7</f>
        <v>KNMI</v>
      </c>
      <c r="Y3" s="139" t="str">
        <f>AllEntries!X7</f>
        <v>UQAM</v>
      </c>
      <c r="Z3" s="80" t="str">
        <f>AllEntries!Y7</f>
        <v>UCLM</v>
      </c>
      <c r="AA3" s="80" t="str">
        <f>AllEntries!Z7</f>
        <v>ICTP</v>
      </c>
      <c r="AB3" s="139" t="str">
        <f>AllEntries!AA7</f>
        <v>ENEA</v>
      </c>
      <c r="AC3" s="80" t="str">
        <f>AllEntries!AB7</f>
        <v>CUNI</v>
      </c>
      <c r="AD3" s="80" t="str">
        <f>AllEntries!AC7</f>
        <v>DHMZ</v>
      </c>
      <c r="AE3" s="80" t="str">
        <f>AllEntries!AD7</f>
        <v>IITM</v>
      </c>
      <c r="AF3" s="139" t="str">
        <f>AllEntries!AE7</f>
        <v>GISS</v>
      </c>
      <c r="AG3" s="139" t="str">
        <f>AllEntries!AF7</f>
        <v>CCCma</v>
      </c>
      <c r="AH3" s="80" t="str">
        <f>AllEntries!AG7</f>
        <v>CSIRO</v>
      </c>
      <c r="AI3" s="139" t="str">
        <f>AllEntries!AH7</f>
        <v>KAUST</v>
      </c>
      <c r="AJ3" s="80" t="str">
        <f>AllEntries!AI7</f>
        <v>MOHC</v>
      </c>
      <c r="AK3" s="80" t="str">
        <f>AllEntries!AJ7</f>
        <v>MOHC</v>
      </c>
      <c r="AL3" s="80" t="str">
        <f>AllEntries!AK7</f>
        <v>MIUB</v>
      </c>
      <c r="AM3" s="125" t="str">
        <f>AllEntries!AL7</f>
        <v>BCCR</v>
      </c>
      <c r="AN3" s="80" t="str">
        <f>AllEntries!AM7</f>
        <v>CRP-GL</v>
      </c>
      <c r="AO3" s="80" t="str">
        <f>AllEntries!AN7</f>
        <v>IDL</v>
      </c>
      <c r="AP3" s="80" t="str">
        <f>AllEntries!AO7</f>
        <v>IPSL-INERIS</v>
      </c>
      <c r="AQ3" s="80" t="str">
        <f>AllEntries!AP7</f>
        <v>AUTH-Met</v>
      </c>
      <c r="AR3" s="80" t="str">
        <f>AllEntries!AQ7</f>
        <v>AUTH-LHTEE</v>
      </c>
      <c r="AS3" s="80" t="str">
        <f>AllEntries!AR7</f>
        <v>NUIM</v>
      </c>
      <c r="AT3" s="80" t="str">
        <f>AllEntries!AS7</f>
        <v>UHOH</v>
      </c>
      <c r="AU3" s="80" t="str">
        <f>AllEntries!AT7</f>
        <v>UM</v>
      </c>
      <c r="AV3" s="80" t="str">
        <f>AllEntries!AU7</f>
        <v>UCAN</v>
      </c>
      <c r="AW3" s="162" t="str">
        <f>AllEntries!AV7</f>
        <v>UCAN</v>
      </c>
      <c r="AX3" s="199"/>
      <c r="AY3" s="2"/>
      <c r="AZ3" s="2"/>
      <c r="BA3" s="2"/>
      <c r="BB3" s="2"/>
      <c r="BC3" s="2"/>
      <c r="BD3" s="2"/>
      <c r="BE3" s="2"/>
      <c r="BF3" s="2"/>
      <c r="BG3" s="2"/>
      <c r="BH3" s="2"/>
      <c r="BI3" s="2"/>
      <c r="BJ3" s="2"/>
      <c r="BK3" s="2"/>
      <c r="BL3" s="2"/>
      <c r="BM3" s="2"/>
      <c r="BN3" s="2"/>
      <c r="BO3" s="2"/>
      <c r="BP3" s="2"/>
      <c r="BQ3" s="2"/>
      <c r="BR3" s="2"/>
      <c r="BS3" s="2"/>
      <c r="BT3" s="2"/>
      <c r="BU3" s="2"/>
      <c r="BV3" s="2"/>
      <c r="BW3" s="2"/>
      <c r="BX3" s="2"/>
    </row>
    <row r="4" spans="1:76" s="1" customFormat="1" ht="66.599999999999994" customHeight="1" thickTop="1" thickBot="1" x14ac:dyDescent="0.35">
      <c r="A4" s="149" t="s">
        <v>182</v>
      </c>
      <c r="B4" s="150" t="str">
        <f>IF(ISBLANK(AllEntries!B9),"",AllEntries!B9)</f>
        <v/>
      </c>
      <c r="C4" s="150" t="str">
        <f>IF(ISBLANK(AllEntries!C9),"",AllEntries!C9)</f>
        <v>Alfred Wegener Institute, Helmholtz Centre for Polar and Marine Research</v>
      </c>
      <c r="D4" s="150" t="str">
        <f>IF(ISBLANK(AllEntries!D9),"",AllEntries!D9)</f>
        <v>Climate Limited-area Modelling Community (CLM-Community)</v>
      </c>
      <c r="E4" s="150" t="str">
        <f>IF(ISBLANK(AllEntries!E9),"",AllEntries!E9)</f>
        <v>Climate Limited-area Modelling Community (CLM-Community)</v>
      </c>
      <c r="F4" s="150" t="str">
        <f>IF(ISBLANK(AllEntries!F9),"",AllEntries!F9)</f>
        <v>Climate Limited-area Modelling Community (CLM-Community)</v>
      </c>
      <c r="G4" s="150" t="str">
        <f>IF(ISBLANK(AllEntries!G9),"",AllEntries!G9)</f>
        <v>Climate Limited-area Modelling Community (CLM-Community)</v>
      </c>
      <c r="H4" s="150" t="str">
        <f>IF(ISBLANK(AllEntries!H9),"",AllEntries!H9)</f>
        <v>Climate Limited-area Modelling Community (CLM-Community)</v>
      </c>
      <c r="I4" s="150" t="str">
        <f>IF(ISBLANK(AllEntries!I9),"",AllEntries!I9)</f>
        <v>Climate Limited-area Modelling Community (CLM-Community)</v>
      </c>
      <c r="J4" s="150" t="str">
        <f>IF(ISBLANK(AllEntries!J9),"",AllEntries!J9)</f>
        <v>Helmholtz-Zentrum Geesthacht, Climate Service Center, Max Planck Institute for Meteorology</v>
      </c>
      <c r="K4" s="150" t="str">
        <f>IF(ISBLANK(AllEntries!K9),"",AllEntries!K9)</f>
        <v>Helmholtz-Zentrum Geesthacht, Climate Service Center, Max Planck Institute for Meteorology</v>
      </c>
      <c r="L4" s="150" t="str">
        <f>IF(ISBLANK(AllEntries!L9),"",AllEntries!L9)</f>
        <v>Helmholtz-Zentrum Geesthacht, Climate Service Center, Max Planck Institute for Meteorology</v>
      </c>
      <c r="M4" s="150" t="str">
        <f>IF(ISBLANK(AllEntries!M9),"",AllEntries!M9)</f>
        <v>Swedish Meteorological and Hydrological Institute, Rossby Centre</v>
      </c>
      <c r="N4" s="150" t="str">
        <f>IF(ISBLANK(AllEntries!N9),"",AllEntries!N9)</f>
        <v>Swedish Meteorological and Hydrological Institute, Rossby Centre</v>
      </c>
      <c r="O4" s="150" t="str">
        <f>IF(ISBLANK(AllEntries!O9),"",AllEntries!O9)</f>
        <v>Swedish Meteorological and Hydrological Institute, Rossby Centre</v>
      </c>
      <c r="P4" s="150" t="str">
        <f>IF(ISBLANK(AllEntries!P9),"",AllEntries!P9)</f>
        <v>Swedish Meteorological and Hydrological Institute, Rossby Centre</v>
      </c>
      <c r="Q4" s="150" t="e">
        <f>IF(ISBLANK(AllEntries!#REF!),"",AllEntries!#REF!)</f>
        <v>#REF!</v>
      </c>
      <c r="R4" s="150" t="str">
        <f>IF(ISBLANK(AllEntries!Q9),"",AllEntries!Q9)</f>
        <v/>
      </c>
      <c r="S4" s="150" t="str">
        <f>IF(ISBLANK(AllEntries!R9),"",AllEntries!R9)</f>
        <v>Hungarian Meteorological Service</v>
      </c>
      <c r="T4" s="150" t="str">
        <f>IF(ISBLANK(AllEntries!S9),"",AllEntries!S9)</f>
        <v>Centre National de Recherches Meteorologiques</v>
      </c>
      <c r="U4" s="150" t="str">
        <f>IF(ISBLANK(AllEntries!T9),"",AllEntries!T9)</f>
        <v>Centre National de Recherches Meteorologiques</v>
      </c>
      <c r="V4" s="150" t="str">
        <f>IF(ISBLANK(AllEntries!U9),"",AllEntries!U9)</f>
        <v>Royal Netherlands Meteorological Institute, De Bilt, The Netherlands</v>
      </c>
      <c r="W4" s="150" t="str">
        <f>IF(ISBLANK(AllEntries!V9),"",AllEntries!V9)</f>
        <v>Royal Netherlands Meteorological Institute, De Bilt, The Netherlands</v>
      </c>
      <c r="X4" s="150" t="str">
        <f>IF(ISBLANK(AllEntries!W9),"",AllEntries!W9)</f>
        <v>Royal Netherlands Meteorological Institute, De Bilt, The Netherlands</v>
      </c>
      <c r="Y4" s="152" t="str">
        <f>IF(ISBLANK(AllEntries!X9),"",AllEntries!X9)</f>
        <v>Universite du Quebec a Montreal</v>
      </c>
      <c r="Z4" s="150" t="str">
        <f>IF(ISBLANK(AllEntries!Y9),"",AllEntries!Y9)</f>
        <v>University of Castilla-La Mancha, Toledo, Spain</v>
      </c>
      <c r="AA4" s="150" t="str">
        <f>IF(ISBLANK(AllEntries!Z9),"",AllEntries!Z9)</f>
        <v xml:space="preserve"> Abdus Salam International Centre for Theoretical Physics</v>
      </c>
      <c r="AB4" s="152" t="str">
        <f>IF(ISBLANK(AllEntries!AA9),"",AllEntries!AA9)</f>
        <v>Italian National Agency for New Technologies, Energy and Sustainable Economic Development</v>
      </c>
      <c r="AC4" s="150" t="str">
        <f>IF(ISBLANK(AllEntries!AB9),"",AllEntries!AB9)</f>
        <v/>
      </c>
      <c r="AD4" s="150" t="str">
        <f>IF(ISBLANK(AllEntries!AC9),"",AllEntries!AC9)</f>
        <v>Meteorological and Hydrological Service of Croatia</v>
      </c>
      <c r="AE4" s="150" t="str">
        <f>IF(ISBLANK(AllEntries!AD9),"",AllEntries!AD9)</f>
        <v>Indian Institute of Tropical Meteorology</v>
      </c>
      <c r="AF4" s="150" t="str">
        <f>IF(ISBLANK(AllEntries!AE9),"",AllEntries!AE9)</f>
        <v/>
      </c>
      <c r="AG4" s="150" t="str">
        <f>IF(ISBLANK(AllEntries!AF9),"",AllEntries!AF9)</f>
        <v>CCCma (Canadian Centre for Climate Modelling and Analysis, Victoria, BC, Canada)</v>
      </c>
      <c r="AH4" s="150" t="str">
        <f>IF(ISBLANK(AllEntries!AG9),"",AllEntries!AG9)</f>
        <v>Commonwealth Scientific and Industrial Research Organisation</v>
      </c>
      <c r="AI4" s="150" t="str">
        <f>IF(ISBLANK(AllEntries!AH9),"",AllEntries!AH9)</f>
        <v/>
      </c>
      <c r="AJ4" s="150" t="str">
        <f>IF(ISBLANK(AllEntries!AI9),"",AllEntries!AI9)</f>
        <v>Met Office Hadley Centre</v>
      </c>
      <c r="AK4" s="150" t="str">
        <f>IF(ISBLANK(AllEntries!AJ9),"",AllEntries!AJ9)</f>
        <v>Met Office Hadley Centre</v>
      </c>
      <c r="AL4" s="150" t="str">
        <f>IF(ISBLANK(AllEntries!AK9),"",AllEntries!AK9)</f>
        <v/>
      </c>
      <c r="AM4" s="150" t="str">
        <f>IF(ISBLANK(AllEntries!AL9),"",AllEntries!AL9)</f>
        <v>Bjerknes Centre for Climate Research</v>
      </c>
      <c r="AN4" s="150" t="str">
        <f>IF(ISBLANK(AllEntries!AM9),"",AllEntries!AM9)</f>
        <v/>
      </c>
      <c r="AO4" s="150" t="str">
        <f>IF(ISBLANK(AllEntries!AN9),"",AllEntries!AN9)</f>
        <v/>
      </c>
      <c r="AP4" s="150" t="str">
        <f>IF(ISBLANK(AllEntries!AO9),"",AllEntries!AO9)</f>
        <v/>
      </c>
      <c r="AQ4" s="150" t="str">
        <f>IF(ISBLANK(AllEntries!AP9),"",AllEntries!AP9)</f>
        <v/>
      </c>
      <c r="AR4" s="150" t="str">
        <f>IF(ISBLANK(AllEntries!AQ9),"",AllEntries!AQ9)</f>
        <v/>
      </c>
      <c r="AS4" s="150" t="str">
        <f>IF(ISBLANK(AllEntries!AR9),"",AllEntries!AR9)</f>
        <v>National University of Ireland Maynooth</v>
      </c>
      <c r="AT4" s="150" t="str">
        <f>IF(ISBLANK(AllEntries!AS9),"",AllEntries!AS9)</f>
        <v/>
      </c>
      <c r="AU4" s="150" t="str">
        <f>IF(ISBLANK(AllEntries!AT9),"",AllEntries!AT9)</f>
        <v/>
      </c>
      <c r="AV4" s="150" t="str">
        <f>IF(ISBLANK(AllEntries!AU9),"",AllEntries!AU9)</f>
        <v/>
      </c>
      <c r="AW4" s="163" t="str">
        <f>IF(ISBLANK(AllEntries!AV9),"",AllEntries!AV9)</f>
        <v/>
      </c>
      <c r="AX4" s="199"/>
      <c r="AY4" s="2"/>
      <c r="AZ4" s="2"/>
      <c r="BA4" s="2"/>
      <c r="BB4" s="2"/>
      <c r="BC4" s="2"/>
      <c r="BD4" s="2"/>
      <c r="BE4" s="2"/>
      <c r="BF4" s="2"/>
      <c r="BG4" s="2"/>
      <c r="BH4" s="2"/>
      <c r="BI4" s="2"/>
      <c r="BJ4" s="2"/>
      <c r="BK4" s="2"/>
      <c r="BL4" s="2"/>
      <c r="BM4" s="2"/>
      <c r="BN4" s="2"/>
      <c r="BO4" s="2"/>
      <c r="BP4" s="2"/>
      <c r="BQ4" s="2"/>
      <c r="BR4" s="2"/>
      <c r="BS4" s="2"/>
      <c r="BT4" s="2"/>
      <c r="BU4" s="2"/>
      <c r="BV4" s="2"/>
      <c r="BW4" s="2"/>
      <c r="BX4" s="2"/>
    </row>
    <row r="5" spans="1:76" s="1" customFormat="1" ht="37.799999999999997" customHeight="1" thickBot="1" x14ac:dyDescent="0.35">
      <c r="A5" s="155" t="s">
        <v>86</v>
      </c>
      <c r="B5" s="65" t="str">
        <f>AllEntries!B8</f>
        <v>HIRHAM5</v>
      </c>
      <c r="C5" s="65" t="str">
        <f>AllEntries!C8</f>
        <v>HIRHAM5</v>
      </c>
      <c r="D5" s="65" t="str">
        <f>AllEntries!D8</f>
        <v>CCLM4-8-17</v>
      </c>
      <c r="E5" s="65" t="str">
        <f>AllEntries!E8</f>
        <v>CCLM4-8-17</v>
      </c>
      <c r="F5" s="65" t="str">
        <f>AllEntries!F8</f>
        <v>CCLM4-8-17</v>
      </c>
      <c r="G5" s="65" t="str">
        <f>AllEntries!G8</f>
        <v>CCLM4-8-17</v>
      </c>
      <c r="H5" s="65" t="str">
        <f>AllEntries!H8</f>
        <v>CCLM4-8-17</v>
      </c>
      <c r="I5" s="65" t="str">
        <f>AllEntries!I8</f>
        <v>CCLM4-8-17</v>
      </c>
      <c r="J5" s="65" t="str">
        <f>AllEntries!J8</f>
        <v>REMO2009</v>
      </c>
      <c r="K5" s="65" t="str">
        <f>AllEntries!K8</f>
        <v>REMO2009</v>
      </c>
      <c r="L5" s="65" t="str">
        <f>AllEntries!L8</f>
        <v>REMO2009</v>
      </c>
      <c r="M5" s="65" t="str">
        <f>AllEntries!M8</f>
        <v>RCAO-SN</v>
      </c>
      <c r="N5" s="65" t="str">
        <f>AllEntries!N8</f>
        <v>RCA4-SN</v>
      </c>
      <c r="O5" s="65" t="str">
        <f>AllEntries!O8</f>
        <v>RCAO</v>
      </c>
      <c r="P5" s="65" t="str">
        <f>AllEntries!P8</f>
        <v>RCA4</v>
      </c>
      <c r="Q5" s="140"/>
      <c r="R5" s="65" t="str">
        <f>AllEntries!Q8</f>
        <v>ALADIN52</v>
      </c>
      <c r="S5" s="65" t="str">
        <f>AllEntries!R8</f>
        <v>ALADIN52</v>
      </c>
      <c r="T5" s="65" t="str">
        <f>AllEntries!S8</f>
        <v>ALADIN52</v>
      </c>
      <c r="U5" s="65" t="str">
        <f>AllEntries!T8</f>
        <v>ARPEGE52</v>
      </c>
      <c r="V5" s="111" t="str">
        <f>AllEntries!U8</f>
        <v>RACMO22E</v>
      </c>
      <c r="W5" s="111" t="str">
        <f>AllEntries!V8</f>
        <v>RACMO21P</v>
      </c>
      <c r="X5" s="126" t="str">
        <f>AllEntries!W8</f>
        <v>RACMO22T</v>
      </c>
      <c r="Y5" s="140" t="str">
        <f>AllEntries!X8</f>
        <v>CRCM5</v>
      </c>
      <c r="Z5" s="65" t="str">
        <f>AllEntries!Y8</f>
        <v>PROMES</v>
      </c>
      <c r="AA5" s="65" t="str">
        <f>AllEntries!Z8</f>
        <v>RegCM4-3</v>
      </c>
      <c r="AB5" s="140" t="str">
        <f>AllEntries!AA8</f>
        <v>RegCM4-3</v>
      </c>
      <c r="AC5" s="65" t="str">
        <f>AllEntries!AB8</f>
        <v>RegCM4-2</v>
      </c>
      <c r="AD5" s="65" t="str">
        <f>AllEntries!AC8</f>
        <v>RegCM4-2</v>
      </c>
      <c r="AE5" s="65" t="str">
        <f>AllEntries!AD8</f>
        <v>RegCM4-1</v>
      </c>
      <c r="AF5" s="140" t="str">
        <f>AllEntries!AE8</f>
        <v>RM3</v>
      </c>
      <c r="AG5" s="140" t="str">
        <f>AllEntries!AF8</f>
        <v>CanRCM4</v>
      </c>
      <c r="AH5" s="65" t="str">
        <f>AllEntries!AG8</f>
        <v>CCAM</v>
      </c>
      <c r="AI5" s="140" t="str">
        <f>AllEntries!AH8</f>
        <v>GFDL</v>
      </c>
      <c r="AJ5" s="65" t="str">
        <f>AllEntries!AI8</f>
        <v>HadGEM3-RA</v>
      </c>
      <c r="AK5" s="65" t="str">
        <f>AllEntries!AJ8</f>
        <v>HadRM3P</v>
      </c>
      <c r="AL5" s="65" t="str">
        <f>AllEntries!AK8</f>
        <v>WRF331A</v>
      </c>
      <c r="AM5" s="126" t="str">
        <f>AllEntries!AL8</f>
        <v>WRF331C</v>
      </c>
      <c r="AN5" s="65" t="str">
        <f>AllEntries!AM8</f>
        <v>WRF331A</v>
      </c>
      <c r="AO5" s="65" t="str">
        <f>AllEntries!AN8</f>
        <v>WRF331D</v>
      </c>
      <c r="AP5" s="65" t="str">
        <f>AllEntries!AO8</f>
        <v>WRF331F</v>
      </c>
      <c r="AQ5" s="65" t="str">
        <f>AllEntries!AP8</f>
        <v>WRF331A</v>
      </c>
      <c r="AR5" s="65" t="str">
        <f>AllEntries!AQ8</f>
        <v>WRF321B</v>
      </c>
      <c r="AS5" s="65" t="str">
        <f>AllEntries!AR8</f>
        <v>WRF341E</v>
      </c>
      <c r="AT5" s="65" t="str">
        <f>AllEntries!AS8</f>
        <v>WRF331H</v>
      </c>
      <c r="AU5" s="65" t="str">
        <f>AllEntries!AT8</f>
        <v>WRF331</v>
      </c>
      <c r="AV5" s="65" t="str">
        <f>AllEntries!AU8</f>
        <v>WRF331G</v>
      </c>
      <c r="AW5" s="164" t="str">
        <f>AllEntries!AV8</f>
        <v>WRF350I</v>
      </c>
      <c r="AX5" s="199"/>
      <c r="AY5" s="2"/>
      <c r="AZ5" s="2"/>
      <c r="BA5" s="2"/>
      <c r="BB5" s="2"/>
      <c r="BC5" s="2"/>
      <c r="BD5" s="2"/>
      <c r="BE5" s="2"/>
      <c r="BF5" s="2"/>
      <c r="BG5" s="2"/>
      <c r="BH5" s="2"/>
      <c r="BI5" s="2"/>
      <c r="BJ5" s="2"/>
      <c r="BK5" s="2"/>
      <c r="BL5" s="2"/>
      <c r="BM5" s="2"/>
      <c r="BN5" s="2"/>
      <c r="BO5" s="2"/>
      <c r="BP5" s="2"/>
      <c r="BQ5" s="2"/>
      <c r="BR5" s="2"/>
      <c r="BS5" s="2"/>
      <c r="BT5" s="2"/>
      <c r="BU5" s="2"/>
      <c r="BV5" s="2"/>
      <c r="BW5" s="2"/>
      <c r="BX5" s="2"/>
    </row>
    <row r="6" spans="1:76" s="1" customFormat="1" ht="40.200000000000003" customHeight="1" thickBot="1" x14ac:dyDescent="0.3">
      <c r="A6" s="76" t="s">
        <v>87</v>
      </c>
      <c r="B6" s="65" t="str">
        <f t="shared" ref="B6" si="0">IF(ISBLANK(B9),"",CONCATENATE(B3,"-",B5))</f>
        <v>DMI-HIRHAM5</v>
      </c>
      <c r="C6" s="65" t="str">
        <f>IF(ISBLANK(C9),"",CONCATENATE(C3,"-",C5))</f>
        <v>AWI-HIRHAM5</v>
      </c>
      <c r="D6" s="65" t="str">
        <f t="shared" ref="D6" si="1">IF(ISBLANK(D9),"",CONCATENATE(D3,"-",D5))</f>
        <v>CLMcom -CCLM4-8-17</v>
      </c>
      <c r="E6" s="65" t="str">
        <f t="shared" ref="E6" si="2">IF(ISBLANK(E9),"",CONCATENATE(E3,"-",E5))</f>
        <v>CLMcom-CCLM4-8-17</v>
      </c>
      <c r="F6" s="65" t="str">
        <f t="shared" ref="F6" si="3">IF(ISBLANK(F9),"",CONCATENATE(F3,"-",F5))</f>
        <v>CLMcom-CCLM4-8-17</v>
      </c>
      <c r="G6" s="65" t="str">
        <f t="shared" ref="G6" si="4">IF(ISBLANK(G9),"",CONCATENATE(G3,"-",G5))</f>
        <v>CLMcom-CCLM4-8-17</v>
      </c>
      <c r="H6" s="65" t="str">
        <f t="shared" ref="H6" si="5">IF(ISBLANK(H9),"",CONCATENATE(H3,"-",H5))</f>
        <v>CLMcom-CCLM4-8-17</v>
      </c>
      <c r="I6" s="65" t="str">
        <f t="shared" ref="I6" si="6">IF(ISBLANK(I9),"",CONCATENATE(I3,"-",I5))</f>
        <v>CLMcom-CCLM4-8-17</v>
      </c>
      <c r="J6" s="65" t="str">
        <f t="shared" ref="J6" si="7">IF(ISBLANK(J9),"",CONCATENATE(J3,"-",J5))</f>
        <v>MPI-CSC-REMO2009</v>
      </c>
      <c r="K6" s="65" t="str">
        <f t="shared" ref="K6" si="8">IF(ISBLANK(K9),"",CONCATENATE(K3,"-",K5))</f>
        <v>MPI-CSC-REMO2009</v>
      </c>
      <c r="L6" s="65" t="str">
        <f t="shared" ref="L6" si="9">IF(ISBLANK(L9),"",CONCATENATE(L3,"-",L5))</f>
        <v>MPI-CSC-REMO2009</v>
      </c>
      <c r="M6" s="65" t="str">
        <f t="shared" ref="M6" si="10">IF(ISBLANK(M9),"",CONCATENATE(M3,"-",M5))</f>
        <v>SMHI-RCAO-SN</v>
      </c>
      <c r="N6" s="65" t="str">
        <f t="shared" ref="N6" si="11">IF(ISBLANK(N9),"",CONCATENATE(N3,"-",N5))</f>
        <v>SMHI-RCA4-SN</v>
      </c>
      <c r="O6" s="65" t="str">
        <f t="shared" ref="O6" si="12">IF(ISBLANK(O9),"",CONCATENATE(O3,"-",O5))</f>
        <v>SMHI-RCAO</v>
      </c>
      <c r="P6" s="65" t="str">
        <f t="shared" ref="P6" si="13">IF(ISBLANK(P9),"",CONCATENATE(P3,"-",P5))</f>
        <v>SMHI-RCA4</v>
      </c>
      <c r="Q6" s="140" t="str">
        <f t="shared" ref="Q6" si="14">IF(ISBLANK(Q9),"",CONCATENATE(Q3,"-",Q5))</f>
        <v/>
      </c>
      <c r="R6" s="65" t="str">
        <f t="shared" ref="R6" si="15">IF(ISBLANK(R9),"",CONCATENATE(R3,"-",R5))</f>
        <v>CHMI-ALADIN52</v>
      </c>
      <c r="S6" s="65" t="str">
        <f t="shared" ref="S6" si="16">IF(ISBLANK(S9),"",CONCATENATE(S3,"-",S5))</f>
        <v>HMS-ALADIN52</v>
      </c>
      <c r="T6" s="65" t="str">
        <f t="shared" ref="T6" si="17">IF(ISBLANK(T9),"",CONCATENATE(T3,"-",T5))</f>
        <v>CNRM-ALADIN52</v>
      </c>
      <c r="U6" s="65" t="str">
        <f t="shared" ref="U6" si="18">IF(ISBLANK(U9),"",CONCATENATE(U3,"-",U5))</f>
        <v>CNRM-ARPEGE52</v>
      </c>
      <c r="V6" s="65" t="str">
        <f t="shared" ref="V6" si="19">IF(ISBLANK(V9),"",CONCATENATE(V3,"-",V5))</f>
        <v>KNMI-RACMO22E</v>
      </c>
      <c r="W6" s="65" t="str">
        <f t="shared" ref="W6" si="20">IF(ISBLANK(W9),"",CONCATENATE(W3,"-",W5))</f>
        <v>KNMI-RACMO21P</v>
      </c>
      <c r="X6" s="65" t="str">
        <f t="shared" ref="X6" si="21">IF(ISBLANK(X9),"",CONCATENATE(X3,"-",X5))</f>
        <v>KNMI-RACMO22T</v>
      </c>
      <c r="Y6" s="140" t="str">
        <f t="shared" ref="Y6" si="22">IF(ISBLANK(Y9),"",CONCATENATE(Y3,"-",Y5))</f>
        <v/>
      </c>
      <c r="Z6" s="65" t="str">
        <f t="shared" ref="Z6" si="23">IF(ISBLANK(Z9),"",CONCATENATE(Z3,"-",Z5))</f>
        <v>UCLM-PROMES</v>
      </c>
      <c r="AA6" s="65" t="str">
        <f t="shared" ref="AA6:AB6" si="24">IF(ISBLANK(AA9),"",CONCATENATE(AA3,"-",AA5))</f>
        <v>ICTP-RegCM4-3</v>
      </c>
      <c r="AB6" s="140" t="str">
        <f t="shared" si="24"/>
        <v/>
      </c>
      <c r="AC6" s="65" t="str">
        <f t="shared" ref="AC6" si="25">IF(ISBLANK(AC9),"",CONCATENATE(AC3,"-",AC5))</f>
        <v>CUNI-RegCM4-2</v>
      </c>
      <c r="AD6" s="65" t="str">
        <f t="shared" ref="AD6:AF6" si="26">IF(ISBLANK(AD9),"",CONCATENATE(AD3,"-",AD5))</f>
        <v>DHMZ-RegCM4-2</v>
      </c>
      <c r="AE6" s="65" t="str">
        <f t="shared" ref="AE6" si="27">IF(ISBLANK(AE9),"",CONCATENATE(AE3,"-",AE5))</f>
        <v>IITM-RegCM4-1</v>
      </c>
      <c r="AF6" s="140" t="str">
        <f>IF(ISBLANK(AF9),"",CONCATENATE(AF3,"-",AF5))</f>
        <v/>
      </c>
      <c r="AG6" s="140" t="str">
        <f>IF(ISBLANK(AG9),"",CONCATENATE(AG3,"-",AG5))</f>
        <v/>
      </c>
      <c r="AH6" s="65" t="str">
        <f>IF(ISBLANK(AH9),"",CONCATENATE(AH3,"-",AH5))</f>
        <v>CSIRO-CCAM</v>
      </c>
      <c r="AI6" s="140" t="str">
        <f>IF(ISBLANK(AI9),"",CONCATENATE(AI3,"-",AI5))</f>
        <v/>
      </c>
      <c r="AJ6" s="65" t="str">
        <f>IF(ISBLANK(AJ9),"",CONCATENATE(AJ3,"-",AJ5))</f>
        <v>MOHC-HadGEM3-RA</v>
      </c>
      <c r="AK6" s="65" t="str">
        <f>IF(ISBLANK(AK9),"",CONCATENATE(AK3,"-",AK5))</f>
        <v>MOHC-HadRM3P</v>
      </c>
      <c r="AL6" s="65" t="str">
        <f>IF(ISBLANK(AL9),"",CONCATENATE(AL3,"-",AL5))</f>
        <v>MIUB-WRF331A</v>
      </c>
      <c r="AM6" s="65" t="str">
        <f>IF(ISBLANK(AM9),"",CONCATENATE(AM3,"-",AM5))</f>
        <v>BCCR-WRF331C</v>
      </c>
      <c r="AN6" s="65" t="str">
        <f>IF(ISBLANK(AN9),"",CONCATENATE(AN3,"-",AN5))</f>
        <v>CRP-GL-WRF331A</v>
      </c>
      <c r="AO6" s="65" t="str">
        <f>IF(ISBLANK(AO9),"",CONCATENATE(AO3,"-",AO5))</f>
        <v>IDL-WRF331D</v>
      </c>
      <c r="AP6" s="65" t="str">
        <f>IF(ISBLANK(AP9),"",CONCATENATE(AP3,"-",AP5))</f>
        <v>IPSL-INERIS-WRF331F</v>
      </c>
      <c r="AQ6" s="65" t="str">
        <f>IF(ISBLANK(AQ9),"",CONCATENATE(AQ3,"-",AQ5))</f>
        <v>AUTH-Met-WRF331A</v>
      </c>
      <c r="AR6" s="65" t="str">
        <f>IF(ISBLANK(AR9),"",CONCATENATE(AR3,"-",AR5))</f>
        <v>AUTH-LHTEE-WRF321B</v>
      </c>
      <c r="AS6" s="65" t="str">
        <f>IF(ISBLANK(AS9),"",CONCATENATE(AS3,"-",AS5))</f>
        <v>NUIM-WRF341E</v>
      </c>
      <c r="AT6" s="65" t="str">
        <f>IF(ISBLANK(AT9),"",CONCATENATE(AT3,"-",AT5))</f>
        <v>UHOH-WRF331H</v>
      </c>
      <c r="AU6" s="65" t="str">
        <f>IF(ISBLANK(AU9),"",CONCATENATE(AU3,"-",AU5))</f>
        <v>UM-WRF331</v>
      </c>
      <c r="AV6" s="65" t="str">
        <f>IF(ISBLANK(AV9),"",CONCATENATE(AV3,"-",AV5))</f>
        <v>UCAN-WRF331G</v>
      </c>
      <c r="AW6" s="164" t="str">
        <f>IF(ISBLANK(AW9),"",CONCATENATE(AW3,"-",AW5))</f>
        <v>UCAN-WRF350I</v>
      </c>
      <c r="AX6" s="105"/>
      <c r="AY6" s="2"/>
      <c r="AZ6" s="2"/>
      <c r="BA6" s="2"/>
      <c r="BB6" s="2"/>
      <c r="BC6" s="2"/>
      <c r="BD6" s="2"/>
      <c r="BE6" s="2"/>
      <c r="BF6" s="2"/>
      <c r="BG6" s="2"/>
      <c r="BH6" s="2"/>
      <c r="BI6" s="2"/>
      <c r="BJ6" s="2"/>
      <c r="BK6" s="2"/>
      <c r="BL6" s="2"/>
      <c r="BM6" s="2"/>
      <c r="BN6" s="2"/>
      <c r="BO6" s="2"/>
      <c r="BP6" s="2"/>
      <c r="BQ6" s="2"/>
      <c r="BR6" s="2"/>
      <c r="BS6" s="2"/>
      <c r="BT6" s="2"/>
      <c r="BU6" s="2"/>
      <c r="BV6" s="2"/>
      <c r="BW6" s="2"/>
      <c r="BX6" s="2"/>
    </row>
    <row r="7" spans="1:76" s="1" customFormat="1" ht="40.200000000000003" customHeight="1" thickBot="1" x14ac:dyDescent="0.3">
      <c r="A7" s="153" t="s">
        <v>151</v>
      </c>
      <c r="B7" s="137" t="str">
        <f>IF(ISBLANK(AllEntries!B11),"unknown",AllEntries!B11)</f>
        <v>unrestricted</v>
      </c>
      <c r="C7" s="137" t="str">
        <f>IF(ISBLANK(AllEntries!C11),"unknown",AllEntries!C11)</f>
        <v>unknown</v>
      </c>
      <c r="D7" s="137" t="str">
        <f>IF(ISBLANK(AllEntries!D11),"unknown",AllEntries!D11)</f>
        <v>non-commercial only</v>
      </c>
      <c r="E7" s="137" t="str">
        <f>IF(ISBLANK(AllEntries!E11),"unknown",AllEntries!E11)</f>
        <v>non-commercial only</v>
      </c>
      <c r="F7" s="137" t="str">
        <f>IF(ISBLANK(AllEntries!F11),"unknown",AllEntries!F11)</f>
        <v>non-commercial only</v>
      </c>
      <c r="G7" s="137" t="str">
        <f>IF(ISBLANK(AllEntries!G11),"unknown",AllEntries!G11)</f>
        <v>non-commercial only</v>
      </c>
      <c r="H7" s="137" t="str">
        <f>IF(ISBLANK(AllEntries!H11),"unknown",AllEntries!H11)</f>
        <v>non-commercial only</v>
      </c>
      <c r="I7" s="137" t="str">
        <f>IF(ISBLANK(AllEntries!I11),"unknown",AllEntries!I11)</f>
        <v>non-commercial only</v>
      </c>
      <c r="J7" s="137" t="str">
        <f>IF(ISBLANK(AllEntries!J11),"unknown",AllEntries!J11)</f>
        <v>unrestricted</v>
      </c>
      <c r="K7" s="137" t="str">
        <f>IF(ISBLANK(AllEntries!K11),"unknown",AllEntries!K11)</f>
        <v>unrestricted</v>
      </c>
      <c r="L7" s="137" t="str">
        <f>IF(ISBLANK(AllEntries!L11),"unknown",AllEntries!L11)</f>
        <v>unrestricted</v>
      </c>
      <c r="M7" s="137" t="str">
        <f>IF(ISBLANK(AllEntries!M11),"",AllEntries!M11)</f>
        <v>unrestricted</v>
      </c>
      <c r="N7" s="137" t="str">
        <f>IF(ISBLANK(AllEntries!N11),"",AllEntries!N11)</f>
        <v>unrestricted</v>
      </c>
      <c r="O7" s="137" t="str">
        <f>IF(ISBLANK(AllEntries!O11),"",AllEntries!O11)</f>
        <v>unrestricted</v>
      </c>
      <c r="P7" s="137" t="str">
        <f>IF(ISBLANK(AllEntries!P11),"",AllEntries!P11)</f>
        <v>unrestricted</v>
      </c>
      <c r="Q7" s="137"/>
      <c r="R7" s="137" t="str">
        <f>IF(ISBLANK(AllEntries!Q11),"unknown",AllEntries!Q11)</f>
        <v>unknown</v>
      </c>
      <c r="S7" s="137" t="str">
        <f>IF(ISBLANK(AllEntries!R11),"unknown",AllEntries!R11)</f>
        <v>non-commercial only</v>
      </c>
      <c r="T7" s="137" t="str">
        <f>IF(ISBLANK(AllEntries!S11),"unknown",AllEntries!S11)</f>
        <v>unrestricted</v>
      </c>
      <c r="U7" s="137" t="str">
        <f>IF(ISBLANK(AllEntries!T11),"unknown",AllEntries!T11)</f>
        <v>unrestricted</v>
      </c>
      <c r="V7" s="137" t="str">
        <f>IF(ISBLANK(AllEntries!U11),"unknown",AllEntries!U11)</f>
        <v>unrestricted</v>
      </c>
      <c r="W7" s="137" t="str">
        <f>IF(ISBLANK(AllEntries!V11),"unknown",AllEntries!V11)</f>
        <v>unrestricted</v>
      </c>
      <c r="X7" s="137" t="str">
        <f>IF(ISBLANK(AllEntries!W11),"unknown",AllEntries!W11)</f>
        <v>unrestricted</v>
      </c>
      <c r="Y7" s="137" t="str">
        <f>IF(ISBLANK(AllEntries!X11),"unknown",AllEntries!X11)</f>
        <v>unrestricted</v>
      </c>
      <c r="Z7" s="137" t="str">
        <f>IF(ISBLANK(AllEntries!Y11),"unknown",AllEntries!Y11)</f>
        <v>unknown</v>
      </c>
      <c r="AA7" s="137" t="str">
        <f>IF(ISBLANK(AllEntries!Z11),"unknown",AllEntries!Z11)</f>
        <v>unrestricted</v>
      </c>
      <c r="AB7" s="137" t="str">
        <f>IF(ISBLANK(AllEntries!AA11),"unknown",AllEntries!AA11)</f>
        <v>non-commercial only</v>
      </c>
      <c r="AC7" s="137" t="str">
        <f>IF(ISBLANK(AllEntries!AB11),"unknown",AllEntries!AB11)</f>
        <v>unknown</v>
      </c>
      <c r="AD7" s="137" t="str">
        <f>IF(ISBLANK(AllEntries!AC11),"unknown",AllEntries!AC11)</f>
        <v>non-commercial only</v>
      </c>
      <c r="AE7" s="137" t="str">
        <f>IF(ISBLANK(AllEntries!AD11),"unknown",AllEntries!AD11)</f>
        <v>non-commercial only</v>
      </c>
      <c r="AF7" s="137" t="str">
        <f>IF(ISBLANK(AllEntries!AE11),"unknown",AllEntries!AE11)</f>
        <v>unknown</v>
      </c>
      <c r="AG7" s="137" t="str">
        <f>IF(ISBLANK(AllEntries!AF11),"unknown",AllEntries!AF11)</f>
        <v>unrestricted</v>
      </c>
      <c r="AH7" s="137" t="str">
        <f>IF(ISBLANK(AllEntries!AG11),"unknown",AllEntries!AG11)</f>
        <v>unknown</v>
      </c>
      <c r="AI7" s="137" t="str">
        <f>IF(ISBLANK(AllEntries!AH11),"unknown",AllEntries!AH11)</f>
        <v>unknown</v>
      </c>
      <c r="AJ7" s="137" t="str">
        <f>IF(ISBLANK(AllEntries!AI11),"unknown",AllEntries!AI11)</f>
        <v>unrestricted</v>
      </c>
      <c r="AK7" s="137" t="str">
        <f>IF(ISBLANK(AllEntries!AJ11),"unknown",AllEntries!AJ11)</f>
        <v>unrestricted</v>
      </c>
      <c r="AL7" s="137" t="str">
        <f>IF(ISBLANK(AllEntries!AK11),"unknown",AllEntries!AK11)</f>
        <v>unknown</v>
      </c>
      <c r="AM7" s="137" t="str">
        <f>IF(ISBLANK(AllEntries!AL11),"unknown",AllEntries!AL11)</f>
        <v>unrestricted</v>
      </c>
      <c r="AN7" s="137" t="str">
        <f>IF(ISBLANK(AllEntries!AM11),"unknown",AllEntries!AM11)</f>
        <v>unrestricted</v>
      </c>
      <c r="AO7" s="137" t="str">
        <f>IF(ISBLANK(AllEntries!AN11),"unknown",AllEntries!AN11)</f>
        <v>unknown</v>
      </c>
      <c r="AP7" s="137" t="str">
        <f>IF(ISBLANK(AllEntries!AO11),"unknown",AllEntries!AO11)</f>
        <v>unknown</v>
      </c>
      <c r="AQ7" s="137" t="str">
        <f>IF(ISBLANK(AllEntries!AP11),"unknown",AllEntries!AP11)</f>
        <v>unknown</v>
      </c>
      <c r="AR7" s="137" t="str">
        <f>IF(ISBLANK(AllEntries!AQ11),"unknown",AllEntries!AQ11)</f>
        <v>unknown</v>
      </c>
      <c r="AS7" s="137" t="str">
        <f>IF(ISBLANK(AllEntries!AR11),"unknown",AllEntries!AR11)</f>
        <v>non-commercial only</v>
      </c>
      <c r="AT7" s="137" t="str">
        <f>IF(ISBLANK(AllEntries!AS11),"unknown",AllEntries!AS11)</f>
        <v>unknown</v>
      </c>
      <c r="AU7" s="137" t="str">
        <f>IF(ISBLANK(AllEntries!AT11),"unknown",AllEntries!AT11)</f>
        <v>unknown</v>
      </c>
      <c r="AV7" s="137" t="str">
        <f>IF(ISBLANK(AllEntries!AU11),"unknown",AllEntries!AU11)</f>
        <v>non-commercial only</v>
      </c>
      <c r="AW7" s="165" t="str">
        <f>IF(ISBLANK(AllEntries!AV11),"unknown",AllEntries!AV11)</f>
        <v>unknown</v>
      </c>
      <c r="AX7" s="128"/>
      <c r="AY7" s="2"/>
      <c r="AZ7" s="2"/>
      <c r="BA7" s="2"/>
      <c r="BB7" s="2"/>
      <c r="BC7" s="2"/>
      <c r="BD7" s="2"/>
      <c r="BE7" s="2"/>
      <c r="BF7" s="2"/>
      <c r="BG7" s="2"/>
      <c r="BH7" s="2"/>
      <c r="BI7" s="2"/>
      <c r="BJ7" s="2"/>
      <c r="BK7" s="2"/>
      <c r="BL7" s="2"/>
      <c r="BM7" s="2"/>
      <c r="BN7" s="2"/>
      <c r="BO7" s="2"/>
      <c r="BP7" s="2"/>
      <c r="BQ7" s="2"/>
      <c r="BR7" s="2"/>
      <c r="BS7" s="2"/>
      <c r="BT7" s="2"/>
      <c r="BU7" s="2"/>
      <c r="BV7" s="2"/>
      <c r="BW7" s="2"/>
      <c r="BX7" s="2"/>
    </row>
    <row r="8" spans="1:76" s="36" customFormat="1" ht="60" customHeight="1" thickBot="1" x14ac:dyDescent="0.25">
      <c r="A8" s="154" t="s">
        <v>187</v>
      </c>
      <c r="B8" s="142" t="s">
        <v>186</v>
      </c>
      <c r="C8" s="142" t="s">
        <v>186</v>
      </c>
      <c r="D8" s="142" t="s">
        <v>186</v>
      </c>
      <c r="E8" s="142" t="s">
        <v>186</v>
      </c>
      <c r="F8" s="142" t="s">
        <v>186</v>
      </c>
      <c r="G8" s="142" t="s">
        <v>186</v>
      </c>
      <c r="H8" s="142" t="s">
        <v>186</v>
      </c>
      <c r="I8" s="142" t="s">
        <v>186</v>
      </c>
      <c r="J8" s="142" t="s">
        <v>186</v>
      </c>
      <c r="K8" s="142" t="s">
        <v>186</v>
      </c>
      <c r="L8" s="142" t="s">
        <v>186</v>
      </c>
      <c r="M8" s="142" t="s">
        <v>186</v>
      </c>
      <c r="N8" s="142" t="s">
        <v>186</v>
      </c>
      <c r="O8" s="142" t="s">
        <v>186</v>
      </c>
      <c r="P8" s="142" t="s">
        <v>186</v>
      </c>
      <c r="Q8" s="142" t="s">
        <v>186</v>
      </c>
      <c r="R8" s="142" t="s">
        <v>186</v>
      </c>
      <c r="S8" s="142" t="s">
        <v>186</v>
      </c>
      <c r="T8" s="142" t="s">
        <v>186</v>
      </c>
      <c r="U8" s="142" t="s">
        <v>186</v>
      </c>
      <c r="V8" s="142" t="s">
        <v>186</v>
      </c>
      <c r="W8" s="142" t="s">
        <v>186</v>
      </c>
      <c r="X8" s="142" t="s">
        <v>186</v>
      </c>
      <c r="Y8" s="142"/>
      <c r="Z8" s="142" t="s">
        <v>186</v>
      </c>
      <c r="AA8" s="142" t="s">
        <v>186</v>
      </c>
      <c r="AB8" s="142"/>
      <c r="AC8" s="142" t="s">
        <v>186</v>
      </c>
      <c r="AD8" s="142" t="s">
        <v>186</v>
      </c>
      <c r="AE8" s="142" t="s">
        <v>186</v>
      </c>
      <c r="AF8" s="142" t="s">
        <v>186</v>
      </c>
      <c r="AG8" s="142" t="s">
        <v>186</v>
      </c>
      <c r="AH8" s="142" t="s">
        <v>186</v>
      </c>
      <c r="AI8" s="142" t="s">
        <v>186</v>
      </c>
      <c r="AJ8" s="142" t="s">
        <v>186</v>
      </c>
      <c r="AK8" s="142" t="s">
        <v>186</v>
      </c>
      <c r="AL8" s="142" t="s">
        <v>186</v>
      </c>
      <c r="AM8" s="142" t="s">
        <v>186</v>
      </c>
      <c r="AN8" s="142" t="s">
        <v>186</v>
      </c>
      <c r="AO8" s="142" t="s">
        <v>186</v>
      </c>
      <c r="AP8" s="142" t="s">
        <v>186</v>
      </c>
      <c r="AQ8" s="142" t="s">
        <v>186</v>
      </c>
      <c r="AR8" s="142" t="s">
        <v>186</v>
      </c>
      <c r="AS8" s="142" t="s">
        <v>186</v>
      </c>
      <c r="AT8" s="142" t="s">
        <v>186</v>
      </c>
      <c r="AU8" s="142" t="s">
        <v>186</v>
      </c>
      <c r="AV8" s="142" t="s">
        <v>186</v>
      </c>
      <c r="AW8" s="166" t="s">
        <v>186</v>
      </c>
      <c r="AX8" s="145"/>
      <c r="AY8" s="146"/>
      <c r="AZ8" s="146"/>
      <c r="BA8" s="146"/>
      <c r="BB8" s="146"/>
      <c r="BC8" s="146"/>
      <c r="BD8" s="146"/>
      <c r="BE8" s="146"/>
      <c r="BF8" s="146"/>
      <c r="BG8" s="146"/>
      <c r="BH8" s="146"/>
      <c r="BI8" s="146"/>
      <c r="BJ8" s="146"/>
      <c r="BK8" s="146"/>
      <c r="BL8" s="146"/>
      <c r="BM8" s="146"/>
      <c r="BN8" s="146"/>
      <c r="BO8" s="146"/>
      <c r="BP8" s="146"/>
      <c r="BQ8" s="146"/>
      <c r="BR8" s="146"/>
      <c r="BS8" s="146"/>
      <c r="BT8" s="146"/>
      <c r="BU8" s="146"/>
      <c r="BV8" s="146"/>
      <c r="BW8" s="146"/>
      <c r="BX8" s="146"/>
    </row>
    <row r="9" spans="1:76" s="36" customFormat="1" ht="60" customHeight="1" thickTop="1" thickBot="1" x14ac:dyDescent="0.25">
      <c r="A9" s="154" t="s">
        <v>96</v>
      </c>
      <c r="B9" s="142" t="s">
        <v>154</v>
      </c>
      <c r="C9" s="142" t="s">
        <v>160</v>
      </c>
      <c r="D9" s="142" t="s">
        <v>161</v>
      </c>
      <c r="E9" s="142" t="s">
        <v>161</v>
      </c>
      <c r="F9" s="142" t="s">
        <v>161</v>
      </c>
      <c r="G9" s="142" t="s">
        <v>161</v>
      </c>
      <c r="H9" s="142" t="s">
        <v>161</v>
      </c>
      <c r="I9" s="142" t="s">
        <v>161</v>
      </c>
      <c r="J9" s="142" t="s">
        <v>127</v>
      </c>
      <c r="K9" s="142" t="s">
        <v>127</v>
      </c>
      <c r="L9" s="142" t="s">
        <v>127</v>
      </c>
      <c r="M9" s="142" t="s">
        <v>155</v>
      </c>
      <c r="N9" s="142" t="s">
        <v>155</v>
      </c>
      <c r="O9" s="142" t="s">
        <v>155</v>
      </c>
      <c r="P9" s="142" t="s">
        <v>155</v>
      </c>
      <c r="Q9" s="143"/>
      <c r="R9" s="143" t="s">
        <v>132</v>
      </c>
      <c r="S9" s="142" t="s">
        <v>156</v>
      </c>
      <c r="T9" s="143" t="s">
        <v>131</v>
      </c>
      <c r="U9" s="143" t="s">
        <v>131</v>
      </c>
      <c r="V9" s="143" t="s">
        <v>118</v>
      </c>
      <c r="W9" s="143" t="s">
        <v>118</v>
      </c>
      <c r="X9" s="144" t="s">
        <v>119</v>
      </c>
      <c r="Y9" s="142"/>
      <c r="Z9" s="142" t="s">
        <v>162</v>
      </c>
      <c r="AA9" s="142" t="s">
        <v>157</v>
      </c>
      <c r="AB9" s="142"/>
      <c r="AC9" s="142" t="s">
        <v>157</v>
      </c>
      <c r="AD9" s="142" t="s">
        <v>157</v>
      </c>
      <c r="AE9" s="142" t="s">
        <v>225</v>
      </c>
      <c r="AF9" s="142"/>
      <c r="AG9" s="142"/>
      <c r="AH9" s="221" t="s">
        <v>229</v>
      </c>
      <c r="AI9" s="142"/>
      <c r="AJ9" s="142" t="s">
        <v>158</v>
      </c>
      <c r="AK9" s="142" t="s">
        <v>158</v>
      </c>
      <c r="AL9" s="142" t="s">
        <v>159</v>
      </c>
      <c r="AM9" s="142" t="s">
        <v>159</v>
      </c>
      <c r="AN9" s="142" t="s">
        <v>159</v>
      </c>
      <c r="AO9" s="142" t="s">
        <v>159</v>
      </c>
      <c r="AP9" s="142" t="s">
        <v>166</v>
      </c>
      <c r="AQ9" s="142" t="s">
        <v>159</v>
      </c>
      <c r="AR9" s="142" t="s">
        <v>159</v>
      </c>
      <c r="AS9" s="142" t="s">
        <v>224</v>
      </c>
      <c r="AT9" s="142" t="s">
        <v>159</v>
      </c>
      <c r="AU9" s="142" t="s">
        <v>159</v>
      </c>
      <c r="AV9" s="142" t="s">
        <v>159</v>
      </c>
      <c r="AW9" s="166" t="s">
        <v>159</v>
      </c>
      <c r="AX9" s="145"/>
      <c r="AY9" s="146"/>
      <c r="AZ9" s="146"/>
      <c r="BA9" s="146"/>
      <c r="BB9" s="146"/>
      <c r="BC9" s="146"/>
      <c r="BD9" s="146"/>
      <c r="BE9" s="146"/>
      <c r="BF9" s="146"/>
      <c r="BG9" s="146"/>
      <c r="BH9" s="146"/>
      <c r="BI9" s="146"/>
      <c r="BJ9" s="146"/>
      <c r="BK9" s="146"/>
      <c r="BL9" s="146"/>
      <c r="BM9" s="146"/>
      <c r="BN9" s="146"/>
      <c r="BO9" s="146"/>
      <c r="BP9" s="146"/>
      <c r="BQ9" s="146"/>
      <c r="BR9" s="146"/>
      <c r="BS9" s="146"/>
      <c r="BT9" s="146"/>
      <c r="BU9" s="146"/>
      <c r="BV9" s="146"/>
      <c r="BW9" s="146"/>
      <c r="BX9" s="146"/>
    </row>
    <row r="10" spans="1:76" ht="15" thickTop="1" x14ac:dyDescent="0.3"/>
    <row r="11" spans="1:76" x14ac:dyDescent="0.3">
      <c r="A11" s="63"/>
    </row>
    <row r="18" spans="3:3" x14ac:dyDescent="0.3">
      <c r="C18" s="60"/>
    </row>
  </sheetData>
  <mergeCells count="4">
    <mergeCell ref="AX3:AX5"/>
    <mergeCell ref="A1:S1"/>
    <mergeCell ref="B2:D2"/>
    <mergeCell ref="J2:O2"/>
  </mergeCells>
  <pageMargins left="0.23622047244094491" right="0.23622047244094491" top="0.74803149606299213" bottom="0.74803149606299213" header="0.31496062992125984" footer="0.31496062992125984"/>
  <pageSetup paperSize="9" scale="46" fitToHeight="0" orientation="landscape" r:id="rId1"/>
  <colBreaks count="2" manualBreakCount="2">
    <brk id="16" max="9" man="1"/>
    <brk id="17" max="9" man="1"/>
  </colBreaks>
  <ignoredErrors>
    <ignoredError sqref="AP6"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9"/>
  <sheetViews>
    <sheetView topLeftCell="B10" workbookViewId="0">
      <selection activeCell="D36" sqref="D36"/>
    </sheetView>
  </sheetViews>
  <sheetFormatPr baseColWidth="10" defaultRowHeight="14.4" x14ac:dyDescent="0.3"/>
  <cols>
    <col min="2" max="2" width="21.88671875" customWidth="1"/>
    <col min="3" max="3" width="15" customWidth="1"/>
    <col min="4" max="4" width="65.21875" customWidth="1"/>
    <col min="5" max="5" width="21" customWidth="1"/>
    <col min="6" max="6" width="19.5546875" customWidth="1"/>
  </cols>
  <sheetData>
    <row r="2" spans="2:6" ht="15" thickBot="1" x14ac:dyDescent="0.35">
      <c r="C2" s="26"/>
    </row>
    <row r="3" spans="2:6" ht="25.8" customHeight="1" thickTop="1" x14ac:dyDescent="0.3">
      <c r="B3" s="173" t="s">
        <v>193</v>
      </c>
      <c r="C3" s="174" t="s">
        <v>194</v>
      </c>
      <c r="D3" s="174" t="s">
        <v>195</v>
      </c>
      <c r="E3" s="175" t="s">
        <v>199</v>
      </c>
      <c r="F3" s="176" t="s">
        <v>196</v>
      </c>
    </row>
    <row r="4" spans="2:6" ht="30.6" x14ac:dyDescent="0.3">
      <c r="B4" s="177" t="s">
        <v>22</v>
      </c>
      <c r="C4" s="179" t="s">
        <v>20</v>
      </c>
      <c r="D4" s="116"/>
      <c r="E4" s="181" t="s">
        <v>208</v>
      </c>
      <c r="F4" s="116" t="s">
        <v>176</v>
      </c>
    </row>
    <row r="5" spans="2:6" x14ac:dyDescent="0.3">
      <c r="B5" s="177" t="s">
        <v>104</v>
      </c>
      <c r="C5" s="179" t="s">
        <v>20</v>
      </c>
      <c r="D5" s="116" t="s">
        <v>201</v>
      </c>
      <c r="E5" s="181"/>
      <c r="F5" s="116"/>
    </row>
    <row r="6" spans="2:6" x14ac:dyDescent="0.3">
      <c r="B6" s="177" t="s">
        <v>49</v>
      </c>
      <c r="C6" s="179" t="s">
        <v>58</v>
      </c>
      <c r="D6" s="116" t="s">
        <v>168</v>
      </c>
      <c r="E6" s="181" t="s">
        <v>207</v>
      </c>
      <c r="F6" s="116" t="s">
        <v>181</v>
      </c>
    </row>
    <row r="7" spans="2:6" x14ac:dyDescent="0.3">
      <c r="B7" s="177" t="s">
        <v>50</v>
      </c>
      <c r="C7" s="179" t="s">
        <v>58</v>
      </c>
      <c r="D7" s="116" t="s">
        <v>168</v>
      </c>
      <c r="E7" s="181"/>
      <c r="F7" s="116" t="s">
        <v>181</v>
      </c>
    </row>
    <row r="8" spans="2:6" x14ac:dyDescent="0.3">
      <c r="B8" s="177" t="s">
        <v>50</v>
      </c>
      <c r="C8" s="179" t="s">
        <v>58</v>
      </c>
      <c r="D8" s="116" t="s">
        <v>168</v>
      </c>
      <c r="E8" s="181"/>
      <c r="F8" s="116" t="s">
        <v>181</v>
      </c>
    </row>
    <row r="9" spans="2:6" x14ac:dyDescent="0.3">
      <c r="B9" s="178" t="s">
        <v>50</v>
      </c>
      <c r="C9" s="180" t="s">
        <v>58</v>
      </c>
      <c r="D9" s="116" t="s">
        <v>168</v>
      </c>
      <c r="E9" s="181"/>
      <c r="F9" s="116" t="s">
        <v>181</v>
      </c>
    </row>
    <row r="10" spans="2:6" x14ac:dyDescent="0.3">
      <c r="B10" s="178" t="s">
        <v>50</v>
      </c>
      <c r="C10" s="180" t="s">
        <v>58</v>
      </c>
      <c r="D10" s="116" t="s">
        <v>168</v>
      </c>
      <c r="E10" s="181"/>
      <c r="F10" s="116" t="s">
        <v>181</v>
      </c>
    </row>
    <row r="11" spans="2:6" x14ac:dyDescent="0.3">
      <c r="B11" s="178" t="s">
        <v>50</v>
      </c>
      <c r="C11" s="180" t="s">
        <v>58</v>
      </c>
      <c r="D11" s="116" t="s">
        <v>168</v>
      </c>
      <c r="E11" s="181"/>
      <c r="F11" s="116" t="s">
        <v>181</v>
      </c>
    </row>
    <row r="12" spans="2:6" x14ac:dyDescent="0.3">
      <c r="B12" s="178" t="s">
        <v>121</v>
      </c>
      <c r="C12" s="180" t="s">
        <v>124</v>
      </c>
      <c r="D12" s="116" t="s">
        <v>172</v>
      </c>
      <c r="E12" s="189"/>
      <c r="F12" s="116" t="s">
        <v>176</v>
      </c>
    </row>
    <row r="13" spans="2:6" x14ac:dyDescent="0.3">
      <c r="B13" s="178" t="s">
        <v>121</v>
      </c>
      <c r="C13" s="180" t="s">
        <v>124</v>
      </c>
      <c r="D13" s="116" t="s">
        <v>172</v>
      </c>
      <c r="E13" s="189" t="s">
        <v>215</v>
      </c>
      <c r="F13" s="116" t="s">
        <v>176</v>
      </c>
    </row>
    <row r="14" spans="2:6" x14ac:dyDescent="0.3">
      <c r="B14" s="178" t="s">
        <v>121</v>
      </c>
      <c r="C14" s="180" t="s">
        <v>124</v>
      </c>
      <c r="D14" s="116" t="s">
        <v>172</v>
      </c>
      <c r="E14" s="189"/>
      <c r="F14" s="116" t="s">
        <v>176</v>
      </c>
    </row>
    <row r="15" spans="2:6" x14ac:dyDescent="0.3">
      <c r="B15" s="178" t="s">
        <v>42</v>
      </c>
      <c r="C15" s="180" t="s">
        <v>115</v>
      </c>
      <c r="D15" s="116" t="s">
        <v>170</v>
      </c>
      <c r="E15" s="189"/>
      <c r="F15" s="116" t="s">
        <v>176</v>
      </c>
    </row>
    <row r="16" spans="2:6" x14ac:dyDescent="0.3">
      <c r="B16" s="178" t="s">
        <v>42</v>
      </c>
      <c r="C16" s="180" t="s">
        <v>116</v>
      </c>
      <c r="D16" s="116" t="s">
        <v>170</v>
      </c>
      <c r="E16" s="189" t="s">
        <v>214</v>
      </c>
      <c r="F16" s="116" t="s">
        <v>176</v>
      </c>
    </row>
    <row r="17" spans="2:6" x14ac:dyDescent="0.3">
      <c r="B17" s="178" t="s">
        <v>42</v>
      </c>
      <c r="C17" s="180" t="s">
        <v>109</v>
      </c>
      <c r="D17" s="116" t="s">
        <v>170</v>
      </c>
      <c r="E17" s="189"/>
      <c r="F17" s="116" t="s">
        <v>176</v>
      </c>
    </row>
    <row r="18" spans="2:6" ht="61.2" x14ac:dyDescent="0.3">
      <c r="B18" s="178" t="s">
        <v>42</v>
      </c>
      <c r="C18" s="182" t="s">
        <v>25</v>
      </c>
      <c r="D18" s="116" t="s">
        <v>170</v>
      </c>
      <c r="E18" s="181" t="s">
        <v>213</v>
      </c>
      <c r="F18" s="116" t="s">
        <v>176</v>
      </c>
    </row>
    <row r="19" spans="2:6" x14ac:dyDescent="0.3">
      <c r="B19" s="178" t="s">
        <v>40</v>
      </c>
      <c r="C19" s="180" t="s">
        <v>26</v>
      </c>
      <c r="D19" s="116"/>
      <c r="E19" s="181"/>
      <c r="F19" s="116"/>
    </row>
    <row r="20" spans="2:6" x14ac:dyDescent="0.3">
      <c r="B20" s="178" t="s">
        <v>47</v>
      </c>
      <c r="C20" s="179" t="s">
        <v>26</v>
      </c>
      <c r="D20" s="116" t="s">
        <v>192</v>
      </c>
      <c r="E20" s="116" t="s">
        <v>206</v>
      </c>
      <c r="F20" s="116" t="s">
        <v>181</v>
      </c>
    </row>
    <row r="21" spans="2:6" x14ac:dyDescent="0.3">
      <c r="B21" s="178" t="s">
        <v>39</v>
      </c>
      <c r="C21" s="180" t="s">
        <v>26</v>
      </c>
      <c r="D21" s="116" t="s">
        <v>190</v>
      </c>
      <c r="E21" s="181"/>
      <c r="F21" s="116" t="s">
        <v>176</v>
      </c>
    </row>
    <row r="22" spans="2:6" x14ac:dyDescent="0.3">
      <c r="B22" s="186" t="s">
        <v>39</v>
      </c>
      <c r="C22" s="188" t="s">
        <v>130</v>
      </c>
      <c r="D22" s="185" t="s">
        <v>190</v>
      </c>
      <c r="E22" s="181"/>
      <c r="F22" s="116" t="s">
        <v>176</v>
      </c>
    </row>
    <row r="23" spans="2:6" x14ac:dyDescent="0.3">
      <c r="B23" s="186" t="s">
        <v>52</v>
      </c>
      <c r="C23" s="188" t="s">
        <v>148</v>
      </c>
      <c r="D23" s="185" t="s">
        <v>169</v>
      </c>
      <c r="E23" s="181" t="s">
        <v>211</v>
      </c>
      <c r="F23" s="116" t="s">
        <v>176</v>
      </c>
    </row>
    <row r="24" spans="2:6" x14ac:dyDescent="0.3">
      <c r="B24" s="186" t="s">
        <v>52</v>
      </c>
      <c r="C24" s="188" t="s">
        <v>111</v>
      </c>
      <c r="D24" s="185" t="s">
        <v>169</v>
      </c>
      <c r="E24" s="181" t="s">
        <v>210</v>
      </c>
      <c r="F24" s="116" t="s">
        <v>176</v>
      </c>
    </row>
    <row r="25" spans="2:6" x14ac:dyDescent="0.3">
      <c r="B25" s="186" t="s">
        <v>52</v>
      </c>
      <c r="C25" s="188" t="s">
        <v>97</v>
      </c>
      <c r="D25" s="185" t="s">
        <v>169</v>
      </c>
      <c r="E25" s="181" t="s">
        <v>212</v>
      </c>
      <c r="F25" s="116" t="s">
        <v>176</v>
      </c>
    </row>
    <row r="26" spans="2:6" x14ac:dyDescent="0.3">
      <c r="B26" s="178" t="s">
        <v>31</v>
      </c>
      <c r="C26" s="180" t="s">
        <v>93</v>
      </c>
      <c r="D26" s="116" t="s">
        <v>179</v>
      </c>
      <c r="E26" s="116"/>
      <c r="F26" s="116" t="s">
        <v>176</v>
      </c>
    </row>
    <row r="27" spans="2:6" x14ac:dyDescent="0.3">
      <c r="B27" s="178" t="s">
        <v>34</v>
      </c>
      <c r="C27" s="180" t="s">
        <v>94</v>
      </c>
      <c r="D27" s="116" t="s">
        <v>171</v>
      </c>
      <c r="E27" s="116"/>
      <c r="F27" s="116"/>
    </row>
    <row r="28" spans="2:6" x14ac:dyDescent="0.3">
      <c r="B28" s="178" t="s">
        <v>38</v>
      </c>
      <c r="C28" s="180" t="s">
        <v>95</v>
      </c>
      <c r="D28" s="116" t="s">
        <v>202</v>
      </c>
      <c r="E28" s="116"/>
      <c r="F28" s="116" t="s">
        <v>176</v>
      </c>
    </row>
    <row r="29" spans="2:6" x14ac:dyDescent="0.3">
      <c r="B29" s="178" t="s">
        <v>174</v>
      </c>
      <c r="C29" s="180" t="s">
        <v>95</v>
      </c>
      <c r="D29" s="116" t="s">
        <v>204</v>
      </c>
      <c r="E29" s="116"/>
      <c r="F29" s="116" t="s">
        <v>181</v>
      </c>
    </row>
    <row r="30" spans="2:6" x14ac:dyDescent="0.3">
      <c r="B30" s="178" t="s">
        <v>51</v>
      </c>
      <c r="C30" s="180" t="s">
        <v>134</v>
      </c>
      <c r="D30" s="116"/>
      <c r="E30" s="116"/>
      <c r="F30" s="116"/>
    </row>
    <row r="31" spans="2:6" x14ac:dyDescent="0.3">
      <c r="B31" s="178" t="s">
        <v>48</v>
      </c>
      <c r="C31" s="180" t="s">
        <v>134</v>
      </c>
      <c r="D31" s="116" t="s">
        <v>188</v>
      </c>
      <c r="E31" s="116"/>
      <c r="F31" s="116" t="s">
        <v>181</v>
      </c>
    </row>
    <row r="32" spans="2:6" x14ac:dyDescent="0.3">
      <c r="B32" s="178" t="s">
        <v>37</v>
      </c>
      <c r="C32" s="182" t="s">
        <v>27</v>
      </c>
      <c r="D32" s="116"/>
      <c r="E32" s="116"/>
      <c r="F32" s="116"/>
    </row>
    <row r="33" spans="2:6" x14ac:dyDescent="0.3">
      <c r="B33" s="178" t="s">
        <v>120</v>
      </c>
      <c r="C33" s="180" t="s">
        <v>28</v>
      </c>
      <c r="D33" s="116" t="s">
        <v>177</v>
      </c>
      <c r="E33" s="116"/>
      <c r="F33" s="116" t="s">
        <v>176</v>
      </c>
    </row>
    <row r="34" spans="2:6" x14ac:dyDescent="0.3">
      <c r="B34" s="178" t="s">
        <v>54</v>
      </c>
      <c r="C34" s="180" t="s">
        <v>29</v>
      </c>
      <c r="D34" s="116"/>
      <c r="E34" s="116"/>
      <c r="F34" s="116"/>
    </row>
    <row r="35" spans="2:6" x14ac:dyDescent="0.3">
      <c r="B35" s="178" t="s">
        <v>55</v>
      </c>
      <c r="C35" s="180" t="s">
        <v>30</v>
      </c>
      <c r="D35" s="116"/>
      <c r="E35" s="116"/>
      <c r="F35" s="116"/>
    </row>
    <row r="36" spans="2:6" x14ac:dyDescent="0.3">
      <c r="B36" s="178" t="s">
        <v>53</v>
      </c>
      <c r="C36" s="179" t="s">
        <v>114</v>
      </c>
      <c r="D36" s="116" t="s">
        <v>189</v>
      </c>
      <c r="E36" s="116"/>
      <c r="F36" s="116" t="s">
        <v>176</v>
      </c>
    </row>
    <row r="37" spans="2:6" ht="30.6" x14ac:dyDescent="0.3">
      <c r="B37" s="178" t="s">
        <v>53</v>
      </c>
      <c r="C37" s="179" t="s">
        <v>128</v>
      </c>
      <c r="D37" s="116" t="s">
        <v>189</v>
      </c>
      <c r="E37" s="116" t="s">
        <v>209</v>
      </c>
      <c r="F37" s="116" t="s">
        <v>176</v>
      </c>
    </row>
    <row r="38" spans="2:6" x14ac:dyDescent="0.3">
      <c r="B38" s="183" t="s">
        <v>143</v>
      </c>
      <c r="C38" s="184" t="s">
        <v>137</v>
      </c>
      <c r="D38" s="185"/>
      <c r="E38" s="116"/>
      <c r="F38" s="116"/>
    </row>
    <row r="39" spans="2:6" x14ac:dyDescent="0.3">
      <c r="B39" s="183" t="s">
        <v>45</v>
      </c>
      <c r="C39" s="184" t="s">
        <v>136</v>
      </c>
      <c r="D39" s="185" t="s">
        <v>191</v>
      </c>
      <c r="E39" s="116"/>
      <c r="F39" s="116" t="s">
        <v>176</v>
      </c>
    </row>
    <row r="40" spans="2:6" x14ac:dyDescent="0.3">
      <c r="B40" s="186" t="s">
        <v>36</v>
      </c>
      <c r="C40" s="187" t="s">
        <v>137</v>
      </c>
      <c r="D40" s="185"/>
      <c r="E40" s="116"/>
      <c r="F40" s="116" t="s">
        <v>176</v>
      </c>
    </row>
    <row r="41" spans="2:6" x14ac:dyDescent="0.3">
      <c r="B41" s="186" t="s">
        <v>46</v>
      </c>
      <c r="C41" s="187" t="s">
        <v>138</v>
      </c>
      <c r="D41" s="185"/>
      <c r="E41" s="116"/>
      <c r="F41" s="116"/>
    </row>
    <row r="42" spans="2:6" x14ac:dyDescent="0.3">
      <c r="B42" s="186" t="s">
        <v>164</v>
      </c>
      <c r="C42" s="187" t="s">
        <v>139</v>
      </c>
      <c r="D42" s="185"/>
      <c r="E42" s="116" t="s">
        <v>198</v>
      </c>
      <c r="F42" s="116"/>
    </row>
    <row r="43" spans="2:6" x14ac:dyDescent="0.3">
      <c r="B43" s="178" t="s">
        <v>144</v>
      </c>
      <c r="C43" s="182" t="s">
        <v>137</v>
      </c>
      <c r="D43" s="116"/>
      <c r="E43" s="116"/>
      <c r="F43" s="116"/>
    </row>
    <row r="44" spans="2:6" x14ac:dyDescent="0.3">
      <c r="B44" s="178" t="s">
        <v>145</v>
      </c>
      <c r="C44" s="180" t="s">
        <v>146</v>
      </c>
      <c r="D44" s="116"/>
      <c r="E44" s="116"/>
      <c r="F44" s="116"/>
    </row>
    <row r="45" spans="2:6" x14ac:dyDescent="0.3">
      <c r="B45" s="178" t="s">
        <v>56</v>
      </c>
      <c r="C45" s="182" t="s">
        <v>175</v>
      </c>
      <c r="D45" s="116"/>
      <c r="E45" s="116"/>
      <c r="F45" s="116"/>
    </row>
    <row r="46" spans="2:6" x14ac:dyDescent="0.3">
      <c r="B46" s="178" t="s">
        <v>33</v>
      </c>
      <c r="C46" s="182" t="s">
        <v>142</v>
      </c>
      <c r="D46" s="116"/>
      <c r="E46" s="116"/>
      <c r="F46" s="116"/>
    </row>
    <row r="47" spans="2:6" x14ac:dyDescent="0.3">
      <c r="B47" s="178" t="s">
        <v>32</v>
      </c>
      <c r="C47" s="182" t="s">
        <v>24</v>
      </c>
      <c r="D47" s="116"/>
      <c r="E47" s="116"/>
      <c r="F47" s="116"/>
    </row>
    <row r="48" spans="2:6" x14ac:dyDescent="0.3">
      <c r="B48" s="178" t="s">
        <v>140</v>
      </c>
      <c r="C48" s="188" t="s">
        <v>141</v>
      </c>
      <c r="D48" s="116"/>
      <c r="E48" s="116" t="s">
        <v>200</v>
      </c>
      <c r="F48" s="116" t="s">
        <v>181</v>
      </c>
    </row>
    <row r="49" spans="2:6" x14ac:dyDescent="0.3">
      <c r="B49" s="178" t="s">
        <v>140</v>
      </c>
      <c r="C49" s="182" t="s">
        <v>147</v>
      </c>
      <c r="D49" s="116"/>
      <c r="E49" s="116"/>
      <c r="F49" s="116"/>
    </row>
  </sheetData>
  <autoFilter ref="B3:F49">
    <sortState ref="B42:F42">
      <sortCondition descending="1" ref="F3:F49"/>
    </sortState>
  </autoFilter>
  <sortState ref="B4:E49">
    <sortCondition ref="C4:C49"/>
  </sortState>
  <conditionalFormatting sqref="B5:F5 B21:F22 B7:F12 B26:F27 B38:F41 B19:F19 B17:F17 B14:F15 B49:F49 B43:F47 B30:F36">
    <cfRule type="containsText" dxfId="14" priority="15" operator="containsText" text="unrestricted">
      <formula>NOT(ISERROR(SEARCH("unrestricted",B5)))</formula>
    </cfRule>
  </conditionalFormatting>
  <conditionalFormatting sqref="B20:F20">
    <cfRule type="containsText" dxfId="13" priority="14" operator="containsText" text="unrestricted">
      <formula>NOT(ISERROR(SEARCH("unrestricted",B20)))</formula>
    </cfRule>
  </conditionalFormatting>
  <conditionalFormatting sqref="B6:F6">
    <cfRule type="containsText" dxfId="12" priority="13" operator="containsText" text="unrestricted">
      <formula>NOT(ISERROR(SEARCH("unrestricted",B6)))</formula>
    </cfRule>
  </conditionalFormatting>
  <conditionalFormatting sqref="B4:F4">
    <cfRule type="containsText" dxfId="11" priority="12" operator="containsText" text="unrestricted">
      <formula>NOT(ISERROR(SEARCH("unrestricted",B4)))</formula>
    </cfRule>
  </conditionalFormatting>
  <conditionalFormatting sqref="B24:F24">
    <cfRule type="containsText" dxfId="10" priority="11" operator="containsText" text="unrestricted">
      <formula>NOT(ISERROR(SEARCH("unrestricted",B24)))</formula>
    </cfRule>
  </conditionalFormatting>
  <conditionalFormatting sqref="B37:F37">
    <cfRule type="containsText" dxfId="9" priority="10" operator="containsText" text="unrestricted">
      <formula>NOT(ISERROR(SEARCH("unrestricted",B37)))</formula>
    </cfRule>
  </conditionalFormatting>
  <conditionalFormatting sqref="B23:F23">
    <cfRule type="containsText" dxfId="8" priority="9" operator="containsText" text="unrestricted">
      <formula>NOT(ISERROR(SEARCH("unrestricted",B23)))</formula>
    </cfRule>
  </conditionalFormatting>
  <conditionalFormatting sqref="B25:F25">
    <cfRule type="containsText" dxfId="7" priority="8" operator="containsText" text="unrestricted">
      <formula>NOT(ISERROR(SEARCH("unrestricted",B25)))</formula>
    </cfRule>
  </conditionalFormatting>
  <conditionalFormatting sqref="B18:F18">
    <cfRule type="containsText" dxfId="6" priority="7" operator="containsText" text="unrestricted">
      <formula>NOT(ISERROR(SEARCH("unrestricted",B18)))</formula>
    </cfRule>
  </conditionalFormatting>
  <conditionalFormatting sqref="B16:F16">
    <cfRule type="containsText" dxfId="5" priority="6" operator="containsText" text="unrestricted">
      <formula>NOT(ISERROR(SEARCH("unrestricted",B16)))</formula>
    </cfRule>
  </conditionalFormatting>
  <conditionalFormatting sqref="B13:F13">
    <cfRule type="containsText" dxfId="4" priority="5" operator="containsText" text="unrestricted">
      <formula>NOT(ISERROR(SEARCH("unrestricted",B13)))</formula>
    </cfRule>
  </conditionalFormatting>
  <conditionalFormatting sqref="B48:F48">
    <cfRule type="containsText" dxfId="3" priority="4" operator="containsText" text="unrestricted">
      <formula>NOT(ISERROR(SEARCH("unrestricted",B48)))</formula>
    </cfRule>
  </conditionalFormatting>
  <conditionalFormatting sqref="B42:F42">
    <cfRule type="containsText" dxfId="2" priority="3" operator="containsText" text="unrestricted">
      <formula>NOT(ISERROR(SEARCH("unrestricted",B42)))</formula>
    </cfRule>
  </conditionalFormatting>
  <conditionalFormatting sqref="B29:F29">
    <cfRule type="containsText" dxfId="1" priority="2" operator="containsText" text="unrestricted">
      <formula>NOT(ISERROR(SEARCH("unrestricted",B29)))</formula>
    </cfRule>
  </conditionalFormatting>
  <conditionalFormatting sqref="B28:F28">
    <cfRule type="containsText" dxfId="0" priority="1" operator="containsText" text="unrestricted">
      <formula>NOT(ISERROR(SEARCH("unrestricted",B28)))</formula>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20</vt:i4>
      </vt:variant>
    </vt:vector>
  </HeadingPairs>
  <TitlesOfParts>
    <vt:vector size="25" baseType="lpstr">
      <vt:lpstr>GeneralRemarks</vt:lpstr>
      <vt:lpstr>AllEntries</vt:lpstr>
      <vt:lpstr>DatVol</vt:lpstr>
      <vt:lpstr>ControlledVocabulary</vt:lpstr>
      <vt:lpstr>DataAvail</vt:lpstr>
      <vt:lpstr>DatVol!AFR_22</vt:lpstr>
      <vt:lpstr>DatVol!AFR_44</vt:lpstr>
      <vt:lpstr>DatVol!AFR22tier1</vt:lpstr>
      <vt:lpstr>DatVol!AFR44tier1</vt:lpstr>
      <vt:lpstr>ANT_44</vt:lpstr>
      <vt:lpstr>ANT44tier1</vt:lpstr>
      <vt:lpstr>ARC_44</vt:lpstr>
      <vt:lpstr>ARC44tier1</vt:lpstr>
      <vt:lpstr>AllEntries!Druckbereich</vt:lpstr>
      <vt:lpstr>ControlledVocabulary!Druckbereich</vt:lpstr>
      <vt:lpstr>DatVol!Druckbereich</vt:lpstr>
      <vt:lpstr>GeneralRemarks!Druckbereich</vt:lpstr>
      <vt:lpstr>DatVol!EUR_11</vt:lpstr>
      <vt:lpstr>DatVol!EUR11tier1</vt:lpstr>
      <vt:lpstr>DatVol!MED_44</vt:lpstr>
      <vt:lpstr>DatVol!MED44tier1</vt:lpstr>
      <vt:lpstr>AllEntries!Print_Area</vt:lpstr>
      <vt:lpstr>ControlledVocabulary!Print_Area</vt:lpstr>
      <vt:lpstr>DatVol!Print_Area</vt:lpstr>
      <vt:lpstr>GeneralRemarks!Print_Area</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CORDEX coordination Issues</dc:title>
  <dc:creator/>
  <cp:lastModifiedBy/>
  <dcterms:created xsi:type="dcterms:W3CDTF">2006-09-16T00:00:00Z</dcterms:created>
  <dcterms:modified xsi:type="dcterms:W3CDTF">2014-09-19T13:24:47Z</dcterms:modified>
</cp:coreProperties>
</file>