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<sst xmlns="http://schemas.openxmlformats.org/spreadsheetml/2006/main" count="17518" uniqueCount="17518">
  <si>
    <t>ID</t>
  </si>
  <si>
    <t>Sentence</t>
  </si>
  <si>
    <t>Labels</t>
  </si>
  <si>
    <t>EN</t>
  </si>
  <si>
    <t>FR</t>
  </si>
  <si>
    <t>EN-IT</t>
  </si>
  <si>
    <t>FR-IT</t>
  </si>
  <si>
    <t>Amo i pantaloni , eccetto le scarpe .</t>
  </si>
  <si>
    <t>I like trousers , except shoes .</t>
  </si>
  <si>
    <t>J' aime les pantalons , sauf les chaussures .</t>
  </si>
  <si>
    <t>Amo gli abeti , e più specificamente l' erba .</t>
  </si>
  <si>
    <t>I like firs , and more specifically grass .</t>
  </si>
  <si>
    <t>J' aime les sapins , et plus particulièrement la pelouse .</t>
  </si>
  <si>
    <t>Amo l' erba , e più specificamente gli abeti .</t>
  </si>
  <si>
    <t>I like grass , and more specifically firs .</t>
  </si>
  <si>
    <t>J' aime la pelouse , et plus particulièrement les sapins .</t>
  </si>
  <si>
    <t>Amo gli abeti , e più specificamente gli alberi .</t>
  </si>
  <si>
    <t>I like firs , and more specifically trees .</t>
  </si>
  <si>
    <t>J' aime les sapins , et plus particulièrement les arbres .</t>
  </si>
  <si>
    <t>Amo gli alberi , e più specificamente gli abeti .</t>
  </si>
  <si>
    <t>I like trees , and more specifically firs .</t>
  </si>
  <si>
    <t>J' aime les arbres , et plus particulièrement les sapins .</t>
  </si>
  <si>
    <t>Amo gli abeti , e più specificamente gli animali .</t>
  </si>
  <si>
    <t>I like firs , and more specifically animals .</t>
  </si>
  <si>
    <t>J' aime les sapins , et plus particulièrement les animaux .</t>
  </si>
  <si>
    <t>Amo gli animali , e più specificamente gli abeti .</t>
  </si>
  <si>
    <t>I like animals , and more specifically firs .</t>
  </si>
  <si>
    <t>J' aime les animaux , et plus particulièrement les sapins .</t>
  </si>
  <si>
    <t>Amo le scarpe , eccetto i pantaloni .</t>
  </si>
  <si>
    <t>I like shoes , except trousers .</t>
  </si>
  <si>
    <t>J' aime les chaussures , sauf les pantalons .</t>
  </si>
  <si>
    <t>Amo gli abeti , e più specificamente i cespugli .</t>
  </si>
  <si>
    <t>I like firs , and more specifically bushes .</t>
  </si>
  <si>
    <t>J' aime les sapins , et plus particulièrement les buissons .</t>
  </si>
  <si>
    <t>Amo i cespugli , e più specificamente gli abeti .</t>
  </si>
  <si>
    <t>I like bushes , and more specifically firs .</t>
  </si>
  <si>
    <t>J' aime les buissons , et plus particulièrement les sapins .</t>
  </si>
  <si>
    <t>Amo gli abeti , e più specificamente gli arbusti .</t>
  </si>
  <si>
    <t>I like firs , and more specifically shrubs .</t>
  </si>
  <si>
    <t>J' aime les sapins , et plus particulièrement les arbustes .</t>
  </si>
  <si>
    <t>Amo gli arbusti , e più specificamente gli abeti .</t>
  </si>
  <si>
    <t>I like shrubs , and more specifically firs .</t>
  </si>
  <si>
    <t>J' aime les arbustes , et plus particulièrement les sapins .</t>
  </si>
  <si>
    <t>Amo i pantaloni , eccetto i vestiti .</t>
  </si>
  <si>
    <t>I like trousers , except clothes .</t>
  </si>
  <si>
    <t>J' aime les pantalons , sauf les vêtements .</t>
  </si>
  <si>
    <t>Amo i vestiti , eccetto i pantaloni .</t>
  </si>
  <si>
    <t>I like clothes , except trousers .</t>
  </si>
  <si>
    <t>J' aime les vêtements , sauf les pantalons .</t>
  </si>
  <si>
    <t>Amo i pini , e più specificamente l' erba .</t>
  </si>
  <si>
    <t>I like pines , and more specifically grass .</t>
  </si>
  <si>
    <t>J' aime les pins , et plus particulièrement la pelouse .</t>
  </si>
  <si>
    <t>Amo l' erba , e più specificamente i pini .</t>
  </si>
  <si>
    <t>I like grass , and more specifically pines .</t>
  </si>
  <si>
    <t>J' aime la pelouse , et plus particulièrement les pins .</t>
  </si>
  <si>
    <t>Amo i pini , e più specificamente gli alberi .</t>
  </si>
  <si>
    <t>I like pines , and more specifically trees .</t>
  </si>
  <si>
    <t>J' aime les pins , et plus particulièrement les arbres .</t>
  </si>
  <si>
    <t>Amo gli alberi , e più specificamente i pini .</t>
  </si>
  <si>
    <t>I like trees , and more specifically pines .</t>
  </si>
  <si>
    <t>J' aime les arbres , et plus particulièrement les pins .</t>
  </si>
  <si>
    <t>Amo i pini , e più specificamente gli animali .</t>
  </si>
  <si>
    <t>I like pines , and more specifically animals .</t>
  </si>
  <si>
    <t>J' aime les pins , et plus particulièrement les animaux .</t>
  </si>
  <si>
    <t>Amo gli animali , e più specificamente i pini .</t>
  </si>
  <si>
    <t>I like animals , and more specifically pines .</t>
  </si>
  <si>
    <t>J' aime les animaux , et plus particulièrement les pins .</t>
  </si>
  <si>
    <t>Amo i pantaloni , eccetto i gioielli .</t>
  </si>
  <si>
    <t>I like trousers , except jewelry .</t>
  </si>
  <si>
    <t>J' aime les pantalons , sauf les bijoux .</t>
  </si>
  <si>
    <t>Amo i pini , e più specificamente i cespugli .</t>
  </si>
  <si>
    <t>I like pines , and more specifically bushes .</t>
  </si>
  <si>
    <t>J' aime les pins , et plus particulièrement les buissons .</t>
  </si>
  <si>
    <t>Amo i cespugli , e più specificamente i pini .</t>
  </si>
  <si>
    <t>I like bushes , and more specifically pines .</t>
  </si>
  <si>
    <t>J' aime les buissons , et plus particulièrement les pins .</t>
  </si>
  <si>
    <t>Amo i pini , e più specificamente gli arbusti .</t>
  </si>
  <si>
    <t>I like pines , and more specifically shrubs .</t>
  </si>
  <si>
    <t>J' aime les pins , et plus particulièrement les arbustes .</t>
  </si>
  <si>
    <t>Amo gli arbusti , e più specificamente i pini .</t>
  </si>
  <si>
    <t>I like shrubs , and more specifically pines .</t>
  </si>
  <si>
    <t>J' aime les arbustes , et plus particulièrement les pins .</t>
  </si>
  <si>
    <t>Amo i gioielli , eccetto i pantaloni .</t>
  </si>
  <si>
    <t>I like jewelry , except trousers .</t>
  </si>
  <si>
    <t>J' aime les bijoux , sauf les pantalons .</t>
  </si>
  <si>
    <t>Uso il poliestere , e più specificamente il legno .</t>
  </si>
  <si>
    <t>I use polyester , and more specifically wood .</t>
  </si>
  <si>
    <t>J' utilise le polyester , et plus particulièrement le bois .</t>
  </si>
  <si>
    <t>Uso il legno , e più specificamente il poliestere .</t>
  </si>
  <si>
    <t>I use wood , and more specifically polyester .</t>
  </si>
  <si>
    <t>J' utilise le bois , et plus particulièrement le polyester .</t>
  </si>
  <si>
    <t>Uso il poliestere , e più specificamente la plastica .</t>
  </si>
  <si>
    <t>I use polyester , and more specifically plastic .</t>
  </si>
  <si>
    <t>J' utilise le polyester , et plus particulièrement le plastique .</t>
  </si>
  <si>
    <t>Uso la plastica , e più specificamente il poliestere .</t>
  </si>
  <si>
    <t>I use plastic , and more specifically polyester .</t>
  </si>
  <si>
    <t>J' utilise le plastique , et plus particulièrement le polyester .</t>
  </si>
  <si>
    <t>Uso la plastica , e più specificamente il legno .</t>
  </si>
  <si>
    <t>I use plastic , and more specifically wood .</t>
  </si>
  <si>
    <t>J' utilise le plastique , et plus particulièrement le bois .</t>
  </si>
  <si>
    <t>Uso il poliestere , e più specificamente il cotone .</t>
  </si>
  <si>
    <t>I use polyester , and more specifically cotton .</t>
  </si>
  <si>
    <t>J' utilise le polyester , et plus particulièrement le coton .</t>
  </si>
  <si>
    <t>Uso il cotone , e più specificamente il poliestere .</t>
  </si>
  <si>
    <t>I use cotton , and more specifically polyester .</t>
  </si>
  <si>
    <t>J' utilise le coton , et plus particulièrement le polyester .</t>
  </si>
  <si>
    <t>Uso la plastica , e più specificamente il cotone .</t>
  </si>
  <si>
    <t>I use plastic , and more specifically cotton .</t>
  </si>
  <si>
    <t>J' utilise le plastique , et plus particulièrement le coton .</t>
  </si>
  <si>
    <t>Uso il poliestere , e più specificamente il vetro .</t>
  </si>
  <si>
    <t>I use polyester , and more specifically glass .</t>
  </si>
  <si>
    <t>J' utilise le polyester , et plus particulièrement le verre .</t>
  </si>
  <si>
    <t>Uso il vetro , e più specificamente il poliestere .</t>
  </si>
  <si>
    <t>I use glass , and more specifically polyester .</t>
  </si>
  <si>
    <t>J' utilise le verre , et plus particulièrement le polyester .</t>
  </si>
  <si>
    <t>Uso la plastica , e più specificamente il vetro .</t>
  </si>
  <si>
    <t>I use plastic , and more specifically glass .</t>
  </si>
  <si>
    <t>J' utilise le plastique , et plus particulièrement le verre .</t>
  </si>
  <si>
    <t>Uso il poliestere , e più specificamente il cuoio .</t>
  </si>
  <si>
    <t>I use polyester , and more specifically leather .</t>
  </si>
  <si>
    <t>J' utilise le polyester , et plus particulièrement le cuir .</t>
  </si>
  <si>
    <t>Uso il cuoio , e più specificamente il poliestere .</t>
  </si>
  <si>
    <t>I use leather , and more specifically polyester .</t>
  </si>
  <si>
    <t>J' utilise le cuir , et plus particulièrement le polyester .</t>
  </si>
  <si>
    <t>Amo i pantaloni , eccetto gli occhiali .</t>
  </si>
  <si>
    <t>I like trousers , except glasses .</t>
  </si>
  <si>
    <t>J' aime les pantalons , sauf les lunettes .</t>
  </si>
  <si>
    <t>Uso la plastica , e più specificamente il cuoio .</t>
  </si>
  <si>
    <t>I use plastic , and more specifically leather .</t>
  </si>
  <si>
    <t>J' utilise le plastique , et plus particulièrement le cuir .</t>
  </si>
  <si>
    <t>Amo gli occhiali , eccetto i pantaloni .</t>
  </si>
  <si>
    <t>I like glasses , except trousers .</t>
  </si>
  <si>
    <t>J' aime les lunettes , sauf les pantalons .</t>
  </si>
  <si>
    <t>Uso il nylon , e più specificamente il legno .</t>
  </si>
  <si>
    <t>I use nylon , and more specifically wood .</t>
  </si>
  <si>
    <t>J' utilise le nylon , et plus particulièrement le bois .</t>
  </si>
  <si>
    <t>Uso il legno , e più specificamente il nylon .</t>
  </si>
  <si>
    <t>I use wood , and more specifically nylon .</t>
  </si>
  <si>
    <t>J' utilise le bois , et plus particulièrement le nylon .</t>
  </si>
  <si>
    <t>Uso il nylon , e più specificamente la plastica .</t>
  </si>
  <si>
    <t>I use nylon , and more specifically plastic .</t>
  </si>
  <si>
    <t>J' utilise le nylon , et plus particulièrement le plastique .</t>
  </si>
  <si>
    <t>Uso la plastica , e più specificamente il nylon .</t>
  </si>
  <si>
    <t>I use plastic , and more specifically nylon .</t>
  </si>
  <si>
    <t>J' utilise le plastique , et plus particulièrement le nylon .</t>
  </si>
  <si>
    <t>Uso il nylon , e più specificamente il cotone .</t>
  </si>
  <si>
    <t>I use nylon , and more specifically cotton .</t>
  </si>
  <si>
    <t>J' utilise le nylon , et plus particulièrement le coton .</t>
  </si>
  <si>
    <t>Uso il cotone , e più specificamente il nylon .</t>
  </si>
  <si>
    <t>I use cotton , and more specifically nylon .</t>
  </si>
  <si>
    <t>J' utilise le coton , et plus particulièrement le nylon .</t>
  </si>
  <si>
    <t>Uso il nylon , e più specificamente il vetro .</t>
  </si>
  <si>
    <t>I use nylon , and more specifically glass .</t>
  </si>
  <si>
    <t>J' utilise le nylon , et plus particulièrement le verre .</t>
  </si>
  <si>
    <t>Uso il vetro , e più specificamente il nylon .</t>
  </si>
  <si>
    <t>I use glass , and more specifically nylon .</t>
  </si>
  <si>
    <t>J' utilise le verre , et plus particulièrement le nylon .</t>
  </si>
  <si>
    <t>Uso il nylon , e più specificamente il cuoio .</t>
  </si>
  <si>
    <t>I use nylon , and more specifically leather .</t>
  </si>
  <si>
    <t>J' utilise le nylon , et plus particulièrement le cuir .</t>
  </si>
  <si>
    <t>Uso il cuoio , e più specificamente il nylon .</t>
  </si>
  <si>
    <t>I use leather , and more specifically nylon .</t>
  </si>
  <si>
    <t>J' utilise le cuir , et plus particulièrement le nylon .</t>
  </si>
  <si>
    <t>Amo i pantaloni , eccetto gli orecchini .</t>
  </si>
  <si>
    <t>I like trousers , except earrings .</t>
  </si>
  <si>
    <t>J' aime les pantalons , sauf les boucles d' oreille .</t>
  </si>
  <si>
    <t>Amo gli orecchini , eccetto i pantaloni .</t>
  </si>
  <si>
    <t>I like earrings , except trousers .</t>
  </si>
  <si>
    <t>J' aime les boucles d' oreille , sauf les pantalons .</t>
  </si>
  <si>
    <t>Uso il vinile , e più specificamente il legno .</t>
  </si>
  <si>
    <t>I use vinyl , and more specifically wood .</t>
  </si>
  <si>
    <t>J' utilise le vinyle , et plus particulièrement le bois .</t>
  </si>
  <si>
    <t>Uso il legno , e più specificamente il vinile .</t>
  </si>
  <si>
    <t>I use wood , and more specifically vinyl .</t>
  </si>
  <si>
    <t>J' utilise le bois , et plus particulièrement le vinyle .</t>
  </si>
  <si>
    <t>Uso il vinile , e più specificamente la plastica .</t>
  </si>
  <si>
    <t>I use vinyl , and more specifically plastic .</t>
  </si>
  <si>
    <t>J' utilise le vinyle , et plus particulièrement le plastique .</t>
  </si>
  <si>
    <t>Uso la plastica , e più specificamente il vinile .</t>
  </si>
  <si>
    <t>I use plastic , and more specifically vinyl .</t>
  </si>
  <si>
    <t>J' utilise le plastique , et plus particulièrement le vinyle .</t>
  </si>
  <si>
    <t>Uso il vinile , e più specificamente il cotone .</t>
  </si>
  <si>
    <t>I use vinyl , and more specifically cotton .</t>
  </si>
  <si>
    <t>J' utilise le vinyle , et plus particulièrement le coton .</t>
  </si>
  <si>
    <t>Uso il cotone , e più specificamente il vinile .</t>
  </si>
  <si>
    <t>I use cotton , and more specifically vinyl .</t>
  </si>
  <si>
    <t>J' utilise le coton , et plus particulièrement le vinyle .</t>
  </si>
  <si>
    <t>Uso il vinile , e più specificamente il vetro .</t>
  </si>
  <si>
    <t>I use vinyl , and more specifically glass .</t>
  </si>
  <si>
    <t>J' utilise le vinyle , et plus particulièrement le verre .</t>
  </si>
  <si>
    <t>Uso il vetro , e più specificamente il vinile .</t>
  </si>
  <si>
    <t>I use glass , and more specifically vinyl .</t>
  </si>
  <si>
    <t>J' utilise le verre , et plus particulièrement le vinyle .</t>
  </si>
  <si>
    <t>Uso il vinile , e più specificamente il cuoio .</t>
  </si>
  <si>
    <t>I use vinyl , and more specifically leather .</t>
  </si>
  <si>
    <t>J' utilise le vinyle , et plus particulièrement le cuir .</t>
  </si>
  <si>
    <t>Uso il cuoio , e più specificamente il vinile .</t>
  </si>
  <si>
    <t>I use leather , and more specifically vinyl .</t>
  </si>
  <si>
    <t>J' utilise le cuir , et plus particulièrement le vinyle .</t>
  </si>
  <si>
    <t>Uso il PVC , e più specificamente il legno .</t>
  </si>
  <si>
    <t>I use PVC , and more specifically wood .</t>
  </si>
  <si>
    <t>J' utilise le PVC , et plus particulièrement le bois .</t>
  </si>
  <si>
    <t>Uso il legno , e più specificamente il PVC .</t>
  </si>
  <si>
    <t>I use wood , and more specifically PVC .</t>
  </si>
  <si>
    <t>J' utilise le bois , et plus particulièrement le PVC .</t>
  </si>
  <si>
    <t>Uso il PVC , e più specificamente la plastica .</t>
  </si>
  <si>
    <t>I use PVC , and more specifically plastic .</t>
  </si>
  <si>
    <t>J' utilise le PVC , et plus particulièrement le plastique .</t>
  </si>
  <si>
    <t>Uso la plastica , e più specificamente il PVC .</t>
  </si>
  <si>
    <t>I use plastic , and more specifically PVC .</t>
  </si>
  <si>
    <t>J' utilise le plastique , et plus particulièrement le PVC .</t>
  </si>
  <si>
    <t>Uso il PVC , e più specificamente il cotone .</t>
  </si>
  <si>
    <t>I use PVC , and more specifically cotton .</t>
  </si>
  <si>
    <t>J' utilise le PVC , et plus particulièrement le coton .</t>
  </si>
  <si>
    <t>Uso il cotone , e più specificamente il PVC .</t>
  </si>
  <si>
    <t>I use cotton , and more specifically PVC .</t>
  </si>
  <si>
    <t>J' utilise le coton , et plus particulièrement le PVC .</t>
  </si>
  <si>
    <t>Uso il PVC , e più specificamente il vetro .</t>
  </si>
  <si>
    <t>I use PVC , and more specifically glass .</t>
  </si>
  <si>
    <t>J' utilise le PVC , et plus particulièrement le verre .</t>
  </si>
  <si>
    <t>Uso il vetro , e più specificamente il PVC .</t>
  </si>
  <si>
    <t>I use glass , and more specifically PVC .</t>
  </si>
  <si>
    <t>J' utilise le verre , et plus particulièrement le PVC .</t>
  </si>
  <si>
    <t>Uso il PVC , e più specificamente il cuoio .</t>
  </si>
  <si>
    <t>I use PVC , and more specifically leather .</t>
  </si>
  <si>
    <t>J' utilise le PVC , et plus particulièrement le cuir .</t>
  </si>
  <si>
    <t>Uso il cuoio , e più specificamente il PVC .</t>
  </si>
  <si>
    <t>I use leather , and more specifically PVC .</t>
  </si>
  <si>
    <t>J' utilise le cuir , et plus particulièrement le PVC .</t>
  </si>
  <si>
    <t>Apprezzo le sedie , e più specificamente le posate .</t>
  </si>
  <si>
    <t>I like chairs , and more specifically cutlery .</t>
  </si>
  <si>
    <t>J' apprécie les chaises , et plus particulièrement les couverts .</t>
  </si>
  <si>
    <t>Apprezzo le posate , e più specificamente le sedie .</t>
  </si>
  <si>
    <t>I like cutlery , and more specifically chairs .</t>
  </si>
  <si>
    <t>J' apprécie les couverts , et plus particulièrement les chaises .</t>
  </si>
  <si>
    <t>Apprezzo le sedie , e più specificamente i mobili .</t>
  </si>
  <si>
    <t>I like chairs , and more specifically furniture .</t>
  </si>
  <si>
    <t>J' apprécie les chaises , et plus particulièrement les meubles .</t>
  </si>
  <si>
    <t>Apprezzo i mobili , e più specificamente le sedie .</t>
  </si>
  <si>
    <t>I like furniture , and more specifically chairs .</t>
  </si>
  <si>
    <t>J' apprécie les meubles , et plus particulièrement les chaises .</t>
  </si>
  <si>
    <t>Apprezzo i mobili , e più specificamente le posate .</t>
  </si>
  <si>
    <t>I like furniture , and more specifically cutlery .</t>
  </si>
  <si>
    <t>J' apprécie les meubles , et plus particulièrement les couverts .</t>
  </si>
  <si>
    <t>Apprezzo le sedie , e più specificamente i dipinti .</t>
  </si>
  <si>
    <t>I like chairs , and more specifically paintings .</t>
  </si>
  <si>
    <t>J' apprécie les chaises , et plus particulièrement les peintures .</t>
  </si>
  <si>
    <t>Apprezzo i dipinti , e più specificamente le sedie .</t>
  </si>
  <si>
    <t>I like paintings , and more specifically chairs .</t>
  </si>
  <si>
    <t>J' apprécie les peintures , et plus particulièrement les chaises .</t>
  </si>
  <si>
    <t>Apprezzo i mobili , e più specificamente i dipinti .</t>
  </si>
  <si>
    <t>I like furniture , and more specifically paintings .</t>
  </si>
  <si>
    <t>J' apprécie les meubles , et plus particulièrement les peintures .</t>
  </si>
  <si>
    <t>Apprezzo le sedie , e più specificamente la carta da parati .</t>
  </si>
  <si>
    <t>I like chairs , and more specifically wallpaper .</t>
  </si>
  <si>
    <t>J' apprécie les chaises , et plus particulièrement le papier peint .</t>
  </si>
  <si>
    <t>Apprezzo la carta da parati , e più specificamente le sedie .</t>
  </si>
  <si>
    <t>I like wallpaper , and more specifically chairs .</t>
  </si>
  <si>
    <t>J' apprécie le papier peint , et plus particulièrement les chaises .</t>
  </si>
  <si>
    <t>Apprezzo i mobili , e più specificamente la carta da parati .</t>
  </si>
  <si>
    <t>I like furniture , and more specifically wallpaper .</t>
  </si>
  <si>
    <t>J' apprécie les meubles , et plus particulièrement le papier peint .</t>
  </si>
  <si>
    <t>Apprezzo le sedie , e più specificamente il parquet .</t>
  </si>
  <si>
    <t>I like chairs , and more specifically parquet .</t>
  </si>
  <si>
    <t>J' apprécie les chaises , et plus particulièrement le parquet .</t>
  </si>
  <si>
    <t>Apprezzo il parquet , e più specificamente le sedie .</t>
  </si>
  <si>
    <t>I like parquet , and more specifically chairs .</t>
  </si>
  <si>
    <t>J' apprécie le parquet , et plus particulièrement les chaises .</t>
  </si>
  <si>
    <t>Apprezzo i mobili , e più specificamente il parquet .</t>
  </si>
  <si>
    <t>I like furniture , and more specifically parquet .</t>
  </si>
  <si>
    <t>J' apprécie les meubles , et plus particulièrement le parquet .</t>
  </si>
  <si>
    <t>Apprezzo i tavoli , e più specificamente le posate .</t>
  </si>
  <si>
    <t>I like tables , and more specifically cutlery .</t>
  </si>
  <si>
    <t>J' apprécie les tables , et plus particulièrement les couverts .</t>
  </si>
  <si>
    <t>Apprezzo le posate , e più specificamente i tavoli .</t>
  </si>
  <si>
    <t>I like cutlery , and more specifically tables .</t>
  </si>
  <si>
    <t>J' apprécie les couverts , et plus particulièrement les tables .</t>
  </si>
  <si>
    <t>Apprezzo i tavoli , e più specificamente i mobili .</t>
  </si>
  <si>
    <t>I like tables , and more specifically furniture .</t>
  </si>
  <si>
    <t>J' apprécie les tables , et plus particulièrement les meubles .</t>
  </si>
  <si>
    <t>Apprezzo i mobili , e più specificamente i tavoli .</t>
  </si>
  <si>
    <t>I like furniture , and more specifically tables .</t>
  </si>
  <si>
    <t>J' apprécie les meubles , et plus particulièrement les tables .</t>
  </si>
  <si>
    <t>Apprezzo i tavoli , e più specificamente i dipinti .</t>
  </si>
  <si>
    <t>I like tables , and more specifically paintings .</t>
  </si>
  <si>
    <t>J' apprécie les tables , et plus particulièrement les peintures .</t>
  </si>
  <si>
    <t>Apprezzo i dipinti , e più specificamente i tavoli .</t>
  </si>
  <si>
    <t>I like paintings , and more specifically tables .</t>
  </si>
  <si>
    <t>J' apprécie les peintures , et plus particulièrement les tables .</t>
  </si>
  <si>
    <t>Apprezzo i tavoli , e più specificamente la carta da parati .</t>
  </si>
  <si>
    <t>I like tables , and more specifically wallpaper .</t>
  </si>
  <si>
    <t>J' apprécie les tables , et plus particulièrement le papier peint .</t>
  </si>
  <si>
    <t>Apprezzo la carta da parati , e più specificamente i tavoli .</t>
  </si>
  <si>
    <t>I like wallpaper , and more specifically tables .</t>
  </si>
  <si>
    <t>J' apprécie le papier peint , et plus particulièrement les tables .</t>
  </si>
  <si>
    <t>Apprezzo i tavoli , e più specificamente il parquet .</t>
  </si>
  <si>
    <t>I like tables , and more specifically parquet .</t>
  </si>
  <si>
    <t>J' apprécie les tables , et plus particulièrement le parquet .</t>
  </si>
  <si>
    <t>Apprezzo il parquet , e più specificamente i tavoli .</t>
  </si>
  <si>
    <t>I like parquet , and more specifically tables .</t>
  </si>
  <si>
    <t>J' apprécie le parquet , et plus particulièrement les tables .</t>
  </si>
  <si>
    <t>Apprezzo i guardaroba , e più specificamente le posate .</t>
  </si>
  <si>
    <t>I like wardrobes , and more specifically cutlery .</t>
  </si>
  <si>
    <t>J' apprécie les armoires , et plus particulièrement les couverts .</t>
  </si>
  <si>
    <t>Apprezzo le posate , e più specificamente i guardaroba .</t>
  </si>
  <si>
    <t>I like cutlery , and more specifically wardrobes .</t>
  </si>
  <si>
    <t>J' apprécie les couverts , et plus particulièrement les armoires .</t>
  </si>
  <si>
    <t>Apprezzo i guardaroba , e più specificamente i mobili .</t>
  </si>
  <si>
    <t>I like wardrobes , and more specifically furniture .</t>
  </si>
  <si>
    <t>J' apprécie les armoires , et plus particulièrement les meubles .</t>
  </si>
  <si>
    <t>Apprezzo i mobili , e più specificamente i guardaroba .</t>
  </si>
  <si>
    <t>I like furniture , and more specifically wardrobes .</t>
  </si>
  <si>
    <t>J' apprécie les meubles , et plus particulièrement les armoires .</t>
  </si>
  <si>
    <t>Apprezzo i guardaroba , e più specificamente i dipinti .</t>
  </si>
  <si>
    <t>I like wardrobes , and more specifically paintings .</t>
  </si>
  <si>
    <t>J' apprécie les armoires , et plus particulièrement les peintures .</t>
  </si>
  <si>
    <t>Apprezzo i dipinti , e più specificamente i guardaroba .</t>
  </si>
  <si>
    <t>I like paintings , and more specifically wardrobes .</t>
  </si>
  <si>
    <t>J' apprécie les peintures , et plus particulièrement les armoires .</t>
  </si>
  <si>
    <t>Apprezzo i guardaroba , e più specificamente la carta da parati .</t>
  </si>
  <si>
    <t>I like wardrobes , and more specifically wallpaper .</t>
  </si>
  <si>
    <t>J' apprécie les armoires , et plus particulièrement le papier peint .</t>
  </si>
  <si>
    <t>Apprezzo la carta da parati , e più specificamente i guardaroba .</t>
  </si>
  <si>
    <t>I like wallpaper , and more specifically wardrobes .</t>
  </si>
  <si>
    <t>J' apprécie le papier peint , et plus particulièrement les armoires .</t>
  </si>
  <si>
    <t>Apprezzo i guardaroba , e più specificamente il parquet .</t>
  </si>
  <si>
    <t>I like wardrobes , and more specifically parquet .</t>
  </si>
  <si>
    <t>J' apprécie les armoires , et plus particulièrement le parquet .</t>
  </si>
  <si>
    <t>Apprezzo il parquet , e più specificamente i guardaroba .</t>
  </si>
  <si>
    <t>I like parquet , and more specifically wardrobes .</t>
  </si>
  <si>
    <t>J' apprécie le parquet , et plus particulièrement les armoires .</t>
  </si>
  <si>
    <t>Apprezzo i letti , e più specificamente le posate .</t>
  </si>
  <si>
    <t>I like beds , and more specifically cutlery .</t>
  </si>
  <si>
    <t>J' apprécie les lits , et plus particulièrement les couverts .</t>
  </si>
  <si>
    <t>Apprezzo le posate , e più specificamente i letti .</t>
  </si>
  <si>
    <t>I like cutlery , and more specifically beds .</t>
  </si>
  <si>
    <t>J' apprécie les couverts , et plus particulièrement les lits .</t>
  </si>
  <si>
    <t>Apprezzo i letti , e più specificamente i mobili .</t>
  </si>
  <si>
    <t>I like beds , and more specifically furniture .</t>
  </si>
  <si>
    <t>J' apprécie les lits , et plus particulièrement les meubles .</t>
  </si>
  <si>
    <t>Apprezzo i mobili , e più specificamente i letti .</t>
  </si>
  <si>
    <t>I like furniture , and more specifically beds .</t>
  </si>
  <si>
    <t>J' apprécie les meubles , et plus particulièrement les lits .</t>
  </si>
  <si>
    <t>Apprezzo i letti , e più specificamente i dipinti .</t>
  </si>
  <si>
    <t>I like beds , and more specifically paintings .</t>
  </si>
  <si>
    <t>J' apprécie les lits , et plus particulièrement les peintures .</t>
  </si>
  <si>
    <t>Apprezzo i dipinti , e più specificamente i letti .</t>
  </si>
  <si>
    <t>I like paintings , and more specifically beds .</t>
  </si>
  <si>
    <t>J' apprécie les peintures , et plus particulièrement les lits .</t>
  </si>
  <si>
    <t>Apprezzo i letti , e più specificamente la carta da parati .</t>
  </si>
  <si>
    <t>I like beds , and more specifically wallpaper .</t>
  </si>
  <si>
    <t>J' apprécie les lits , et plus particulièrement le papier peint .</t>
  </si>
  <si>
    <t>Apprezzo la carta da parati , e più specificamente i letti .</t>
  </si>
  <si>
    <t>I like wallpaper , and more specifically beds .</t>
  </si>
  <si>
    <t>J' apprécie le papier peint , et plus particulièrement les lits .</t>
  </si>
  <si>
    <t>Apprezzo i letti , e più specificamente il parquet .</t>
  </si>
  <si>
    <t>I like beds , and more specifically parquet .</t>
  </si>
  <si>
    <t>J' apprécie les lits , et plus particulièrement le parquet .</t>
  </si>
  <si>
    <t>Apprezzo il parquet , e più specificamente i letti .</t>
  </si>
  <si>
    <t>I like parquet , and more specifically beds .</t>
  </si>
  <si>
    <t>J' apprécie le parquet , et plus particulièrement les lits .</t>
  </si>
  <si>
    <t>Amo le calze , eccetto le scarpe .</t>
  </si>
  <si>
    <t>I like socks , except shoes .</t>
  </si>
  <si>
    <t>J' aime les chausettes , sauf les chaussures .</t>
  </si>
  <si>
    <t>Apprezzo il Merlot , e più specificamente la coca cola .</t>
  </si>
  <si>
    <t>I like Merlot , and more specifically coca-cola .</t>
  </si>
  <si>
    <t>J' apprécie le Merlot , et plus particulièrement le coca cola .</t>
  </si>
  <si>
    <t>Apprezzo la coca cola , e più specificamente il Merlot .</t>
  </si>
  <si>
    <t>I like coca-cola , and more specifically Merlot .</t>
  </si>
  <si>
    <t>J' apprécie le coca cola , et plus particulièrement le Merlot .</t>
  </si>
  <si>
    <t>Apprezzo il Merlot , e più specificamente il vino .</t>
  </si>
  <si>
    <t>I like Merlot , and more specifically wine .</t>
  </si>
  <si>
    <t>J' apprécie le Merlot , et plus particulièrement le vin .</t>
  </si>
  <si>
    <t>Apprezzo il vino , e più specificamente il Merlot .</t>
  </si>
  <si>
    <t>I like wine , and more specifically Merlot .</t>
  </si>
  <si>
    <t>J' apprécie le vin , et plus particulièrement le Merlot .</t>
  </si>
  <si>
    <t>Apprezzo il vino , e più specificamente la coca cola .</t>
  </si>
  <si>
    <t>I like wine , and more specifically coca-cola .</t>
  </si>
  <si>
    <t>J' apprécie le vin , et plus particulièrement le coca cola .</t>
  </si>
  <si>
    <t>Apprezzo il Merlot , e più specificamente l' acqua .</t>
  </si>
  <si>
    <t>I like Merlot , and more specifically water .</t>
  </si>
  <si>
    <t>J' apprécie le Merlot , et plus particulièrement l' eau .</t>
  </si>
  <si>
    <t>Apprezzo l' acqua , e più specificamente il Merlot .</t>
  </si>
  <si>
    <t>I like water , and more specifically Merlot .</t>
  </si>
  <si>
    <t>J' apprécie l' eau , et plus particulièrement le Merlot .</t>
  </si>
  <si>
    <t>Amo le scarpe , eccetto le calze .</t>
  </si>
  <si>
    <t>I like shoes , except socks .</t>
  </si>
  <si>
    <t>J' aime les chaussures , sauf les chausettes .</t>
  </si>
  <si>
    <t>Apprezzo il vino , e più specificamente l' acqua .</t>
  </si>
  <si>
    <t>I like wine , and more specifically water .</t>
  </si>
  <si>
    <t>J' apprécie le vin , et plus particulièrement l' eau .</t>
  </si>
  <si>
    <t>Apprezzo il Merlot , e più specificamente la sprite .</t>
  </si>
  <si>
    <t>I like Merlot , and more specifically sprite .</t>
  </si>
  <si>
    <t>J' apprécie le Merlot , et plus particulièrement la sprite .</t>
  </si>
  <si>
    <t>Apprezzo la sprite , e più specificamente il Merlot .</t>
  </si>
  <si>
    <t>I like sprite , and more specifically Merlot .</t>
  </si>
  <si>
    <t>J' apprécie la sprite , et plus particulièrement le Merlot .</t>
  </si>
  <si>
    <t>Apprezzo il vino , e più specificamente la sprite .</t>
  </si>
  <si>
    <t>I like wine , and more specifically sprite .</t>
  </si>
  <si>
    <t>J' apprécie le vin , et plus particulièrement la sprite .</t>
  </si>
  <si>
    <t>Apprezzo il Merlot , e più specificamente la birra .</t>
  </si>
  <si>
    <t>I like Merlot , and more specifically beer .</t>
  </si>
  <si>
    <t>J' apprécie le Merlot , et plus particulièrement la bière .</t>
  </si>
  <si>
    <t>Apprezzo la birra , e più specificamente il Merlot .</t>
  </si>
  <si>
    <t>I like beer , and more specifically Merlot .</t>
  </si>
  <si>
    <t>J' apprécie la bière , et plus particulièrement le Merlot .</t>
  </si>
  <si>
    <t>Amo le calze , eccetto i vestiti .</t>
  </si>
  <si>
    <t>I like socks , except clothes .</t>
  </si>
  <si>
    <t>J' aime les chausettes , sauf les vêtements .</t>
  </si>
  <si>
    <t>Apprezzo il vino , e più specificamente la birra .</t>
  </si>
  <si>
    <t>I like wine , and more specifically beer .</t>
  </si>
  <si>
    <t>J' apprécie le vin , et plus particulièrement la bière .</t>
  </si>
  <si>
    <t>Amo i vestiti , eccetto le calze .</t>
  </si>
  <si>
    <t>I like clothes , except socks .</t>
  </si>
  <si>
    <t>J' aime les vêtements , sauf les chausettes .</t>
  </si>
  <si>
    <t>Apprezzo lo Chardonnay , e più specificamente la coca cola .</t>
  </si>
  <si>
    <t>I like Chardonnay , and more specifically coca-cola .</t>
  </si>
  <si>
    <t>J' apprécie le Chardonnay , et plus particulièrement le coca cola .</t>
  </si>
  <si>
    <t>Apprezzo la coca cola , e più specificamente lo Chardonnay .</t>
  </si>
  <si>
    <t>I like coca-cola , and more specifically Chardonnay .</t>
  </si>
  <si>
    <t>J' apprécie le coca cola , et plus particulièrement le Chardonnay .</t>
  </si>
  <si>
    <t>Apprezzo lo Chardonnay , e più specificamente il vino .</t>
  </si>
  <si>
    <t>I like Chardonnay , and more specifically wine .</t>
  </si>
  <si>
    <t>J' apprécie le Chardonnay , et plus particulièrement le vin .</t>
  </si>
  <si>
    <t>Apprezzo il vino , e più specificamente lo Chardonnay .</t>
  </si>
  <si>
    <t>I like wine , and more specifically Chardonnay .</t>
  </si>
  <si>
    <t>J' apprécie le vin , et plus particulièrement le Chardonnay .</t>
  </si>
  <si>
    <t>Apprezzo lo Chardonnay , e più specificamente l' acqua .</t>
  </si>
  <si>
    <t>I like Chardonnay , and more specifically water .</t>
  </si>
  <si>
    <t>J' apprécie le Chardonnay , et plus particulièrement l' eau .</t>
  </si>
  <si>
    <t>Apprezzo l' acqua , e più specificamente lo Chardonnay .</t>
  </si>
  <si>
    <t>I like water , and more specifically Chardonnay .</t>
  </si>
  <si>
    <t>J' apprécie l' eau , et plus particulièrement le Chardonnay .</t>
  </si>
  <si>
    <t>Amo le calze , eccetto i gioielli .</t>
  </si>
  <si>
    <t>I like socks , except jewelry .</t>
  </si>
  <si>
    <t>J' aime les chausettes , sauf les bijoux .</t>
  </si>
  <si>
    <t>Apprezzo lo Chardonnay , e più specificamente la sprite .</t>
  </si>
  <si>
    <t>I like Chardonnay , and more specifically sprite .</t>
  </si>
  <si>
    <t>J' apprécie le Chardonnay , et plus particulièrement la sprite .</t>
  </si>
  <si>
    <t>Apprezzo la sprite , e più specificamente lo Chardonnay .</t>
  </si>
  <si>
    <t>I like sprite , and more specifically Chardonnay .</t>
  </si>
  <si>
    <t>J' apprécie la sprite , et plus particulièrement le Chardonnay .</t>
  </si>
  <si>
    <t>Apprezzo lo Chardonnay , e più specificamente la birra .</t>
  </si>
  <si>
    <t>I like Chardonnay , and more specifically beer .</t>
  </si>
  <si>
    <t>J' apprécie le Chardonnay , et plus particulièrement la bière .</t>
  </si>
  <si>
    <t>Apprezzo la birra , e più specificamente lo Chardonnay .</t>
  </si>
  <si>
    <t>I like beer , and more specifically Chardonnay .</t>
  </si>
  <si>
    <t>J' apprécie la bière , et plus particulièrement le Chardonnay .</t>
  </si>
  <si>
    <t>Amo i gioielli , eccetto le calze .</t>
  </si>
  <si>
    <t>I like jewelry , except socks .</t>
  </si>
  <si>
    <t>J' aime les bijoux , sauf les chausettes .</t>
  </si>
  <si>
    <t>Apprezzo il Chianti , e più specificamente la coca cola .</t>
  </si>
  <si>
    <t>I like Chianti , and more specifically coca-cola .</t>
  </si>
  <si>
    <t>J' apprécie le Chianti , et plus particulièrement le coca cola .</t>
  </si>
  <si>
    <t>Apprezzo la coca cola , e più specificamente il Chianti .</t>
  </si>
  <si>
    <t>I like coca-cola , and more specifically Chianti .</t>
  </si>
  <si>
    <t>J' apprécie le coca cola , et plus particulièrement le Chianti .</t>
  </si>
  <si>
    <t>Apprezzo il Chianti , e più specificamente il vino .</t>
  </si>
  <si>
    <t>I like Chianti , and more specifically wine .</t>
  </si>
  <si>
    <t>J' apprécie le Chianti , et plus particulièrement le vin .</t>
  </si>
  <si>
    <t>Apprezzo il vino , e più specificamente il Chianti .</t>
  </si>
  <si>
    <t>I like wine , and more specifically Chianti .</t>
  </si>
  <si>
    <t>J' apprécie le vin , et plus particulièrement le Chianti .</t>
  </si>
  <si>
    <t>Apprezzo il Chianti , e più specificamente l' acqua .</t>
  </si>
  <si>
    <t>I like Chianti , and more specifically water .</t>
  </si>
  <si>
    <t>J' apprécie le Chianti , et plus particulièrement l' eau .</t>
  </si>
  <si>
    <t>Apprezzo l' acqua , e più specificamente il Chianti .</t>
  </si>
  <si>
    <t>I like water , and more specifically Chianti .</t>
  </si>
  <si>
    <t>J' apprécie l' eau , et plus particulièrement le Chianti .</t>
  </si>
  <si>
    <t>Apprezzo il Chianti , e più specificamente la sprite .</t>
  </si>
  <si>
    <t>I like Chianti , and more specifically sprite .</t>
  </si>
  <si>
    <t>J' apprécie le Chianti , et plus particulièrement la sprite .</t>
  </si>
  <si>
    <t>Apprezzo la sprite , e più specificamente il Chianti .</t>
  </si>
  <si>
    <t>I like sprite , and more specifically Chianti .</t>
  </si>
  <si>
    <t>J' apprécie la sprite , et plus particulièrement le Chianti .</t>
  </si>
  <si>
    <t>Apprezzo il Chianti , e più specificamente la birra .</t>
  </si>
  <si>
    <t>I like Chianti , and more specifically beer .</t>
  </si>
  <si>
    <t>J' apprécie le Chianti , et plus particulièrement la bière .</t>
  </si>
  <si>
    <t>Apprezzo la birra , e più specificamente il Chianti .</t>
  </si>
  <si>
    <t>I like beer , and more specifically Chianti .</t>
  </si>
  <si>
    <t>J' apprécie la bière , et plus particulièrement le Chianti .</t>
  </si>
  <si>
    <t>Amo le calze , eccetto gli occhiali .</t>
  </si>
  <si>
    <t>I like socks , except glasses .</t>
  </si>
  <si>
    <t>J' aime les chausettes , sauf les lunettes .</t>
  </si>
  <si>
    <t>Amo gli occhiali , eccetto le calze .</t>
  </si>
  <si>
    <t>I like glasses , except socks .</t>
  </si>
  <si>
    <t>J' aime les lunettes , sauf les chausettes .</t>
  </si>
  <si>
    <t>Apprezzo il Primitivo , e più specificamente la coca cola .</t>
  </si>
  <si>
    <t>I like Zinfandel , and more specifically coca-cola .</t>
  </si>
  <si>
    <t>J' apprécie le Cabernet Sauvignon , et plus particulièrement le coca cola .</t>
  </si>
  <si>
    <t>Apprezzo la coca cola , e più specificamente il Primitivo .</t>
  </si>
  <si>
    <t>I like coca-cola , and more specifically Zinfandel .</t>
  </si>
  <si>
    <t>J' apprécie le coca cola , et plus particulièrement le Cabernet Sauvignon .</t>
  </si>
  <si>
    <t>Apprezzo il Primitivo , e più specificamente il vino .</t>
  </si>
  <si>
    <t>I like Zinfandel , and more specifically wine .</t>
  </si>
  <si>
    <t>J' apprécie le Cabernet Sauvignon , et plus particulièrement le vin .</t>
  </si>
  <si>
    <t>Apprezzo il vino , e più specificamente il Primitivo .</t>
  </si>
  <si>
    <t>I like wine , and more specifically Zinfandel .</t>
  </si>
  <si>
    <t>J' apprécie le vin , et plus particulièrement le Cabernet Sauvignon .</t>
  </si>
  <si>
    <t>Apprezzo il Primitivo , e più specificamente l' acqua .</t>
  </si>
  <si>
    <t>I like Zinfandel , and more specifically water .</t>
  </si>
  <si>
    <t>J' apprécie le Cabernet Sauvignon , et plus particulièrement l' eau .</t>
  </si>
  <si>
    <t>Apprezzo l' acqua , e più specificamente il Primitivo .</t>
  </si>
  <si>
    <t>I like water , and more specifically Zinfandel .</t>
  </si>
  <si>
    <t>J' apprécie l' eau , et plus particulièrement le Cabernet Sauvignon .</t>
  </si>
  <si>
    <t>Apprezzo il Primitivo , e più specificamente la sprite .</t>
  </si>
  <si>
    <t>I like Zinfandel , and more specifically sprite .</t>
  </si>
  <si>
    <t>J' apprécie le Cabernet Sauvignon , et plus particulièrement la sprite .</t>
  </si>
  <si>
    <t>Apprezzo la sprite , e più specificamente il Primitivo .</t>
  </si>
  <si>
    <t>I like sprite , and more specifically Zinfandel .</t>
  </si>
  <si>
    <t>J' apprécie la sprite , et plus particulièrement le Cabernet Sauvignon .</t>
  </si>
  <si>
    <t>Apprezzo il Primitivo , e più specificamente la birra .</t>
  </si>
  <si>
    <t>I like Zinfandel , and more specifically beer .</t>
  </si>
  <si>
    <t>J' apprécie le Cabernet Sauvignon , et plus particulièrement la bière .</t>
  </si>
  <si>
    <t>Apprezzo la birra , e più specificamente il Primitivo .</t>
  </si>
  <si>
    <t>I like beer , and more specifically Zinfandel .</t>
  </si>
  <si>
    <t>J' apprécie la bière , et plus particulièrement le Cabernet Sauvignon .</t>
  </si>
  <si>
    <t>Amo le calze , eccetto gli orecchini .</t>
  </si>
  <si>
    <t>I like socks , except earrings .</t>
  </si>
  <si>
    <t>J' aime les chausettes , sauf les boucles d' oreille .</t>
  </si>
  <si>
    <t>Amo gli orecchini , eccetto le calze .</t>
  </si>
  <si>
    <t>I like earrings , except socks .</t>
  </si>
  <si>
    <t>J' aime les boucles d' oreille , sauf les chausettes .</t>
  </si>
  <si>
    <t>Amo le gonne , eccetto le scarpe .</t>
  </si>
  <si>
    <t>I like skirts , except shoes .</t>
  </si>
  <si>
    <t>J' aime les jupes , sauf les chaussures .</t>
  </si>
  <si>
    <t>Amo le scarpe , eccetto le gonne .</t>
  </si>
  <si>
    <t>I like shoes , except skirts .</t>
  </si>
  <si>
    <t>J' aime les chaussures , sauf les jupes .</t>
  </si>
  <si>
    <t>Amo le gonne , eccetto i vestiti .</t>
  </si>
  <si>
    <t>I like skirts , except clothes .</t>
  </si>
  <si>
    <t>J' aime les jupes , sauf les vêtements .</t>
  </si>
  <si>
    <t>Amo i vestiti , eccetto le gonne .</t>
  </si>
  <si>
    <t>I like clothes , except skirts .</t>
  </si>
  <si>
    <t>J' aime les vêtements , sauf les jupes .</t>
  </si>
  <si>
    <t>Amo le gonne , eccetto i gioielli .</t>
  </si>
  <si>
    <t>I like skirts , except jewelry .</t>
  </si>
  <si>
    <t>J' aime les jupes , sauf les bijoux .</t>
  </si>
  <si>
    <t>Amo i gioielli , eccetto le gonne .</t>
  </si>
  <si>
    <t>I like jewelry , except skirts .</t>
  </si>
  <si>
    <t>J' aime les bijoux , sauf les jupes .</t>
  </si>
  <si>
    <t>Apprezzo il rock , e più specificamente gli sport .</t>
  </si>
  <si>
    <t>I like rock , and more specifically sports .</t>
  </si>
  <si>
    <t>J' apprécie le rock , et plus particulièrement les sports .</t>
  </si>
  <si>
    <t>Apprezzo gli sport , e più specificamente il rock .</t>
  </si>
  <si>
    <t>I like sports , and more specifically rock .</t>
  </si>
  <si>
    <t>J' apprécie les sports , et plus particulièrement le rock .</t>
  </si>
  <si>
    <t>Apprezzo il rock , e più specificamente la musica .</t>
  </si>
  <si>
    <t>I like rock , and more specifically music .</t>
  </si>
  <si>
    <t>J' apprécie le rock , et plus particulièrement la musique .</t>
  </si>
  <si>
    <t>Apprezzo la musica , e più specificamente il rock .</t>
  </si>
  <si>
    <t>I like music , and more specifically rock .</t>
  </si>
  <si>
    <t>J' apprécie la musique , et plus particulièrement le rock .</t>
  </si>
  <si>
    <t>Apprezzo la musica , e più specificamente gli sport .</t>
  </si>
  <si>
    <t>I like music , and more specifically sports .</t>
  </si>
  <si>
    <t>J' apprécie la musique , et plus particulièrement les sports .</t>
  </si>
  <si>
    <t>Apprezzo il rock , e più specificamente i giochi da tavolo .</t>
  </si>
  <si>
    <t>I like rock , and more specifically boardgames .</t>
  </si>
  <si>
    <t>J' apprécie le rock , et plus particulièrement les jeux de société .</t>
  </si>
  <si>
    <t>Apprezzo i giochi da tavolo , e più specificamente il rock .</t>
  </si>
  <si>
    <t>I like boardgames , and more specifically rock .</t>
  </si>
  <si>
    <t>J' apprécie les jeux de société , et plus particulièrement le rock .</t>
  </si>
  <si>
    <t>Apprezzo la musica , e più specificamente i giochi da tavolo .</t>
  </si>
  <si>
    <t>I like music , and more specifically boardgames .</t>
  </si>
  <si>
    <t>J' apprécie la musique , et plus particulièrement les jeux de société .</t>
  </si>
  <si>
    <t>Apprezzo il rock , e più specificamente il cibo .</t>
  </si>
  <si>
    <t>I like rock , and more specifically food .</t>
  </si>
  <si>
    <t>J' apprécie le rock , et plus particulièrement les aliments .</t>
  </si>
  <si>
    <t>Apprezzo il cibo , e più specificamente il rock .</t>
  </si>
  <si>
    <t>I like food , and more specifically rock .</t>
  </si>
  <si>
    <t>J' apprécie les aliments , et plus particulièrement le rock .</t>
  </si>
  <si>
    <t>Apprezzo la musica , e più specificamente il cibo .</t>
  </si>
  <si>
    <t>I like music , and more specifically food .</t>
  </si>
  <si>
    <t>J' apprécie la musique , et plus particulièrement les aliments .</t>
  </si>
  <si>
    <t>Apprezzo il rock , e più specificamente i gioielli .</t>
  </si>
  <si>
    <t>I like rock , and more specifically jewelry .</t>
  </si>
  <si>
    <t>J' apprécie le rock , et plus particulièrement les bijoux .</t>
  </si>
  <si>
    <t>Apprezzo i gioielli , e più specificamente il rock .</t>
  </si>
  <si>
    <t>I like jewelry , and more specifically rock .</t>
  </si>
  <si>
    <t>J' apprécie les bijoux , et plus particulièrement le rock .</t>
  </si>
  <si>
    <t>Amo le gonne , eccetto gli occhiali .</t>
  </si>
  <si>
    <t>I like skirts , except glasses .</t>
  </si>
  <si>
    <t>J' aime les jupes , sauf les lunettes .</t>
  </si>
  <si>
    <t>Apprezzo la musica , e più specificamente i gioielli .</t>
  </si>
  <si>
    <t>I like music , and more specifically jewelry .</t>
  </si>
  <si>
    <t>J' apprécie la musique , et plus particulièrement les bijoux .</t>
  </si>
  <si>
    <t>Amo gli occhiali , eccetto le gonne .</t>
  </si>
  <si>
    <t>I like glasses , except skirts .</t>
  </si>
  <si>
    <t>J' aime les lunettes , sauf les jupes .</t>
  </si>
  <si>
    <t>Apprezzo il jazz , e più specificamente gli sport .</t>
  </si>
  <si>
    <t>I like jazz , and more specifically sports .</t>
  </si>
  <si>
    <t>J' apprécie le jazz , et plus particulièrement les sports .</t>
  </si>
  <si>
    <t>Apprezzo gli sport , e più specificamente il jazz .</t>
  </si>
  <si>
    <t>I like sports , and more specifically jazz .</t>
  </si>
  <si>
    <t>J' apprécie les sports , et plus particulièrement le jazz .</t>
  </si>
  <si>
    <t>Apprezzo il jazz , e più specificamente la musica .</t>
  </si>
  <si>
    <t>I like jazz , and more specifically music .</t>
  </si>
  <si>
    <t>J' apprécie le jazz , et plus particulièrement la musique .</t>
  </si>
  <si>
    <t>Apprezzo la musica , e più specificamente il jazz .</t>
  </si>
  <si>
    <t>I like music , and more specifically jazz .</t>
  </si>
  <si>
    <t>J' apprécie la musique , et plus particulièrement le jazz .</t>
  </si>
  <si>
    <t>Apprezzo il jazz , e più specificamente i giochi da tavolo .</t>
  </si>
  <si>
    <t>I like jazz , and more specifically boardgames .</t>
  </si>
  <si>
    <t>J' apprécie le jazz , et plus particulièrement les jeux de société .</t>
  </si>
  <si>
    <t>Apprezzo i giochi da tavolo , e più specificamente il jazz .</t>
  </si>
  <si>
    <t>I like boardgames , and more specifically jazz .</t>
  </si>
  <si>
    <t>J' apprécie les jeux de société , et plus particulièrement le jazz .</t>
  </si>
  <si>
    <t>Apprezzo il jazz , e più specificamente il cibo .</t>
  </si>
  <si>
    <t>I like jazz , and more specifically food .</t>
  </si>
  <si>
    <t>J' apprécie le jazz , et plus particulièrement les aliments .</t>
  </si>
  <si>
    <t>Apprezzo il cibo , e più specificamente il jazz .</t>
  </si>
  <si>
    <t>I like food , and more specifically jazz .</t>
  </si>
  <si>
    <t>J' apprécie les aliments , et plus particulièrement le jazz .</t>
  </si>
  <si>
    <t>Apprezzo il jazz , e più specificamente i gioielli .</t>
  </si>
  <si>
    <t>I like jazz , and more specifically jewelry .</t>
  </si>
  <si>
    <t>J' apprécie le jazz , et plus particulièrement les bijoux .</t>
  </si>
  <si>
    <t>Apprezzo i gioielli , e più specificamente il jazz .</t>
  </si>
  <si>
    <t>I like jewelry , and more specifically jazz .</t>
  </si>
  <si>
    <t>J' apprécie les bijoux , et plus particulièrement le jazz .</t>
  </si>
  <si>
    <t>Amo le gonne , eccetto gli orecchini .</t>
  </si>
  <si>
    <t>I like skirts , except earrings .</t>
  </si>
  <si>
    <t>J' aime les jupes , sauf les boucles d' oreille .</t>
  </si>
  <si>
    <t>Amo gli orecchini , eccetto le gonne .</t>
  </si>
  <si>
    <t>I like earrings , except skirts .</t>
  </si>
  <si>
    <t>J' aime les boucles d' oreille , sauf les jupes .</t>
  </si>
  <si>
    <t>Apprezzo la techno , e più specificamente gli sport .</t>
  </si>
  <si>
    <t>I like techno , and more specifically sports .</t>
  </si>
  <si>
    <t>J' apprécie la techno , et plus particulièrement les sports .</t>
  </si>
  <si>
    <t>Apprezzo gli sport , e più specificamente la techno .</t>
  </si>
  <si>
    <t>I like sports , and more specifically techno .</t>
  </si>
  <si>
    <t>J' apprécie les sports , et plus particulièrement la techno .</t>
  </si>
  <si>
    <t>Apprezzo la techno , e più specificamente la musica .</t>
  </si>
  <si>
    <t>I like techno , and more specifically music .</t>
  </si>
  <si>
    <t>J' apprécie la techno , et plus particulièrement la musique .</t>
  </si>
  <si>
    <t>Apprezzo la musica , e più specificamente la techno .</t>
  </si>
  <si>
    <t>I like music , and more specifically techno .</t>
  </si>
  <si>
    <t>J' apprécie la musique , et plus particulièrement la techno .</t>
  </si>
  <si>
    <t>Apprezzo la techno , e più specificamente i giochi da tavolo .</t>
  </si>
  <si>
    <t>I like techno , and more specifically boardgames .</t>
  </si>
  <si>
    <t>J' apprécie la techno , et plus particulièrement les jeux de société .</t>
  </si>
  <si>
    <t>Apprezzo i giochi da tavolo , e più specificamente la techno .</t>
  </si>
  <si>
    <t>I like boardgames , and more specifically techno .</t>
  </si>
  <si>
    <t>J' apprécie les jeux de société , et plus particulièrement la techno .</t>
  </si>
  <si>
    <t>Apprezzo la techno , e più specificamente il cibo .</t>
  </si>
  <si>
    <t>I like techno , and more specifically food .</t>
  </si>
  <si>
    <t>J' apprécie la techno , et plus particulièrement les aliments .</t>
  </si>
  <si>
    <t>Apprezzo il cibo , e più specificamente la techno .</t>
  </si>
  <si>
    <t>I like food , and more specifically techno .</t>
  </si>
  <si>
    <t>J' apprécie les aliments , et plus particulièrement la techno .</t>
  </si>
  <si>
    <t>Apprezzo la techno , e più specificamente i gioielli .</t>
  </si>
  <si>
    <t>I like techno , and more specifically jewelry .</t>
  </si>
  <si>
    <t>J' apprécie la techno , et plus particulièrement les bijoux .</t>
  </si>
  <si>
    <t>Apprezzo i gioielli , e più specificamente la techno .</t>
  </si>
  <si>
    <t>I like jewelry , and more specifically techno .</t>
  </si>
  <si>
    <t>J' apprécie les bijoux , et plus particulièrement la techno .</t>
  </si>
  <si>
    <t>Amo i cani , eccetto i criceti .</t>
  </si>
  <si>
    <t>I like dogs , except hamsters .</t>
  </si>
  <si>
    <t>J' aime les chiens , sauf les hamsters .</t>
  </si>
  <si>
    <t>Apprezzo il blues , e più specificamente gli sport .</t>
  </si>
  <si>
    <t>I like blues , and more specifically sports .</t>
  </si>
  <si>
    <t>J' apprécie le blues , et plus particulièrement les sports .</t>
  </si>
  <si>
    <t>Apprezzo gli sport , e più specificamente il blues .</t>
  </si>
  <si>
    <t>I like sports , and more specifically blues .</t>
  </si>
  <si>
    <t>J' apprécie les sports , et plus particulièrement le blues .</t>
  </si>
  <si>
    <t>Apprezzo il blues , e più specificamente la musica .</t>
  </si>
  <si>
    <t>I like blues , and more specifically music .</t>
  </si>
  <si>
    <t>J' apprécie le blues , et plus particulièrement la musique .</t>
  </si>
  <si>
    <t>Apprezzo la musica , e più specificamente il blues .</t>
  </si>
  <si>
    <t>I like music , and more specifically blues .</t>
  </si>
  <si>
    <t>J' apprécie la musique , et plus particulièrement le blues .</t>
  </si>
  <si>
    <t>Apprezzo il blues , e più specificamente i giochi da tavolo .</t>
  </si>
  <si>
    <t>I like blues , and more specifically boardgames .</t>
  </si>
  <si>
    <t>J' apprécie le blues , et plus particulièrement les jeux de société .</t>
  </si>
  <si>
    <t>Apprezzo i giochi da tavolo , e più specificamente il blues .</t>
  </si>
  <si>
    <t>I like boardgames , and more specifically blues .</t>
  </si>
  <si>
    <t>J' apprécie les jeux de société , et plus particulièrement le blues .</t>
  </si>
  <si>
    <t>Apprezzo il blues , e più specificamente il cibo .</t>
  </si>
  <si>
    <t>I like blues , and more specifically food .</t>
  </si>
  <si>
    <t>J' apprécie le blues , et plus particulièrement les aliments .</t>
  </si>
  <si>
    <t>Apprezzo il cibo , e più specificamente il blues .</t>
  </si>
  <si>
    <t>I like food , and more specifically blues .</t>
  </si>
  <si>
    <t>J' apprécie les aliments , et plus particulièrement le blues .</t>
  </si>
  <si>
    <t>Apprezzo il blues , e più specificamente i gioielli .</t>
  </si>
  <si>
    <t>I like blues , and more specifically jewelry .</t>
  </si>
  <si>
    <t>J' apprécie le blues , et plus particulièrement les bijoux .</t>
  </si>
  <si>
    <t>Apprezzo i gioielli , e più specificamente il blues .</t>
  </si>
  <si>
    <t>I like jewelry , and more specifically blues .</t>
  </si>
  <si>
    <t>J' apprécie les bijoux , et plus particulièrement le blues .</t>
  </si>
  <si>
    <t>Adoro il prosciutto cotto , e più specificamente il pesce .</t>
  </si>
  <si>
    <t>I like ham , and more specifically fish .</t>
  </si>
  <si>
    <t>J' adore le jambon , et plus particulièrement le poisson .</t>
  </si>
  <si>
    <t>Adoro il pesce , e più specificamente il prosciutto cotto .</t>
  </si>
  <si>
    <t>I like fish , and more specifically ham .</t>
  </si>
  <si>
    <t>J' adore le poisson , et plus particulièrement le jambon .</t>
  </si>
  <si>
    <t>Adoro il prosciutto cotto , e più specificamente il maiale .</t>
  </si>
  <si>
    <t>I like ham , and more specifically pork .</t>
  </si>
  <si>
    <t>J' adore le jambon , et plus particulièrement le porc .</t>
  </si>
  <si>
    <t>Adoro il maiale , e più specificamente il prosciutto cotto .</t>
  </si>
  <si>
    <t>I like pork , and more specifically ham .</t>
  </si>
  <si>
    <t>J' adore le porc , et plus particulièrement le jambon .</t>
  </si>
  <si>
    <t>Adoro il maiale , e più specificamente il pesce .</t>
  </si>
  <si>
    <t>I like pork , and more specifically fish .</t>
  </si>
  <si>
    <t>J' adore le porc , et plus particulièrement le poisson .</t>
  </si>
  <si>
    <t>Adoro il prosciutto cotto , e più specificamente i broccoli .</t>
  </si>
  <si>
    <t>I like ham , and more specifically broccoli .</t>
  </si>
  <si>
    <t>J' adore le jambon , et plus particulièrement le brocoli .</t>
  </si>
  <si>
    <t>Adoro i broccoli , e più specificamente il prosciutto cotto .</t>
  </si>
  <si>
    <t>I like broccoli , and more specifically ham .</t>
  </si>
  <si>
    <t>J' adore le brocoli , et plus particulièrement le jambon .</t>
  </si>
  <si>
    <t>Adoro il maiale , e più specificamente i broccoli .</t>
  </si>
  <si>
    <t>I like pork , and more specifically broccoli .</t>
  </si>
  <si>
    <t>J' adore le porc , et plus particulièrement le brocoli .</t>
  </si>
  <si>
    <t>Adoro il prosciutto cotto , e più specificamente le mele .</t>
  </si>
  <si>
    <t>I like ham , and more specifically apples .</t>
  </si>
  <si>
    <t>J' adore le jambon , et plus particulièrement les pommes .</t>
  </si>
  <si>
    <t>Adoro le mele , e più specificamente il prosciutto cotto .</t>
  </si>
  <si>
    <t>I like apples , and more specifically ham .</t>
  </si>
  <si>
    <t>J' adore les pommes , et plus particulièrement le jambon .</t>
  </si>
  <si>
    <t>Adoro il maiale , e più specificamente le mele .</t>
  </si>
  <si>
    <t>I like pork , and more specifically apples .</t>
  </si>
  <si>
    <t>J' adore le porc , et plus particulièrement les pommes .</t>
  </si>
  <si>
    <t>Adoro il prosciutto cotto , e più specificamente le carote .</t>
  </si>
  <si>
    <t>I like ham , and more specifically carrots .</t>
  </si>
  <si>
    <t>J' adore le jambon , et plus particulièrement les carottes .</t>
  </si>
  <si>
    <t>Adoro le carote , e più specificamente il prosciutto cotto .</t>
  </si>
  <si>
    <t>I like carrots , and more specifically ham .</t>
  </si>
  <si>
    <t>J' adore les carottes , et plus particulièrement le jambon .</t>
  </si>
  <si>
    <t>Adoro il maiale , e più specificamente le carote .</t>
  </si>
  <si>
    <t>I like pork , and more specifically carrots .</t>
  </si>
  <si>
    <t>J' adore le porc , et plus particulièrement les carottes .</t>
  </si>
  <si>
    <t>Adoro il prosciutto , e più specificamente il pesce .</t>
  </si>
  <si>
    <t>I like prosciutto , and more specifically fish .</t>
  </si>
  <si>
    <t>J' adore le prosciutto , et plus particulièrement le poisson .</t>
  </si>
  <si>
    <t>Adoro il pesce , e più specificamente il prosciutto .</t>
  </si>
  <si>
    <t>I like fish , and more specifically prosciutto .</t>
  </si>
  <si>
    <t>J' adore le poisson , et plus particulièrement le prosciutto .</t>
  </si>
  <si>
    <t>Adoro il prosciutto , e più specificamente il maiale .</t>
  </si>
  <si>
    <t>I like prosciutto , and more specifically pork .</t>
  </si>
  <si>
    <t>J' adore le prosciutto , et plus particulièrement le porc .</t>
  </si>
  <si>
    <t>Adoro il maiale , e più specificamente il prosciutto .</t>
  </si>
  <si>
    <t>I like pork , and more specifically prosciutto .</t>
  </si>
  <si>
    <t>J' adore le porc , et plus particulièrement le prosciutto .</t>
  </si>
  <si>
    <t>Adoro il prosciutto , e più specificamente i broccoli .</t>
  </si>
  <si>
    <t>I like prosciutto , and more specifically broccoli .</t>
  </si>
  <si>
    <t>J' adore le prosciutto , et plus particulièrement le brocoli .</t>
  </si>
  <si>
    <t>Adoro i broccoli , e più specificamente il prosciutto .</t>
  </si>
  <si>
    <t>I like broccoli , and more specifically prosciutto .</t>
  </si>
  <si>
    <t>J' adore le brocoli , et plus particulièrement le prosciutto .</t>
  </si>
  <si>
    <t>Adoro il prosciutto , e più specificamente le mele .</t>
  </si>
  <si>
    <t>I like prosciutto , and more specifically apples .</t>
  </si>
  <si>
    <t>J' adore le prosciutto , et plus particulièrement les pommes .</t>
  </si>
  <si>
    <t>Adoro le mele , e più specificamente il prosciutto .</t>
  </si>
  <si>
    <t>I like apples , and more specifically prosciutto .</t>
  </si>
  <si>
    <t>J' adore les pommes , et plus particulièrement le prosciutto .</t>
  </si>
  <si>
    <t>Adoro il prosciutto , e più specificamente le carote .</t>
  </si>
  <si>
    <t>I like prosciutto , and more specifically carrots .</t>
  </si>
  <si>
    <t>J' adore le prosciutto , et plus particulièrement les carottes .</t>
  </si>
  <si>
    <t>Adoro le carote , e più specificamente il prosciutto .</t>
  </si>
  <si>
    <t>I like carrots , and more specifically prosciutto .</t>
  </si>
  <si>
    <t>J' adore les carottes , et plus particulièrement le prosciutto .</t>
  </si>
  <si>
    <t>Adoro il bacon , e più specificamente il pesce .</t>
  </si>
  <si>
    <t>I like bacon , and more specifically fish .</t>
  </si>
  <si>
    <t>J' adore le bacon , et plus particulièrement le poisson .</t>
  </si>
  <si>
    <t>Adoro il pesce , e più specificamente il bacon .</t>
  </si>
  <si>
    <t>I like fish , and more specifically bacon .</t>
  </si>
  <si>
    <t>J' adore le poisson , et plus particulièrement le bacon .</t>
  </si>
  <si>
    <t>Adoro il bacon , e più specificamente il maiale .</t>
  </si>
  <si>
    <t>I like bacon , and more specifically pork .</t>
  </si>
  <si>
    <t>J' adore le bacon , et plus particulièrement le porc .</t>
  </si>
  <si>
    <t>Adoro il maiale , e più specificamente il bacon .</t>
  </si>
  <si>
    <t>I like pork , and more specifically bacon .</t>
  </si>
  <si>
    <t>J' adore le porc , et plus particulièrement le bacon .</t>
  </si>
  <si>
    <t>Adoro il bacon , e più specificamente i broccoli .</t>
  </si>
  <si>
    <t>I like bacon , and more specifically broccoli .</t>
  </si>
  <si>
    <t>J' adore le bacon , et plus particulièrement le brocoli .</t>
  </si>
  <si>
    <t>Adoro i broccoli , e più specificamente il bacon .</t>
  </si>
  <si>
    <t>I like broccoli , and more specifically bacon .</t>
  </si>
  <si>
    <t>J' adore le brocoli , et plus particulièrement le bacon .</t>
  </si>
  <si>
    <t>Adoro il bacon , e più specificamente le mele .</t>
  </si>
  <si>
    <t>I like bacon , and more specifically apples .</t>
  </si>
  <si>
    <t>J' adore le bacon , et plus particulièrement les pommes .</t>
  </si>
  <si>
    <t>Adoro le mele , e più specificamente il bacon .</t>
  </si>
  <si>
    <t>I like apples , and more specifically bacon .</t>
  </si>
  <si>
    <t>J' adore les pommes , et plus particulièrement le bacon .</t>
  </si>
  <si>
    <t>Adoro il bacon , e più specificamente le carote .</t>
  </si>
  <si>
    <t>I like bacon , and more specifically carrots .</t>
  </si>
  <si>
    <t>J' adore le bacon , et plus particulièrement les carottes .</t>
  </si>
  <si>
    <t>Adoro le carote , e più specificamente il bacon .</t>
  </si>
  <si>
    <t>I like carrots , and more specifically bacon .</t>
  </si>
  <si>
    <t>J' adore les carottes , et plus particulièrement le bacon .</t>
  </si>
  <si>
    <t>Adoro il lardo , e più specificamente il pesce .</t>
  </si>
  <si>
    <t>I like lard , and more specifically fish .</t>
  </si>
  <si>
    <t>J' adore les lardons , et plus particulièrement le poisson .</t>
  </si>
  <si>
    <t>Adoro il pesce , e più specificamente il lardo .</t>
  </si>
  <si>
    <t>I like fish , and more specifically lard .</t>
  </si>
  <si>
    <t>J' adore le poisson , et plus particulièrement les lardons .</t>
  </si>
  <si>
    <t>Adoro il lardo , e più specificamente il maiale .</t>
  </si>
  <si>
    <t>I like lard , and more specifically pork .</t>
  </si>
  <si>
    <t>J' adore les lardons , et plus particulièrement le porc .</t>
  </si>
  <si>
    <t>Adoro il maiale , e più specificamente il lardo .</t>
  </si>
  <si>
    <t>I like pork , and more specifically lard .</t>
  </si>
  <si>
    <t>J' adore le porc , et plus particulièrement les lardons .</t>
  </si>
  <si>
    <t>Adoro il lardo , e più specificamente i broccoli .</t>
  </si>
  <si>
    <t>I like lard , and more specifically broccoli .</t>
  </si>
  <si>
    <t>J' adore les lardons , et plus particulièrement le brocoli .</t>
  </si>
  <si>
    <t>Adoro i broccoli , e più specificamente il lardo .</t>
  </si>
  <si>
    <t>I like broccoli , and more specifically lard .</t>
  </si>
  <si>
    <t>J' adore le brocoli , et plus particulièrement les lardons .</t>
  </si>
  <si>
    <t>Adoro il lardo , e più specificamente le mele .</t>
  </si>
  <si>
    <t>I like lard , and more specifically apples .</t>
  </si>
  <si>
    <t>J' adore les lardons , et plus particulièrement les pommes .</t>
  </si>
  <si>
    <t>Adoro le mele , e più specificamente il lardo .</t>
  </si>
  <si>
    <t>I like apples , and more specifically lard .</t>
  </si>
  <si>
    <t>J' adore les pommes , et plus particulièrement les lardons .</t>
  </si>
  <si>
    <t>Adoro il lardo , e più specificamente le carote .</t>
  </si>
  <si>
    <t>I like lard , and more specifically carrots .</t>
  </si>
  <si>
    <t>J' adore les lardons , et plus particulièrement les carottes .</t>
  </si>
  <si>
    <t>Adoro le carote , e più specificamente il lardo .</t>
  </si>
  <si>
    <t>I like carrots , and more specifically lard .</t>
  </si>
  <si>
    <t>J' adore les carottes , et plus particulièrement les lardons .</t>
  </si>
  <si>
    <t>Adoro il salmone , e più specificamente il pollo .</t>
  </si>
  <si>
    <t>I like salmon , and more specifically chicken .</t>
  </si>
  <si>
    <t>J' adore le saumon , et plus particulièrement le poulet .</t>
  </si>
  <si>
    <t>Adoro il pollo , e più specificamente il salmone .</t>
  </si>
  <si>
    <t>I like chicken , and more specifically salmon .</t>
  </si>
  <si>
    <t>J' adore le poulet , et plus particulièrement le saumon .</t>
  </si>
  <si>
    <t>Adoro il salmone , e più specificamente i prodotti del mare .</t>
  </si>
  <si>
    <t>I like salmon , and more specifically seafood .</t>
  </si>
  <si>
    <t>J' adore le saumon , et plus particulièrement les produits de la mer .</t>
  </si>
  <si>
    <t>Adoro i prodotti del mare , e più specificamente il salmone .</t>
  </si>
  <si>
    <t>I like seafood , and more specifically salmon .</t>
  </si>
  <si>
    <t>J' adore les produits de la mer , et plus particulièrement le saumon .</t>
  </si>
  <si>
    <t>Adoro i prodotti del mare , e più specificamente il pollo .</t>
  </si>
  <si>
    <t>I like seafood , and more specifically chicken .</t>
  </si>
  <si>
    <t>J' adore les produits de la mer , et plus particulièrement le poulet .</t>
  </si>
  <si>
    <t>Adoro il salmone , e più specificamente il vitello .</t>
  </si>
  <si>
    <t>I like salmon , and more specifically veal .</t>
  </si>
  <si>
    <t>J' adore le saumon , et plus particulièrement le veau .</t>
  </si>
  <si>
    <t>Adoro il vitello , e più specificamente il salmone .</t>
  </si>
  <si>
    <t>I like veal , and more specifically salmon .</t>
  </si>
  <si>
    <t>J' adore le veau , et plus particulièrement le saumon .</t>
  </si>
  <si>
    <t>Adoro i prodotti del mare , e più specificamente il vitello .</t>
  </si>
  <si>
    <t>I like seafood , and more specifically veal .</t>
  </si>
  <si>
    <t>J' adore les produits de la mer , et plus particulièrement le veau .</t>
  </si>
  <si>
    <t>Adoro il salmone , e più specificamente il tacchino .</t>
  </si>
  <si>
    <t>I like salmon , and more specifically turkey .</t>
  </si>
  <si>
    <t>J' adore le saumon , et plus particulièrement la dinde .</t>
  </si>
  <si>
    <t>Adoro il tacchino , e più specificamente il salmone .</t>
  </si>
  <si>
    <t>I like turkey , and more specifically salmon .</t>
  </si>
  <si>
    <t>J' adore la dinde , et plus particulièrement le saumon .</t>
  </si>
  <si>
    <t>Adoro i prodotti del mare , e più specificamente il tacchino .</t>
  </si>
  <si>
    <t>I like seafood , and more specifically turkey .</t>
  </si>
  <si>
    <t>J' adore les produits de la mer , et plus particulièrement la dinde .</t>
  </si>
  <si>
    <t>Adoro il salmone , e più specificamente il manzo .</t>
  </si>
  <si>
    <t>I like salmon , and more specifically beef .</t>
  </si>
  <si>
    <t>J' adore le saumon , et plus particulièrement le boeuf .</t>
  </si>
  <si>
    <t>Adoro il manzo , e più specificamente il salmone .</t>
  </si>
  <si>
    <t>I like beef , and more specifically salmon .</t>
  </si>
  <si>
    <t>J' adore le boeuf , et plus particulièrement le saumon .</t>
  </si>
  <si>
    <t>Adoro i prodotti del mare , e più specificamente il manzo .</t>
  </si>
  <si>
    <t>I like seafood , and more specifically beef .</t>
  </si>
  <si>
    <t>J' adore les produits de la mer , et plus particulièrement le boeuf .</t>
  </si>
  <si>
    <t>Adoro i granchi , e più specificamente il pollo .</t>
  </si>
  <si>
    <t>I like crabs , and more specifically chicken .</t>
  </si>
  <si>
    <t>J' adore les crabes , et plus particulièrement le poulet .</t>
  </si>
  <si>
    <t>Adoro il pollo , e più specificamente i granchi .</t>
  </si>
  <si>
    <t>I like chicken , and more specifically crabs .</t>
  </si>
  <si>
    <t>J' adore le poulet , et plus particulièrement les crabes .</t>
  </si>
  <si>
    <t>Adoro i granchi , e più specificamente i prodotti del mare .</t>
  </si>
  <si>
    <t>I like crabs , and more specifically seafood .</t>
  </si>
  <si>
    <t>J' adore les crabes , et plus particulièrement les produits de la mer .</t>
  </si>
  <si>
    <t>Adoro i prodotti del mare , e più specificamente i granchi .</t>
  </si>
  <si>
    <t>I like seafood , and more specifically crabs .</t>
  </si>
  <si>
    <t>J' adore les produits de la mer , et plus particulièrement les crabes .</t>
  </si>
  <si>
    <t>Adoro i granchi , e più specificamente il vitello .</t>
  </si>
  <si>
    <t>I like crabs , and more specifically veal .</t>
  </si>
  <si>
    <t>J' adore les crabes , et plus particulièrement le veau .</t>
  </si>
  <si>
    <t>Adoro il vitello , e più specificamente i granchi .</t>
  </si>
  <si>
    <t>I like veal , and more specifically crabs .</t>
  </si>
  <si>
    <t>J' adore le veau , et plus particulièrement les crabes .</t>
  </si>
  <si>
    <t>Adoro i granchi , e più specificamente il tacchino .</t>
  </si>
  <si>
    <t>I like crabs , and more specifically turkey .</t>
  </si>
  <si>
    <t>J' adore les crabes , et plus particulièrement la dinde .</t>
  </si>
  <si>
    <t>Adoro il tacchino , e più specificamente i granchi .</t>
  </si>
  <si>
    <t>I like turkey , and more specifically crabs .</t>
  </si>
  <si>
    <t>J' adore la dinde , et plus particulièrement les crabes .</t>
  </si>
  <si>
    <t>Adoro i granchi , e più specificamente il manzo .</t>
  </si>
  <si>
    <t>I like crabs , and more specifically beef .</t>
  </si>
  <si>
    <t>J' adore les crabes , et plus particulièrement le boeuf .</t>
  </si>
  <si>
    <t>Adoro il manzo , e più specificamente i granchi .</t>
  </si>
  <si>
    <t>I like beef , and more specifically crabs .</t>
  </si>
  <si>
    <t>J' adore le boeuf , et plus particulièrement les crabes .</t>
  </si>
  <si>
    <t>Adoro le ostriche , e più specificamente il pollo .</t>
  </si>
  <si>
    <t>I like oysters , and more specifically chicken .</t>
  </si>
  <si>
    <t>J' adore les huîtres , et plus particulièrement le poulet .</t>
  </si>
  <si>
    <t>Adoro il pollo , e più specificamente le ostriche .</t>
  </si>
  <si>
    <t>I like chicken , and more specifically oysters .</t>
  </si>
  <si>
    <t>J' adore le poulet , et plus particulièrement les huîtres .</t>
  </si>
  <si>
    <t>Adoro le ostriche , e più specificamente i prodotti del mare .</t>
  </si>
  <si>
    <t>I like oysters , and more specifically seafood .</t>
  </si>
  <si>
    <t>J' adore les huîtres , et plus particulièrement les produits de la mer .</t>
  </si>
  <si>
    <t>Adoro i prodotti del mare , e più specificamente le ostriche .</t>
  </si>
  <si>
    <t>I like seafood , and more specifically oysters .</t>
  </si>
  <si>
    <t>J' adore les produits de la mer , et plus particulièrement les huîtres .</t>
  </si>
  <si>
    <t>Adoro le ostriche , e più specificamente il vitello .</t>
  </si>
  <si>
    <t>I like oysters , and more specifically veal .</t>
  </si>
  <si>
    <t>J' adore les huîtres , et plus particulièrement le veau .</t>
  </si>
  <si>
    <t>Adoro il vitello , e più specificamente le ostriche .</t>
  </si>
  <si>
    <t>I like veal , and more specifically oysters .</t>
  </si>
  <si>
    <t>J' adore le veau , et plus particulièrement les huîtres .</t>
  </si>
  <si>
    <t>Adoro le ostriche , e più specificamente il tacchino .</t>
  </si>
  <si>
    <t>I like oysters , and more specifically turkey .</t>
  </si>
  <si>
    <t>J' adore les huîtres , et plus particulièrement la dinde .</t>
  </si>
  <si>
    <t>Adoro il tacchino , e più specificamente le ostriche .</t>
  </si>
  <si>
    <t>I like turkey , and more specifically oysters .</t>
  </si>
  <si>
    <t>J' adore la dinde , et plus particulièrement les huîtres .</t>
  </si>
  <si>
    <t>Adoro le ostriche , e più specificamente il manzo .</t>
  </si>
  <si>
    <t>I like oysters , and more specifically beef .</t>
  </si>
  <si>
    <t>J' adore les huîtres , et plus particulièrement le boeuf .</t>
  </si>
  <si>
    <t>Adoro il manzo , e più specificamente le ostriche .</t>
  </si>
  <si>
    <t>I like beef , and more specifically oysters .</t>
  </si>
  <si>
    <t>J' adore le boeuf , et plus particulièrement les huîtres .</t>
  </si>
  <si>
    <t>Adoro il caviale , e più specificamente il pollo .</t>
  </si>
  <si>
    <t>I like caviar , and more specifically chicken .</t>
  </si>
  <si>
    <t>J' adore le caviar , et plus particulièrement le poulet .</t>
  </si>
  <si>
    <t>Adoro il pollo , e più specificamente il caviale .</t>
  </si>
  <si>
    <t>I like chicken , and more specifically caviar .</t>
  </si>
  <si>
    <t>J' adore le poulet , et plus particulièrement le caviar .</t>
  </si>
  <si>
    <t>Adoro il caviale , e più specificamente i prodotti del mare .</t>
  </si>
  <si>
    <t>I like caviar , and more specifically seafood .</t>
  </si>
  <si>
    <t>J' adore le caviar , et plus particulièrement les produits de la mer .</t>
  </si>
  <si>
    <t>Adoro i prodotti del mare , e più specificamente il caviale .</t>
  </si>
  <si>
    <t>I like seafood , and more specifically caviar .</t>
  </si>
  <si>
    <t>J' adore les produits de la mer , et plus particulièrement le caviar .</t>
  </si>
  <si>
    <t>Adoro il caviale , e più specificamente il vitello .</t>
  </si>
  <si>
    <t>I like caviar , and more specifically veal .</t>
  </si>
  <si>
    <t>J' adore le caviar , et plus particulièrement le veau .</t>
  </si>
  <si>
    <t>Adoro il vitello , e più specificamente il caviale .</t>
  </si>
  <si>
    <t>I like veal , and more specifically caviar .</t>
  </si>
  <si>
    <t>J' adore le veau , et plus particulièrement le caviar .</t>
  </si>
  <si>
    <t>Adoro il caviale , e più specificamente il tacchino .</t>
  </si>
  <si>
    <t>I like caviar , and more specifically turkey .</t>
  </si>
  <si>
    <t>J' adore le caviar , et plus particulièrement la dinde .</t>
  </si>
  <si>
    <t>Adoro il tacchino , e più specificamente il caviale .</t>
  </si>
  <si>
    <t>I like turkey , and more specifically caviar .</t>
  </si>
  <si>
    <t>J' adore la dinde , et plus particulièrement le caviar .</t>
  </si>
  <si>
    <t>Adoro il caviale , e più specificamente il manzo .</t>
  </si>
  <si>
    <t>I like caviar , and more specifically beef .</t>
  </si>
  <si>
    <t>J' adore le caviar , et plus particulièrement le boeuf .</t>
  </si>
  <si>
    <t>Adoro il manzo , e più specificamente il caviale .</t>
  </si>
  <si>
    <t>I like beef , and more specifically caviar .</t>
  </si>
  <si>
    <t>J' adore le boeuf , et plus particulièrement le caviar .</t>
  </si>
  <si>
    <t>Amo gli husky , eccetto i pappagalli .</t>
  </si>
  <si>
    <t>I like huskies , except parrots .</t>
  </si>
  <si>
    <t>J' aime les huskies , sauf les perrouquets .</t>
  </si>
  <si>
    <t>Amo i thriller , e più specificamente i saggi .</t>
  </si>
  <si>
    <t>I like thrillers , and more specifically essays .</t>
  </si>
  <si>
    <t>J' aime les thrillers , et plus particulièrement les essais .</t>
  </si>
  <si>
    <t>Amo i saggi , e più specificamente i thriller .</t>
  </si>
  <si>
    <t>I like essays , and more specifically thrillers .</t>
  </si>
  <si>
    <t>J' aime les essais , et plus particulièrement les thrillers .</t>
  </si>
  <si>
    <t>Amo i thriller , e più specificamente i film .</t>
  </si>
  <si>
    <t>I like thrillers , and more specifically movies .</t>
  </si>
  <si>
    <t>J' aime les thrillers , et plus particulièrement les films .</t>
  </si>
  <si>
    <t>Amo i film , e più specificamente i thriller .</t>
  </si>
  <si>
    <t>I like movies , and more specifically thrillers .</t>
  </si>
  <si>
    <t>J' aime les films , et plus particulièrement les thrillers .</t>
  </si>
  <si>
    <t>Amo i film , e più specificamente i saggi .</t>
  </si>
  <si>
    <t>I like movies , and more specifically essays .</t>
  </si>
  <si>
    <t>J' aime les films , et plus particulièrement les essais .</t>
  </si>
  <si>
    <t>Amo i thriller , e più specificamente i sussidiari .</t>
  </si>
  <si>
    <t>I like thrillers , and more specifically textbooks .</t>
  </si>
  <si>
    <t>J' aime les thrillers , et plus particulièrement les manuels scolaires .</t>
  </si>
  <si>
    <t>Amo i sussidiari , e più specificamente i thriller .</t>
  </si>
  <si>
    <t>I like textbooks , and more specifically thrillers .</t>
  </si>
  <si>
    <t>J' aime les manuels scolaires , et plus particulièrement les thrillers .</t>
  </si>
  <si>
    <t>Amo i film , e più specificamente i sussidiari .</t>
  </si>
  <si>
    <t>I like movies , and more specifically textbooks .</t>
  </si>
  <si>
    <t>J' aime les films , et plus particulièrement les manuels scolaires .</t>
  </si>
  <si>
    <t>Amo i thriller , e più specificamente i giochi da tavolo .</t>
  </si>
  <si>
    <t>I like thrillers , and more specifically boardgames .</t>
  </si>
  <si>
    <t>J' aime les thrillers , et plus particulièrement les jeux de société .</t>
  </si>
  <si>
    <t>Amo i giochi da tavolo , e più specificamente i thriller .</t>
  </si>
  <si>
    <t>I like boardgames , and more specifically thrillers .</t>
  </si>
  <si>
    <t>J' aime les jeux de société , et plus particulièrement les thrillers .</t>
  </si>
  <si>
    <t>Amo i film , e più specificamente i giochi da tavolo .</t>
  </si>
  <si>
    <t>I like movies , and more specifically boardgames .</t>
  </si>
  <si>
    <t>J' aime les films , et plus particulièrement les jeux de société .</t>
  </si>
  <si>
    <t>Amo i thriller , e più specificamente i videogiochi .</t>
  </si>
  <si>
    <t>I like thrillers , and more specifically videogames .</t>
  </si>
  <si>
    <t>J' aime les thrillers , et plus particulièrement les jeux vidéo .</t>
  </si>
  <si>
    <t>Amo i videogiochi , e più specificamente i thriller .</t>
  </si>
  <si>
    <t>I like videogames , and more specifically thrillers .</t>
  </si>
  <si>
    <t>J' aime les jeux vidéo , et plus particulièrement les thrillers .</t>
  </si>
  <si>
    <t>Amo i film , e più specificamente i videogiochi .</t>
  </si>
  <si>
    <t>I like movies , and more specifically videogames .</t>
  </si>
  <si>
    <t>J' aime les films , et plus particulièrement les jeux vidéo .</t>
  </si>
  <si>
    <t>Amo i western , e più specificamente i saggi .</t>
  </si>
  <si>
    <t>I like westerns , and more specifically essays .</t>
  </si>
  <si>
    <t>J' aime les westerns , et plus particulièrement les essais .</t>
  </si>
  <si>
    <t>Amo i saggi , e più specificamente i western .</t>
  </si>
  <si>
    <t>I like essays , and more specifically westerns .</t>
  </si>
  <si>
    <t>J' aime les essais , et plus particulièrement les westerns .</t>
  </si>
  <si>
    <t>Amo i western , e più specificamente i film .</t>
  </si>
  <si>
    <t>I like westerns , and more specifically movies .</t>
  </si>
  <si>
    <t>J' aime les westerns , et plus particulièrement les films .</t>
  </si>
  <si>
    <t>Amo i film , e più specificamente i western .</t>
  </si>
  <si>
    <t>I like movies , and more specifically westerns .</t>
  </si>
  <si>
    <t>J' aime les films , et plus particulièrement les westerns .</t>
  </si>
  <si>
    <t>Amo i western , e più specificamente i sussidiari .</t>
  </si>
  <si>
    <t>I like westerns , and more specifically textbooks .</t>
  </si>
  <si>
    <t>J' aime les westerns , et plus particulièrement les manuels scolaires .</t>
  </si>
  <si>
    <t>Amo i sussidiari , e più specificamente i western .</t>
  </si>
  <si>
    <t>I like textbooks , and more specifically westerns .</t>
  </si>
  <si>
    <t>J' aime les manuels scolaires , et plus particulièrement les westerns .</t>
  </si>
  <si>
    <t>Amo i western , e più specificamente i giochi da tavolo .</t>
  </si>
  <si>
    <t>I like westerns , and more specifically boardgames .</t>
  </si>
  <si>
    <t>J' aime les westerns , et plus particulièrement les jeux de société .</t>
  </si>
  <si>
    <t>Amo i giochi da tavolo , e più specificamente i western .</t>
  </si>
  <si>
    <t>I like boardgames , and more specifically westerns .</t>
  </si>
  <si>
    <t>J' aime les jeux de société , et plus particulièrement les westerns .</t>
  </si>
  <si>
    <t>Amo i western , e più specificamente i videogiochi .</t>
  </si>
  <si>
    <t>I like westerns , and more specifically videogames .</t>
  </si>
  <si>
    <t>J' aime les westerns , et plus particulièrement les jeux vidéo .</t>
  </si>
  <si>
    <t>Amo i videogiochi , e più specificamente i western .</t>
  </si>
  <si>
    <t>I like videogames , and more specifically westerns .</t>
  </si>
  <si>
    <t>J' aime les jeux vidéo , et plus particulièrement les westerns .</t>
  </si>
  <si>
    <t>Amo le commedie , e più specificamente i saggi .</t>
  </si>
  <si>
    <t>I like comedies , and more specifically essays .</t>
  </si>
  <si>
    <t>J' aime les comédies , et plus particulièrement les essais .</t>
  </si>
  <si>
    <t>Amo i saggi , e più specificamente le commedie .</t>
  </si>
  <si>
    <t>I like essays , and more specifically comedies .</t>
  </si>
  <si>
    <t>J' aime les essais , et plus particulièrement les comédies .</t>
  </si>
  <si>
    <t>Amo le commedie , e più specificamente i film .</t>
  </si>
  <si>
    <t>I like comedies , and more specifically movies .</t>
  </si>
  <si>
    <t>J' aime les comédies , et plus particulièrement les films .</t>
  </si>
  <si>
    <t>Amo i film , e più specificamente le commedie .</t>
  </si>
  <si>
    <t>I like movies , and more specifically comedies .</t>
  </si>
  <si>
    <t>J' aime les films , et plus particulièrement les comédies .</t>
  </si>
  <si>
    <t>Amo le commedie , e più specificamente i sussidiari .</t>
  </si>
  <si>
    <t>I like comedies , and more specifically textbooks .</t>
  </si>
  <si>
    <t>J' aime les comédies , et plus particulièrement les manuels scolaires .</t>
  </si>
  <si>
    <t>Amo i sussidiari , e più specificamente le commedie .</t>
  </si>
  <si>
    <t>I like textbooks , and more specifically comedies .</t>
  </si>
  <si>
    <t>J' aime les manuels scolaires , et plus particulièrement les comédies .</t>
  </si>
  <si>
    <t>Amo le commedie , e più specificamente i giochi da tavolo .</t>
  </si>
  <si>
    <t>I like comedies , and more specifically boardgames .</t>
  </si>
  <si>
    <t>J' aime les comédies , et plus particulièrement les jeux de société .</t>
  </si>
  <si>
    <t>Amo i giochi da tavolo , e più specificamente le commedie .</t>
  </si>
  <si>
    <t>I like boardgames , and more specifically comedies .</t>
  </si>
  <si>
    <t>J' aime les jeux de société , et plus particulièrement les comédies .</t>
  </si>
  <si>
    <t>Amo le commedie , e più specificamente i videogiochi .</t>
  </si>
  <si>
    <t>I like comedies , and more specifically videogames .</t>
  </si>
  <si>
    <t>J' aime les comédies , et plus particulièrement les jeux vidéo .</t>
  </si>
  <si>
    <t>Amo i videogiochi , e più specificamente le commedie .</t>
  </si>
  <si>
    <t>I like videogames , and more specifically comedies .</t>
  </si>
  <si>
    <t>J' aime les jeux vidéo , et plus particulièrement les comédies .</t>
  </si>
  <si>
    <t>Amo i documentari , e più specificamente i saggi .</t>
  </si>
  <si>
    <t>I like documentaries , and more specifically essays .</t>
  </si>
  <si>
    <t>J' aime les documentaires , et plus particulièrement les essais .</t>
  </si>
  <si>
    <t>Amo i saggi , e più specificamente i documentari .</t>
  </si>
  <si>
    <t>I like essays , and more specifically documentaries .</t>
  </si>
  <si>
    <t>J' aime les essais , et plus particulièrement les documentaires .</t>
  </si>
  <si>
    <t>Amo i documentari , e più specificamente i film .</t>
  </si>
  <si>
    <t>I like documentaries , and more specifically movies .</t>
  </si>
  <si>
    <t>J' aime les documentaires , et plus particulièrement les films .</t>
  </si>
  <si>
    <t>Amo i film , e più specificamente i documentari .</t>
  </si>
  <si>
    <t>I like movies , and more specifically documentaries .</t>
  </si>
  <si>
    <t>J' aime les films , et plus particulièrement les documentaires .</t>
  </si>
  <si>
    <t>Amo i documentari , e più specificamente i sussidiari .</t>
  </si>
  <si>
    <t>I like documentaries , and more specifically textbooks .</t>
  </si>
  <si>
    <t>J' aime les documentaires , et plus particulièrement les manuels scolaires .</t>
  </si>
  <si>
    <t>Amo i sussidiari , e più specificamente i documentari .</t>
  </si>
  <si>
    <t>I like textbooks , and more specifically documentaries .</t>
  </si>
  <si>
    <t>J' aime les manuels scolaires , et plus particulièrement les documentaires .</t>
  </si>
  <si>
    <t>Amo i documentari , e più specificamente i giochi da tavolo .</t>
  </si>
  <si>
    <t>I like documentaries , and more specifically boardgames .</t>
  </si>
  <si>
    <t>J' aime les documentaires , et plus particulièrement les jeux de société .</t>
  </si>
  <si>
    <t>Amo i giochi da tavolo , e più specificamente i documentari .</t>
  </si>
  <si>
    <t>I like boardgames , and more specifically documentaries .</t>
  </si>
  <si>
    <t>J' aime les jeux de société , et plus particulièrement les documentaires .</t>
  </si>
  <si>
    <t>Amo i documentari , e più specificamente i videogiochi .</t>
  </si>
  <si>
    <t>I like documentaries , and more specifically videogames .</t>
  </si>
  <si>
    <t>J' aime les documentaires , et plus particulièrement les jeux vidéo .</t>
  </si>
  <si>
    <t>Amo i videogiochi , e più specificamente i documentari .</t>
  </si>
  <si>
    <t>I like videogames , and more specifically documentaries .</t>
  </si>
  <si>
    <t>J' aime les jeux vidéo , et plus particulièrement les documentaires .</t>
  </si>
  <si>
    <t>Amo i braccialetti , e più specificamente le borsette .</t>
  </si>
  <si>
    <t>I like bracelets , and more specifically handbags .</t>
  </si>
  <si>
    <t>J' aime les bracelets , et plus particulièrement les sacs à main .</t>
  </si>
  <si>
    <t>Amo le borsette , e più specificamente i braccialetti .</t>
  </si>
  <si>
    <t>I like handbags , and more specifically bracelets .</t>
  </si>
  <si>
    <t>J' aime les sacs à main , et plus particulièrement les bracelets .</t>
  </si>
  <si>
    <t>Amo i braccialetti , e più specificamente i gioielli .</t>
  </si>
  <si>
    <t>I like bracelets , and more specifically jewelry .</t>
  </si>
  <si>
    <t>J' aime les bracelets , et plus particulièrement les bijoux .</t>
  </si>
  <si>
    <t>Amo i gioielli , e più specificamente i braccialetti .</t>
  </si>
  <si>
    <t>I like jewelry , and more specifically bracelets .</t>
  </si>
  <si>
    <t>J' aime les bijoux , et plus particulièrement les bracelets .</t>
  </si>
  <si>
    <t>Amo i gioielli , e più specificamente le borsette .</t>
  </si>
  <si>
    <t>I like jewelry , and more specifically handbags .</t>
  </si>
  <si>
    <t>J' aime les bijoux , et plus particulièrement les sacs à main .</t>
  </si>
  <si>
    <t>Amo i braccialetti , e più specificamente le sciarpe .</t>
  </si>
  <si>
    <t>I like bracelets , and more specifically scarfs .</t>
  </si>
  <si>
    <t>J' aime les bracelets , et plus particulièrement les écharpes .</t>
  </si>
  <si>
    <t>Amo le sciarpe , e più specificamente i braccialetti .</t>
  </si>
  <si>
    <t>I like scarfs , and more specifically bracelets .</t>
  </si>
  <si>
    <t>J' aime les écharpes , et plus particulièrement les bracelets .</t>
  </si>
  <si>
    <t>Amo i gioielli , e più specificamente le sciarpe .</t>
  </si>
  <si>
    <t>I like jewelry , and more specifically scarfs .</t>
  </si>
  <si>
    <t>J' aime les bijoux , et plus particulièrement les écharpes .</t>
  </si>
  <si>
    <t>Amo i braccialetti , e più specificamente gli occhiali .</t>
  </si>
  <si>
    <t>I like bracelets , and more specifically glasses .</t>
  </si>
  <si>
    <t>J' aime les bracelets , et plus particulièrement les lunettes .</t>
  </si>
  <si>
    <t>Amo gli occhiali , e più specificamente i braccialetti .</t>
  </si>
  <si>
    <t>I like glasses , and more specifically bracelets .</t>
  </si>
  <si>
    <t>J' aime les lunettes , et plus particulièrement les bracelets .</t>
  </si>
  <si>
    <t>Amo i gioielli , e più specificamente gli occhiali .</t>
  </si>
  <si>
    <t>I like jewelry , and more specifically glasses .</t>
  </si>
  <si>
    <t>J' aime les bijoux , et plus particulièrement les lunettes .</t>
  </si>
  <si>
    <t>Amo i braccialetti , e più specificamente le scarpe .</t>
  </si>
  <si>
    <t>I like bracelets , and more specifically shoes .</t>
  </si>
  <si>
    <t>J' aime les bracelets , et plus particulièrement les chaussures .</t>
  </si>
  <si>
    <t>Amo le scarpe , e più specificamente i braccialetti .</t>
  </si>
  <si>
    <t>I like shoes , and more specifically bracelets .</t>
  </si>
  <si>
    <t>J' aime les chaussures , et plus particulièrement les bracelets .</t>
  </si>
  <si>
    <t>Amo i bassotti , eccetto i gatti .</t>
  </si>
  <si>
    <t>I like beagles , except cats .</t>
  </si>
  <si>
    <t>J' aime les beagles , sauf les chats .</t>
  </si>
  <si>
    <t>Amo i gioielli , e più specificamente le scarpe .</t>
  </si>
  <si>
    <t>I like jewelry , and more specifically shoes .</t>
  </si>
  <si>
    <t>J' aime les bijoux , et plus particulièrement les chaussures .</t>
  </si>
  <si>
    <t>Amo le collane , e più specificamente le borsette .</t>
  </si>
  <si>
    <t>I like necklaces , and more specifically handbags .</t>
  </si>
  <si>
    <t>J' aime les colliers , et plus particulièrement les sacs à main .</t>
  </si>
  <si>
    <t>Amo le borsette , e più specificamente le collane .</t>
  </si>
  <si>
    <t>I like handbags , and more specifically necklaces .</t>
  </si>
  <si>
    <t>J' aime les sacs à main , et plus particulièrement les colliers .</t>
  </si>
  <si>
    <t>Amo le collane , e più specificamente i gioielli .</t>
  </si>
  <si>
    <t>I like necklaces , and more specifically jewelry .</t>
  </si>
  <si>
    <t>J' aime les colliers , et plus particulièrement les bijoux .</t>
  </si>
  <si>
    <t>Amo i gioielli , e più specificamente le collane .</t>
  </si>
  <si>
    <t>I like jewelry , and more specifically necklaces .</t>
  </si>
  <si>
    <t>J' aime les bijoux , et plus particulièrement les colliers .</t>
  </si>
  <si>
    <t>Amo le collane , e più specificamente le sciarpe .</t>
  </si>
  <si>
    <t>I like necklaces , and more specifically scarfs .</t>
  </si>
  <si>
    <t>J' aime les colliers , et plus particulièrement les écharpes .</t>
  </si>
  <si>
    <t>Amo le sciarpe , e più specificamente le collane .</t>
  </si>
  <si>
    <t>I like scarfs , and more specifically necklaces .</t>
  </si>
  <si>
    <t>J' aime les écharpes , et plus particulièrement les colliers .</t>
  </si>
  <si>
    <t>Amo le collane , e più specificamente gli occhiali .</t>
  </si>
  <si>
    <t>I like necklaces , and more specifically glasses .</t>
  </si>
  <si>
    <t>J' aime les colliers , et plus particulièrement les lunettes .</t>
  </si>
  <si>
    <t>Amo gli occhiali , e più specificamente le collane .</t>
  </si>
  <si>
    <t>I like glasses , and more specifically necklaces .</t>
  </si>
  <si>
    <t>J' aime les lunettes , et plus particulièrement les colliers .</t>
  </si>
  <si>
    <t>Amo le collane , e più specificamente le scarpe .</t>
  </si>
  <si>
    <t>I like necklaces , and more specifically shoes .</t>
  </si>
  <si>
    <t>J' aime les colliers , et plus particulièrement les chaussures .</t>
  </si>
  <si>
    <t>Amo le scarpe , e più specificamente le collane .</t>
  </si>
  <si>
    <t>I like shoes , and more specifically necklaces .</t>
  </si>
  <si>
    <t>J' aime les chaussures , et plus particulièrement les colliers .</t>
  </si>
  <si>
    <t>Amo gli orecchini , e più specificamente le borsette .</t>
  </si>
  <si>
    <t>I like earrings , and more specifically handbags .</t>
  </si>
  <si>
    <t>J' aime les boucles d' oreille , et plus particulièrement les sacs à main .</t>
  </si>
  <si>
    <t>Amo le borsette , e più specificamente gli orecchini .</t>
  </si>
  <si>
    <t>I like handbags , and more specifically earrings .</t>
  </si>
  <si>
    <t>J' aime les sacs à main , et plus particulièrement les boucles d' oreille .</t>
  </si>
  <si>
    <t>Amo gli orecchini , e più specificamente i gioielli .</t>
  </si>
  <si>
    <t>I like earrings , and more specifically jewelry .</t>
  </si>
  <si>
    <t>J' aime les boucles d' oreille , et plus particulièrement les bijoux .</t>
  </si>
  <si>
    <t>Amo i gioielli , e più specificamente gli orecchini .</t>
  </si>
  <si>
    <t>I like jewelry , and more specifically earrings .</t>
  </si>
  <si>
    <t>J' aime les bijoux , et plus particulièrement les boucles d' oreille .</t>
  </si>
  <si>
    <t>Amo gli orecchini , e più specificamente le sciarpe .</t>
  </si>
  <si>
    <t>I like earrings , and more specifically scarfs .</t>
  </si>
  <si>
    <t>J' aime les boucles d' oreille , et plus particulièrement les écharpes .</t>
  </si>
  <si>
    <t>Amo le sciarpe , e più specificamente gli orecchini .</t>
  </si>
  <si>
    <t>I like scarfs , and more specifically earrings .</t>
  </si>
  <si>
    <t>J' aime les écharpes , et plus particulièrement les boucles d' oreille .</t>
  </si>
  <si>
    <t>Amo gli orecchini , e più specificamente gli occhiali .</t>
  </si>
  <si>
    <t>I like earrings , and more specifically glasses .</t>
  </si>
  <si>
    <t>J' aime les boucles d' oreille , et plus particulièrement les lunettes .</t>
  </si>
  <si>
    <t>Amo gli occhiali , e più specificamente gli orecchini .</t>
  </si>
  <si>
    <t>I like glasses , and more specifically earrings .</t>
  </si>
  <si>
    <t>J' aime les lunettes , et plus particulièrement les boucles d' oreille .</t>
  </si>
  <si>
    <t>Amo gli orecchini , e più specificamente le scarpe .</t>
  </si>
  <si>
    <t>I like earrings , and more specifically shoes .</t>
  </si>
  <si>
    <t>J' aime les boucles d' oreille , et plus particulièrement les chaussures .</t>
  </si>
  <si>
    <t>Amo le scarpe , e più specificamente gli orecchini .</t>
  </si>
  <si>
    <t>I like shoes , and more specifically earrings .</t>
  </si>
  <si>
    <t>J' aime les chaussures , et plus particulièrement les boucles d' oreille .</t>
  </si>
  <si>
    <t>Amo i gatti , eccetto i bassotti .</t>
  </si>
  <si>
    <t>I like cats , except beagles .</t>
  </si>
  <si>
    <t>J' aime les chats , sauf les beagles .</t>
  </si>
  <si>
    <t>Amo gli anelli , e più specificamente le borsette .</t>
  </si>
  <si>
    <t>I like rings , and more specifically handbags .</t>
  </si>
  <si>
    <t>J' aime les bagues , et plus particulièrement les sacs à main .</t>
  </si>
  <si>
    <t>Amo le borsette , e più specificamente gli anelli .</t>
  </si>
  <si>
    <t>I like handbags , and more specifically rings .</t>
  </si>
  <si>
    <t>J' aime les sacs à main , et plus particulièrement les bagues .</t>
  </si>
  <si>
    <t>Amo gli anelli , e più specificamente i gioielli .</t>
  </si>
  <si>
    <t>I like rings , and more specifically jewelry .</t>
  </si>
  <si>
    <t>J' aime les bagues , et plus particulièrement les bijoux .</t>
  </si>
  <si>
    <t>Amo i gioielli , e più specificamente gli anelli .</t>
  </si>
  <si>
    <t>I like jewelry , and more specifically rings .</t>
  </si>
  <si>
    <t>J' aime les bijoux , et plus particulièrement les bagues .</t>
  </si>
  <si>
    <t>Amo gli anelli , e più specificamente le sciarpe .</t>
  </si>
  <si>
    <t>I like rings , and more specifically scarfs .</t>
  </si>
  <si>
    <t>J' aime les bagues , et plus particulièrement les écharpes .</t>
  </si>
  <si>
    <t>Amo le sciarpe , e più specificamente gli anelli .</t>
  </si>
  <si>
    <t>I like scarfs , and more specifically rings .</t>
  </si>
  <si>
    <t>J' aime les écharpes , et plus particulièrement les bagues .</t>
  </si>
  <si>
    <t>Amo gli anelli , e più specificamente gli occhiali .</t>
  </si>
  <si>
    <t>I like rings , and more specifically glasses .</t>
  </si>
  <si>
    <t>J' aime les bagues , et plus particulièrement les lunettes .</t>
  </si>
  <si>
    <t>Amo gli occhiali , e più specificamente gli anelli .</t>
  </si>
  <si>
    <t>I like glasses , and more specifically rings .</t>
  </si>
  <si>
    <t>J' aime les lunettes , et plus particulièrement les bagues .</t>
  </si>
  <si>
    <t>Amo gli anelli , e più specificamente le scarpe .</t>
  </si>
  <si>
    <t>I like rings , and more specifically shoes .</t>
  </si>
  <si>
    <t>J' aime les bagues , et plus particulièrement les chaussures .</t>
  </si>
  <si>
    <t>Amo le scarpe , e più specificamente gli anelli .</t>
  </si>
  <si>
    <t>I like shoes , and more specifically rings .</t>
  </si>
  <si>
    <t>J' aime les chaussures , et plus particulièrement les bagues .</t>
  </si>
  <si>
    <t>Amo i gatti , e più specificamente le giraffe .</t>
  </si>
  <si>
    <t>I like cats , and more specifically giraffes .</t>
  </si>
  <si>
    <t>J' aime les chats , et plus particulièrement les giraffes .</t>
  </si>
  <si>
    <t>Amo le giraffe , e più specificamente i gatti .</t>
  </si>
  <si>
    <t>I like giraffes , and more specifically cats .</t>
  </si>
  <si>
    <t>J' aime les giraffes , et plus particulièrement les chats .</t>
  </si>
  <si>
    <t>Amo i gatti , e più specificamente gli animali domestici .</t>
  </si>
  <si>
    <t>I like cats , and more specifically pets .</t>
  </si>
  <si>
    <t>J' aime les chats , et plus particulièrement les animaux de compagnie .</t>
  </si>
  <si>
    <t>Amo gli animali domestici , e più specificamente i gatti .</t>
  </si>
  <si>
    <t>I like pets , and more specifically cats .</t>
  </si>
  <si>
    <t>J' aime les animaux de compagnie , et plus particulièrement les chats .</t>
  </si>
  <si>
    <t>Amo gli animali domestici , e più specificamente le giraffe .</t>
  </si>
  <si>
    <t>I like pets , and more specifically giraffes .</t>
  </si>
  <si>
    <t>J' aime les animaux de compagnie , et plus particulièrement les giraffes .</t>
  </si>
  <si>
    <t>Amo i gatti , e più specificamente gli orsi .</t>
  </si>
  <si>
    <t>I like cats , and more specifically bears .</t>
  </si>
  <si>
    <t>J' aime les chats , et plus particulièrement les ours .</t>
  </si>
  <si>
    <t>Amo gli orsi , e più specificamente i gatti .</t>
  </si>
  <si>
    <t>I like bears , and more specifically cats .</t>
  </si>
  <si>
    <t>J' aime les ours , et plus particulièrement les chats .</t>
  </si>
  <si>
    <t>Amo gli animali domestici , e più specificamente gli orsi .</t>
  </si>
  <si>
    <t>I like pets , and more specifically bears .</t>
  </si>
  <si>
    <t>J' aime les animaux de compagnie , et plus particulièrement les ours .</t>
  </si>
  <si>
    <t>Amo i gatti , e più specificamente le meduse .</t>
  </si>
  <si>
    <t>I like cats , and more specifically jellyfish .</t>
  </si>
  <si>
    <t>J' aime les chats , et plus particulièrement les méduses .</t>
  </si>
  <si>
    <t>Amo le meduse , e più specificamente i gatti .</t>
  </si>
  <si>
    <t>I like jellyfish , and more specifically cats .</t>
  </si>
  <si>
    <t>J' aime les méduses , et plus particulièrement les chats .</t>
  </si>
  <si>
    <t>Amo gli animali domestici , e più specificamente le meduse .</t>
  </si>
  <si>
    <t>I like pets , and more specifically jellyfish .</t>
  </si>
  <si>
    <t>J' aime les animaux de compagnie , et plus particulièrement les méduses .</t>
  </si>
  <si>
    <t>Amo i gatti , e più specificamente le balene .</t>
  </si>
  <si>
    <t>I like cats , and more specifically whales .</t>
  </si>
  <si>
    <t>J' aime les chats , et plus particulièrement les baleines .</t>
  </si>
  <si>
    <t>Amo le balene , e più specificamente i gatti .</t>
  </si>
  <si>
    <t>I like whales , and more specifically cats .</t>
  </si>
  <si>
    <t>J' aime les baleines , et plus particulièrement les chats .</t>
  </si>
  <si>
    <t>Amo gli animali domestici , e più specificamente le balene .</t>
  </si>
  <si>
    <t>I like pets , and more specifically whales .</t>
  </si>
  <si>
    <t>J' aime les animaux de compagnie , et plus particulièrement les baleines .</t>
  </si>
  <si>
    <t>Amo i cani , e più specificamente le giraffe .</t>
  </si>
  <si>
    <t>I like dogs , and more specifically giraffes .</t>
  </si>
  <si>
    <t>J' aime les chiens , et plus particulièrement les giraffes .</t>
  </si>
  <si>
    <t>Amo le giraffe , e più specificamente i cani .</t>
  </si>
  <si>
    <t>I like giraffes , and more specifically dogs .</t>
  </si>
  <si>
    <t>J' aime les giraffes , et plus particulièrement les chiens .</t>
  </si>
  <si>
    <t>Amo i cani , e più specificamente gli animali domestici .</t>
  </si>
  <si>
    <t>I like dogs , and more specifically pets .</t>
  </si>
  <si>
    <t>J' aime les chiens , et plus particulièrement les animaux de compagnie .</t>
  </si>
  <si>
    <t>Amo gli animali domestici , e più specificamente i cani .</t>
  </si>
  <si>
    <t>I like pets , and more specifically dogs .</t>
  </si>
  <si>
    <t>J' aime les animaux de compagnie , et plus particulièrement les chiens .</t>
  </si>
  <si>
    <t>Amo i cani , e più specificamente gli orsi .</t>
  </si>
  <si>
    <t>I like dogs , and more specifically bears .</t>
  </si>
  <si>
    <t>J' aime les chiens , et plus particulièrement les ours .</t>
  </si>
  <si>
    <t>Amo gli orsi , e più specificamente i cani .</t>
  </si>
  <si>
    <t>I like bears , and more specifically dogs .</t>
  </si>
  <si>
    <t>J' aime les ours , et plus particulièrement les chiens .</t>
  </si>
  <si>
    <t>Amo i cani , e più specificamente le meduse .</t>
  </si>
  <si>
    <t>I like dogs , and more specifically jellyfish .</t>
  </si>
  <si>
    <t>J' aime les chiens , et plus particulièrement les méduses .</t>
  </si>
  <si>
    <t>Amo le meduse , e più specificamente i cani .</t>
  </si>
  <si>
    <t>I like jellyfish , and more specifically dogs .</t>
  </si>
  <si>
    <t>J' aime les méduses , et plus particulièrement les chiens .</t>
  </si>
  <si>
    <t>Amo i cani , e più specificamente le balene .</t>
  </si>
  <si>
    <t>I like dogs , and more specifically whales .</t>
  </si>
  <si>
    <t>J' aime les chiens , et plus particulièrement les baleines .</t>
  </si>
  <si>
    <t>Amo le balene , e più specificamente i cani .</t>
  </si>
  <si>
    <t>I like whales , and more specifically dogs .</t>
  </si>
  <si>
    <t>J' aime les baleines , et plus particulièrement les chiens .</t>
  </si>
  <si>
    <t>Amo i bassotti , eccetto i cani .</t>
  </si>
  <si>
    <t>I like beagles , except dogs .</t>
  </si>
  <si>
    <t>J' aime les beagles , sauf les chiens .</t>
  </si>
  <si>
    <t>Amo i conigli , e più specificamente le giraffe .</t>
  </si>
  <si>
    <t>I like rabbits , and more specifically giraffes .</t>
  </si>
  <si>
    <t>J' aime les lapins , et plus particulièrement les giraffes .</t>
  </si>
  <si>
    <t>Amo le giraffe , e più specificamente i conigli .</t>
  </si>
  <si>
    <t>I like giraffes , and more specifically rabbits .</t>
  </si>
  <si>
    <t>J' aime les giraffes , et plus particulièrement les lapins .</t>
  </si>
  <si>
    <t>Amo i conigli , e più specificamente gli animali domestici .</t>
  </si>
  <si>
    <t>I like rabbits , and more specifically pets .</t>
  </si>
  <si>
    <t>J' aime les lapins , et plus particulièrement les animaux de compagnie .</t>
  </si>
  <si>
    <t>Amo gli animali domestici , e più specificamente i conigli .</t>
  </si>
  <si>
    <t>I like pets , and more specifically rabbits .</t>
  </si>
  <si>
    <t>J' aime les animaux de compagnie , et plus particulièrement les lapins .</t>
  </si>
  <si>
    <t>Amo i conigli , e più specificamente gli orsi .</t>
  </si>
  <si>
    <t>I like rabbits , and more specifically bears .</t>
  </si>
  <si>
    <t>J' aime les lapins , et plus particulièrement les ours .</t>
  </si>
  <si>
    <t>Amo gli orsi , e più specificamente i conigli .</t>
  </si>
  <si>
    <t>I like bears , and more specifically rabbits .</t>
  </si>
  <si>
    <t>J' aime les ours , et plus particulièrement les lapins .</t>
  </si>
  <si>
    <t>Amo i conigli , e più specificamente le meduse .</t>
  </si>
  <si>
    <t>I like rabbits , and more specifically jellyfish .</t>
  </si>
  <si>
    <t>J' aime les lapins , et plus particulièrement les méduses .</t>
  </si>
  <si>
    <t>Amo le meduse , e più specificamente i conigli .</t>
  </si>
  <si>
    <t>I like jellyfish , and more specifically rabbits .</t>
  </si>
  <si>
    <t>J' aime les méduses , et plus particulièrement les lapins .</t>
  </si>
  <si>
    <t>Amo i conigli , e più specificamente le balene .</t>
  </si>
  <si>
    <t>I like rabbits , and more specifically whales .</t>
  </si>
  <si>
    <t>J' aime les lapins , et plus particulièrement les baleines .</t>
  </si>
  <si>
    <t>Amo le balene , e più specificamente i conigli .</t>
  </si>
  <si>
    <t>I like whales , and more specifically rabbits .</t>
  </si>
  <si>
    <t>J' aime les baleines , et plus particulièrement les lapins .</t>
  </si>
  <si>
    <t>Amo i criceti , e più specificamente le giraffe .</t>
  </si>
  <si>
    <t>I like hamsters , and more specifically giraffes .</t>
  </si>
  <si>
    <t>J' aime les hamsters , et plus particulièrement les giraffes .</t>
  </si>
  <si>
    <t>Amo le giraffe , e più specificamente i criceti .</t>
  </si>
  <si>
    <t>I like giraffes , and more specifically hamsters .</t>
  </si>
  <si>
    <t>J' aime les giraffes , et plus particulièrement les hamsters .</t>
  </si>
  <si>
    <t>Amo i criceti , e più specificamente gli animali domestici .</t>
  </si>
  <si>
    <t>I like hamsters , and more specifically pets .</t>
  </si>
  <si>
    <t>J' aime les hamsters , et plus particulièrement les animaux de compagnie .</t>
  </si>
  <si>
    <t>Amo gli animali domestici , e più specificamente i criceti .</t>
  </si>
  <si>
    <t>I like pets , and more specifically hamsters .</t>
  </si>
  <si>
    <t>J' aime les animaux de compagnie , et plus particulièrement les hamsters .</t>
  </si>
  <si>
    <t>Amo i criceti , e più specificamente gli orsi .</t>
  </si>
  <si>
    <t>I like hamsters , and more specifically bears .</t>
  </si>
  <si>
    <t>J' aime les hamsters , et plus particulièrement les ours .</t>
  </si>
  <si>
    <t>Amo gli orsi , e più specificamente i criceti .</t>
  </si>
  <si>
    <t>I like bears , and more specifically hamsters .</t>
  </si>
  <si>
    <t>J' aime les ours , et plus particulièrement les hamsters .</t>
  </si>
  <si>
    <t>Amo i criceti , e più specificamente le meduse .</t>
  </si>
  <si>
    <t>I like hamsters , and more specifically jellyfish .</t>
  </si>
  <si>
    <t>J' aime les hamsters , et plus particulièrement les méduses .</t>
  </si>
  <si>
    <t>Amo le meduse , e più specificamente i criceti .</t>
  </si>
  <si>
    <t>I like jellyfish , and more specifically hamsters .</t>
  </si>
  <si>
    <t>J' aime les méduses , et plus particulièrement les hamsters .</t>
  </si>
  <si>
    <t>Amo i criceti , e più specificamente le balene .</t>
  </si>
  <si>
    <t>I like hamsters , and more specifically whales .</t>
  </si>
  <si>
    <t>J' aime les hamsters , et plus particulièrement les baleines .</t>
  </si>
  <si>
    <t>Amo le balene , e più specificamente i criceti .</t>
  </si>
  <si>
    <t>I like whales , and more specifically hamsters .</t>
  </si>
  <si>
    <t>J' aime les baleines , et plus particulièrement les hamsters .</t>
  </si>
  <si>
    <t>Amo i cani , eccetto i bassotti .</t>
  </si>
  <si>
    <t>I like dogs , except beagles .</t>
  </si>
  <si>
    <t>J' aime les chiens , sauf les beagles .</t>
  </si>
  <si>
    <t>Amo i bassotti , eccetto i criceti .</t>
  </si>
  <si>
    <t>I like beagles , except hamsters .</t>
  </si>
  <si>
    <t>J' aime les beagles , sauf les hamsters .</t>
  </si>
  <si>
    <t>Amo i criceti , eccetto i bassotti .</t>
  </si>
  <si>
    <t>I like hamsters , except beagles .</t>
  </si>
  <si>
    <t>J' aime les hamsters , sauf les beagles .</t>
  </si>
  <si>
    <t>Adoro le querce , eccetto l' erba .</t>
  </si>
  <si>
    <t>I like oaks , except grass .</t>
  </si>
  <si>
    <t>J' adore les chênes , sauf la pelouse .</t>
  </si>
  <si>
    <t>Si fida della vista , e più specificamente delle dicerie .</t>
  </si>
  <si>
    <t>He trusts his sight , and more specifically rumors .</t>
  </si>
  <si>
    <t>Il fait confiance à sa vision , et plus particulièrement les rumeurs .</t>
  </si>
  <si>
    <t>Si fida delle dicerie , e più specificamente della vista .</t>
  </si>
  <si>
    <t>He trusts rumors , and more specifically his sight .</t>
  </si>
  <si>
    <t>Il fait confiance aux rumeurs , et plus particulièrement sa vision .</t>
  </si>
  <si>
    <t>Si fida della vista , e più specificamente dei sensi .</t>
  </si>
  <si>
    <t>He trusts his sight , and more specifically his senses .</t>
  </si>
  <si>
    <t>Il fait confiance à sa vision , et plus particulièrement ses sens .</t>
  </si>
  <si>
    <t>Si fida dei sensi , e più specificamente della vista .</t>
  </si>
  <si>
    <t>He trusts his senses , and more specifically his sight .</t>
  </si>
  <si>
    <t>Il fait confiance à ses sens , et plus particulièrement sa vision .</t>
  </si>
  <si>
    <t>Si fida dei sensi , e più specificamente delle dicerie .</t>
  </si>
  <si>
    <t>He trusts his senses , and more specifically rumors .</t>
  </si>
  <si>
    <t>Il fait confiance à ses sens , et plus particulièrement les rumeurs .</t>
  </si>
  <si>
    <t>Si fida della vista , e più specificamente dei notiziari .</t>
  </si>
  <si>
    <t>He trusts his sight , and more specifically reports .</t>
  </si>
  <si>
    <t>Il fait confiance à sa vision , et plus particulièrement les rapports .</t>
  </si>
  <si>
    <t>Si fida dei notiziari , e più specificamente della vista .</t>
  </si>
  <si>
    <t>He trusts reports , and more specifically his sight .</t>
  </si>
  <si>
    <t>Il fait confiance aux rapports , et plus particulièrement sa vision .</t>
  </si>
  <si>
    <t>Adoro l' erba , eccetto le querce .</t>
  </si>
  <si>
    <t>I like grass , except oaks .</t>
  </si>
  <si>
    <t>J' adore la pelouse , sauf les chênes .</t>
  </si>
  <si>
    <t>Si fida dei sensi , e più specificamente dei notiziari .</t>
  </si>
  <si>
    <t>He trusts his senses , and more specifically reports .</t>
  </si>
  <si>
    <t>Il fait confiance à ses sens , et plus particulièrement les rapports .</t>
  </si>
  <si>
    <t>Si fida della vista , e più specificamente delle ricostruzioni .</t>
  </si>
  <si>
    <t>He trusts his sight , and more specifically reconstructions .</t>
  </si>
  <si>
    <t>Il fait confiance à sa vision , et plus particulièrement les reconstructions .</t>
  </si>
  <si>
    <t>Si fida delle ricostruzioni , e più specificamente della vista .</t>
  </si>
  <si>
    <t>He trusts reconstructions , and more specifically his sight .</t>
  </si>
  <si>
    <t>Il fait confiance aux reconstructions , et plus particulièrement sa vision .</t>
  </si>
  <si>
    <t>Si fida dei sensi , e più specificamente delle ricostruzioni .</t>
  </si>
  <si>
    <t>He trusts his senses , and more specifically reconstructions .</t>
  </si>
  <si>
    <t>Il fait confiance à ses sens , et plus particulièrement les reconstructions .</t>
  </si>
  <si>
    <t>Si fida della vista , e più specificamente delle congetture .</t>
  </si>
  <si>
    <t>He trusts his sight , and more specifically guesses .</t>
  </si>
  <si>
    <t>Il fait confiance à sa vision , et plus particulièrement les suppositions .</t>
  </si>
  <si>
    <t>Si fida delle congetture , e più specificamente della vista .</t>
  </si>
  <si>
    <t>He trusts guesses , and more specifically his sight .</t>
  </si>
  <si>
    <t>Il fait confiance aux suppositions , et plus particulièrement sa vision .</t>
  </si>
  <si>
    <t>Adoro le querce , eccetto gli alberi .</t>
  </si>
  <si>
    <t>I like oaks , except trees .</t>
  </si>
  <si>
    <t>J' adore les chênes , sauf les arbres .</t>
  </si>
  <si>
    <t>Si fida dei sensi , e più specificamente delle congetture .</t>
  </si>
  <si>
    <t>He trusts his senses , and more specifically guesses .</t>
  </si>
  <si>
    <t>Il fait confiance à ses sens , et plus particulièrement les suppositions .</t>
  </si>
  <si>
    <t>Adoro gli alberi , eccetto le querce .</t>
  </si>
  <si>
    <t>I like trees , except oaks .</t>
  </si>
  <si>
    <t>J' adore les arbres , sauf les chênes .</t>
  </si>
  <si>
    <t>Adoro gli alberi , eccetto l' erba .</t>
  </si>
  <si>
    <t>I like trees , except grass .</t>
  </si>
  <si>
    <t>J' adore les arbres , sauf la pelouse .</t>
  </si>
  <si>
    <t>Si fida dell' udito , e più specificamente delle dicerie .</t>
  </si>
  <si>
    <t>He trusts his hearing , and more specifically rumors .</t>
  </si>
  <si>
    <t>Il fait confiance à son odorat , et plus particulièrement les rumeurs .</t>
  </si>
  <si>
    <t>Si fida delle dicerie , e più specificamente dell' udito .</t>
  </si>
  <si>
    <t>He trusts rumors , and more specifically his hearing .</t>
  </si>
  <si>
    <t>Il fait confiance aux rumeurs , et plus particulièrement son odorat .</t>
  </si>
  <si>
    <t>Si fida dell' udito , e più specificamente dei sensi .</t>
  </si>
  <si>
    <t>He trusts his hearing , and more specifically his senses .</t>
  </si>
  <si>
    <t>Il fait confiance à son odorat , et plus particulièrement ses sens .</t>
  </si>
  <si>
    <t>Si fida dei sensi , e più specificamente dell' udito .</t>
  </si>
  <si>
    <t>He trusts his senses , and more specifically his hearing .</t>
  </si>
  <si>
    <t>Il fait confiance à ses sens , et plus particulièrement son odorat .</t>
  </si>
  <si>
    <t>Si fida dell' udito , e più specificamente dei notiziari .</t>
  </si>
  <si>
    <t>He trusts his hearing , and more specifically reports .</t>
  </si>
  <si>
    <t>Il fait confiance à son odorat , et plus particulièrement les rapports .</t>
  </si>
  <si>
    <t>Si fida dei notiziari , e più specificamente dell' udito .</t>
  </si>
  <si>
    <t>He trusts reports , and more specifically his hearing .</t>
  </si>
  <si>
    <t>Il fait confiance aux rapports , et plus particulièrement son odorat .</t>
  </si>
  <si>
    <t>Adoro le querce , eccetto gli animali .</t>
  </si>
  <si>
    <t>I like oaks , except animals .</t>
  </si>
  <si>
    <t>J' adore les chênes , sauf les animaux .</t>
  </si>
  <si>
    <t>Si fida dell' udito , e più specificamente delle ricostruzioni .</t>
  </si>
  <si>
    <t>He trusts his hearing , and more specifically reconstructions .</t>
  </si>
  <si>
    <t>Il fait confiance à son odorat , et plus particulièrement les reconstructions .</t>
  </si>
  <si>
    <t>Si fida delle ricostruzioni , e più specificamente dell' udito .</t>
  </si>
  <si>
    <t>He trusts reconstructions , and more specifically his hearing .</t>
  </si>
  <si>
    <t>Il fait confiance aux reconstructions , et plus particulièrement son odorat .</t>
  </si>
  <si>
    <t>Si fida dell' udito , e più specificamente delle congetture .</t>
  </si>
  <si>
    <t>He trusts his hearing , and more specifically guesses .</t>
  </si>
  <si>
    <t>Il fait confiance à son odorat , et plus particulièrement les suppositions .</t>
  </si>
  <si>
    <t>Si fida delle congetture , e più specificamente dell' udito .</t>
  </si>
  <si>
    <t>He trusts guesses , and more specifically his hearing .</t>
  </si>
  <si>
    <t>Il fait confiance aux suppositions , et plus particulièrement son odorat .</t>
  </si>
  <si>
    <t>Adoro gli animali , eccetto le querce .</t>
  </si>
  <si>
    <t>I like animals , except oaks .</t>
  </si>
  <si>
    <t>J' adore les animaux , sauf les chênes .</t>
  </si>
  <si>
    <t>Si fida del tatto , e più specificamente delle dicerie .</t>
  </si>
  <si>
    <t>He trusts his touch , and more specifically rumors .</t>
  </si>
  <si>
    <t>Il fait confiance à son sens du toucher , et plus particulièrement les rumeurs .</t>
  </si>
  <si>
    <t>Si fida delle dicerie , e più specificamente del tatto .</t>
  </si>
  <si>
    <t>He trusts rumors , and more specifically his touch .</t>
  </si>
  <si>
    <t>Il fait confiance aux rumeurs , et plus particulièrement son sens du toucher .</t>
  </si>
  <si>
    <t>Si fida del tatto , e più specificamente dei sensi .</t>
  </si>
  <si>
    <t>He trusts his touch , and more specifically his senses .</t>
  </si>
  <si>
    <t>Il fait confiance à son sens du toucher , et plus particulièrement ses sens .</t>
  </si>
  <si>
    <t>Si fida dei sensi , e più specificamente del tatto .</t>
  </si>
  <si>
    <t>He trusts his senses , and more specifically his touch .</t>
  </si>
  <si>
    <t>Il fait confiance à ses sens , et plus particulièrement son sens du toucher .</t>
  </si>
  <si>
    <t>Si fida del tatto , e più specificamente dei notiziari .</t>
  </si>
  <si>
    <t>He trusts his touch , and more specifically reports .</t>
  </si>
  <si>
    <t>Il fait confiance à son sens du toucher , et plus particulièrement les rapports .</t>
  </si>
  <si>
    <t>Si fida dei notiziari , e più specificamente del tatto .</t>
  </si>
  <si>
    <t>He trusts reports , and more specifically his touch .</t>
  </si>
  <si>
    <t>Il fait confiance aux rapports , et plus particulièrement son sens du toucher .</t>
  </si>
  <si>
    <t>Adoro gli alberi , eccetto gli animali .</t>
  </si>
  <si>
    <t>I like trees , except animals .</t>
  </si>
  <si>
    <t>J' adore les arbres , sauf les animaux .</t>
  </si>
  <si>
    <t>Si fida del tatto , e più specificamente delle ricostruzioni .</t>
  </si>
  <si>
    <t>He trusts his touch , and more specifically reconstructions .</t>
  </si>
  <si>
    <t>Il fait confiance à son sens du toucher , et plus particulièrement les reconstructions .</t>
  </si>
  <si>
    <t>Si fida delle ricostruzioni , e più specificamente del tatto .</t>
  </si>
  <si>
    <t>He trusts reconstructions , and more specifically his touch .</t>
  </si>
  <si>
    <t>Il fait confiance aux reconstructions , et plus particulièrement son sens du toucher .</t>
  </si>
  <si>
    <t>Si fida del tatto , e più specificamente delle congetture .</t>
  </si>
  <si>
    <t>He trusts his touch , and more specifically guesses .</t>
  </si>
  <si>
    <t>Il fait confiance à son sens du toucher , et plus particulièrement les suppositions .</t>
  </si>
  <si>
    <t>Si fida delle congetture , e più specificamente del tatto .</t>
  </si>
  <si>
    <t>He trusts guesses , and more specifically his touch .</t>
  </si>
  <si>
    <t>Il fait confiance aux suppositions , et plus particulièrement son sens du toucher .</t>
  </si>
  <si>
    <t>Adoro le querce , eccetto i cespugli .</t>
  </si>
  <si>
    <t>I like oaks , except bushes .</t>
  </si>
  <si>
    <t>J' adore les chênes , sauf les buissons .</t>
  </si>
  <si>
    <t>Adoro i cespugli , eccetto le querce .</t>
  </si>
  <si>
    <t>I like bushes , except oaks .</t>
  </si>
  <si>
    <t>J' adore les buissons , sauf les chênes .</t>
  </si>
  <si>
    <t>Si fida del gusto , e più specificamente delle dicerie .</t>
  </si>
  <si>
    <t>He trusts his taste , and more specifically rumors .</t>
  </si>
  <si>
    <t>Il fait confiance à son sens du goût , et plus particulièrement les rumeurs .</t>
  </si>
  <si>
    <t>Si fida delle dicerie , e più specificamente del gusto .</t>
  </si>
  <si>
    <t>He trusts rumors , and more specifically his taste .</t>
  </si>
  <si>
    <t>Il fait confiance aux rumeurs , et plus particulièrement son sens du goût .</t>
  </si>
  <si>
    <t>Si fida del gusto , e più specificamente dei sensi .</t>
  </si>
  <si>
    <t>He trusts his taste , and more specifically his senses .</t>
  </si>
  <si>
    <t>Il fait confiance à son sens du goût , et plus particulièrement ses sens .</t>
  </si>
  <si>
    <t>Si fida dei sensi , e più specificamente del gusto .</t>
  </si>
  <si>
    <t>He trusts his senses , and more specifically his taste .</t>
  </si>
  <si>
    <t>Il fait confiance à ses sens , et plus particulièrement son sens du goût .</t>
  </si>
  <si>
    <t>Si fida del gusto , e più specificamente dei notiziari .</t>
  </si>
  <si>
    <t>He trusts his taste , and more specifically reports .</t>
  </si>
  <si>
    <t>Il fait confiance à son sens du goût , et plus particulièrement les rapports .</t>
  </si>
  <si>
    <t>Si fida dei notiziari , e più specificamente del gusto .</t>
  </si>
  <si>
    <t>He trusts reports , and more specifically his taste .</t>
  </si>
  <si>
    <t>Il fait confiance aux rapports , et plus particulièrement son sens du goût .</t>
  </si>
  <si>
    <t>Si fida del gusto , e più specificamente delle ricostruzioni .</t>
  </si>
  <si>
    <t>He trusts his taste , and more specifically reconstructions .</t>
  </si>
  <si>
    <t>Il fait confiance à son sens du goût , et plus particulièrement les reconstructions .</t>
  </si>
  <si>
    <t>Si fida delle ricostruzioni , e più specificamente del gusto .</t>
  </si>
  <si>
    <t>He trusts reconstructions , and more specifically his taste .</t>
  </si>
  <si>
    <t>Il fait confiance aux reconstructions , et plus particulièrement son sens du goût .</t>
  </si>
  <si>
    <t>Si fida del gusto , e più specificamente delle congetture .</t>
  </si>
  <si>
    <t>He trusts his taste , and more specifically guesses .</t>
  </si>
  <si>
    <t>Il fait confiance à son sens du goût , et plus particulièrement les suppositions .</t>
  </si>
  <si>
    <t>Si fida delle congetture , e più specificamente del gusto .</t>
  </si>
  <si>
    <t>He trusts guesses , and more specifically his taste .</t>
  </si>
  <si>
    <t>Il fait confiance aux suppositions , et plus particulièrement son sens du goût .</t>
  </si>
  <si>
    <t>Adoro gli alberi , eccetto i cespugli .</t>
  </si>
  <si>
    <t>I like trees , except bushes .</t>
  </si>
  <si>
    <t>J' adore les arbres , sauf les buissons .</t>
  </si>
  <si>
    <t>Adoro le querce , eccetto gli arbusti .</t>
  </si>
  <si>
    <t>I like oaks , except shrubs .</t>
  </si>
  <si>
    <t>J' adore les chênes , sauf les arbustes .</t>
  </si>
  <si>
    <t>Adoro gli arbusti , eccetto le querce .</t>
  </si>
  <si>
    <t>I like shrubs , except oaks .</t>
  </si>
  <si>
    <t>J' adore les arbustes , sauf les chênes .</t>
  </si>
  <si>
    <t>Posso capire la gioia , e più specificamente la saggezza .</t>
  </si>
  <si>
    <t>He likes joy , and more specifically wisdom .</t>
  </si>
  <si>
    <t>Je peux comprendre la joie , et plus particulièrement la sagesse .</t>
  </si>
  <si>
    <t>Posso capire la saggezza , e più specificamente la gioia .</t>
  </si>
  <si>
    <t>He likes wisdom , and more specifically joy .</t>
  </si>
  <si>
    <t>Je peux comprendre la sagesse , et plus particulièrement la joie .</t>
  </si>
  <si>
    <t>Posso capire la gioia , e più specificamente le emozioni .</t>
  </si>
  <si>
    <t>He likes joy , and more specifically emotions .</t>
  </si>
  <si>
    <t>Je peux comprendre la joie , et plus particulièrement les émotions .</t>
  </si>
  <si>
    <t>Posso capire le emozioni , e più specificamente la gioia .</t>
  </si>
  <si>
    <t>He likes emotions , and more specifically joy .</t>
  </si>
  <si>
    <t>Je peux comprendre les émotions , et plus particulièrement la joie .</t>
  </si>
  <si>
    <t>Posso capire le emozioni , e più specificamente la saggezza .</t>
  </si>
  <si>
    <t>He likes emotions , and more specifically wisdom .</t>
  </si>
  <si>
    <t>Je peux comprendre les émotions , et plus particulièrement la sagesse .</t>
  </si>
  <si>
    <t>Posso capire la gioia , e più specificamente la stupidità .</t>
  </si>
  <si>
    <t>He likes joy , and more specifically stupidity .</t>
  </si>
  <si>
    <t>Je peux comprendre la joie , et plus particulièrement la stupidité .</t>
  </si>
  <si>
    <t>Posso capire la stupidità , e più specificamente la gioia .</t>
  </si>
  <si>
    <t>He likes stupidity , and more specifically joy .</t>
  </si>
  <si>
    <t>Je peux comprendre la stupidité , et plus particulièrement la joie .</t>
  </si>
  <si>
    <t>Posso capire le emozioni , e più specificamente la stupidità .</t>
  </si>
  <si>
    <t>He likes emotions , and more specifically stupidity .</t>
  </si>
  <si>
    <t>Je peux comprendre les émotions , et plus particulièrement la stupidité .</t>
  </si>
  <si>
    <t>Posso capire la gioia , e più specificamente la logica .</t>
  </si>
  <si>
    <t>He likes joy , and more specifically logic .</t>
  </si>
  <si>
    <t>Je peux comprendre la joie , et plus particulièrement la logique .</t>
  </si>
  <si>
    <t>Posso capire la logica , e più specificamente la gioia .</t>
  </si>
  <si>
    <t>He likes logic , and more specifically joy .</t>
  </si>
  <si>
    <t>Je peux comprendre la logique , et plus particulièrement la joie .</t>
  </si>
  <si>
    <t>Posso capire le emozioni , e più specificamente la logica .</t>
  </si>
  <si>
    <t>He likes emotions , and more specifically logic .</t>
  </si>
  <si>
    <t>Je peux comprendre les émotions , et plus particulièrement la logique .</t>
  </si>
  <si>
    <t>Posso capire la gioia , e più specificamente i calcoli .</t>
  </si>
  <si>
    <t>He likes joy , and more specifically calculations .</t>
  </si>
  <si>
    <t>Je peux comprendre la joie , et plus particulièrement les calculs .</t>
  </si>
  <si>
    <t>Posso capire i calcoli , e più specificamente la gioia .</t>
  </si>
  <si>
    <t>He likes calculations , and more specifically joy .</t>
  </si>
  <si>
    <t>Je peux comprendre les calculs , et plus particulièrement la joie .</t>
  </si>
  <si>
    <t>Amo i pappagalli , eccetto gli husky .</t>
  </si>
  <si>
    <t>I like parrots , except huskies .</t>
  </si>
  <si>
    <t>J' aime les perrouquets , sauf les huskies .</t>
  </si>
  <si>
    <t>Posso capire le emozioni , e più specificamente i calcoli .</t>
  </si>
  <si>
    <t>He likes emotions , and more specifically calculations .</t>
  </si>
  <si>
    <t>Je peux comprendre les émotions , et plus particulièrement les calculs .</t>
  </si>
  <si>
    <t>Adoro gli alberi , eccetto gli arbusti .</t>
  </si>
  <si>
    <t>I like trees , except shrubs .</t>
  </si>
  <si>
    <t>J' adore les arbres , sauf les arbustes .</t>
  </si>
  <si>
    <t>Posso capire la paura , e più specificamente la saggezza .</t>
  </si>
  <si>
    <t>He likes fear , and more specifically wisdom .</t>
  </si>
  <si>
    <t>Je peux comprendre la peur , et plus particulièrement la sagesse .</t>
  </si>
  <si>
    <t>Posso capire la saggezza , e più specificamente la paura .</t>
  </si>
  <si>
    <t>He likes wisdom , and more specifically fear .</t>
  </si>
  <si>
    <t>Je peux comprendre la sagesse , et plus particulièrement la peur .</t>
  </si>
  <si>
    <t>Posso capire la paura , e più specificamente le emozioni .</t>
  </si>
  <si>
    <t>He likes fear , and more specifically emotions .</t>
  </si>
  <si>
    <t>Je peux comprendre la peur , et plus particulièrement les émotions .</t>
  </si>
  <si>
    <t>Posso capire le emozioni , e più specificamente la paura .</t>
  </si>
  <si>
    <t>He likes emotions , and more specifically fear .</t>
  </si>
  <si>
    <t>Je peux comprendre les émotions , et plus particulièrement la peur .</t>
  </si>
  <si>
    <t>Posso capire la paura , e più specificamente la stupidità .</t>
  </si>
  <si>
    <t>He likes fear , and more specifically stupidity .</t>
  </si>
  <si>
    <t>Je peux comprendre la peur , et plus particulièrement la stupidité .</t>
  </si>
  <si>
    <t>Posso capire la stupidità , e più specificamente la paura .</t>
  </si>
  <si>
    <t>He likes stupidity , and more specifically fear .</t>
  </si>
  <si>
    <t>Je peux comprendre la stupidité , et plus particulièrement la peur .</t>
  </si>
  <si>
    <t>Posso capire la paura , e più specificamente la logica .</t>
  </si>
  <si>
    <t>He likes fear , and more specifically logic .</t>
  </si>
  <si>
    <t>Je peux comprendre la peur , et plus particulièrement la logique .</t>
  </si>
  <si>
    <t>Posso capire la logica , e più specificamente la paura .</t>
  </si>
  <si>
    <t>He likes logic , and more specifically fear .</t>
  </si>
  <si>
    <t>Je peux comprendre la logique , et plus particulièrement la peur .</t>
  </si>
  <si>
    <t>Posso capire la paura , e più specificamente i calcoli .</t>
  </si>
  <si>
    <t>He likes fear , and more specifically calculations .</t>
  </si>
  <si>
    <t>Je peux comprendre la peur , et plus particulièrement les calculs .</t>
  </si>
  <si>
    <t>Posso capire i calcoli , e più specificamente la paura .</t>
  </si>
  <si>
    <t>He likes calculations , and more specifically fear .</t>
  </si>
  <si>
    <t>Je peux comprendre les calculs , et plus particulièrement la peur .</t>
  </si>
  <si>
    <t>Posso capire l' amore , e più specificamente la saggezza .</t>
  </si>
  <si>
    <t>He likes love , and more specifically wisdom .</t>
  </si>
  <si>
    <t>Je peux comprendre l' amour , et plus particulièrement la sagesse .</t>
  </si>
  <si>
    <t>Posso capire la saggezza , e più specificamente l' amore .</t>
  </si>
  <si>
    <t>He likes wisdom , and more specifically love .</t>
  </si>
  <si>
    <t>Je peux comprendre la sagesse , et plus particulièrement l' amour .</t>
  </si>
  <si>
    <t>Posso capire l' amore , e più specificamente le emozioni .</t>
  </si>
  <si>
    <t>He likes love , and more specifically emotions .</t>
  </si>
  <si>
    <t>Je peux comprendre l' amour , et plus particulièrement les émotions .</t>
  </si>
  <si>
    <t>Posso capire le emozioni , e più specificamente l' amore .</t>
  </si>
  <si>
    <t>He likes emotions , and more specifically love .</t>
  </si>
  <si>
    <t>Je peux comprendre les émotions , et plus particulièrement l' amour .</t>
  </si>
  <si>
    <t>Posso capire l' amore , e più specificamente la stupidità .</t>
  </si>
  <si>
    <t>He likes love , and more specifically stupidity .</t>
  </si>
  <si>
    <t>Je peux comprendre l' amour , et plus particulièrement la stupidité .</t>
  </si>
  <si>
    <t>Posso capire la stupidità , e più specificamente l' amore .</t>
  </si>
  <si>
    <t>He likes stupidity , and more specifically love .</t>
  </si>
  <si>
    <t>Je peux comprendre la stupidité , et plus particulièrement l' amour .</t>
  </si>
  <si>
    <t>Posso capire l' amore , e più specificamente la logica .</t>
  </si>
  <si>
    <t>He likes love , and more specifically logic .</t>
  </si>
  <si>
    <t>Je peux comprendre l' amour , et plus particulièrement la logique .</t>
  </si>
  <si>
    <t>Posso capire la logica , e più specificamente l' amore .</t>
  </si>
  <si>
    <t>He likes logic , and more specifically love .</t>
  </si>
  <si>
    <t>Je peux comprendre la logique , et plus particulièrement l' amour .</t>
  </si>
  <si>
    <t>Posso capire l' amore , e più specificamente i calcoli .</t>
  </si>
  <si>
    <t>He likes love , and more specifically calculations .</t>
  </si>
  <si>
    <t>Je peux comprendre l' amour , et plus particulièrement les calculs .</t>
  </si>
  <si>
    <t>Posso capire i calcoli , e più specificamente l' amore .</t>
  </si>
  <si>
    <t>He likes calculations , and more specifically love .</t>
  </si>
  <si>
    <t>Je peux comprendre les calculs , et plus particulièrement l' amour .</t>
  </si>
  <si>
    <t>Posso capire la tristezza , e più specificamente la saggezza .</t>
  </si>
  <si>
    <t>He likes sadness , and more specifically wisdom .</t>
  </si>
  <si>
    <t>Je peux comprendre la tristesse , et plus particulièrement la sagesse .</t>
  </si>
  <si>
    <t>Posso capire la saggezza , e più specificamente la tristezza .</t>
  </si>
  <si>
    <t>He likes wisdom , and more specifically sadness .</t>
  </si>
  <si>
    <t>Je peux comprendre la sagesse , et plus particulièrement la tristesse .</t>
  </si>
  <si>
    <t>Posso capire la tristezza , e più specificamente le emozioni .</t>
  </si>
  <si>
    <t>He likes sadness , and more specifically emotions .</t>
  </si>
  <si>
    <t>Je peux comprendre la tristesse , et plus particulièrement les émotions .</t>
  </si>
  <si>
    <t>Posso capire le emozioni , e più specificamente la tristezza .</t>
  </si>
  <si>
    <t>He likes emotions , and more specifically sadness .</t>
  </si>
  <si>
    <t>Je peux comprendre les émotions , et plus particulièrement la tristesse .</t>
  </si>
  <si>
    <t>Posso capire la tristezza , e più specificamente la stupidità .</t>
  </si>
  <si>
    <t>He likes sadness , and more specifically stupidity .</t>
  </si>
  <si>
    <t>Je peux comprendre la tristesse , et plus particulièrement la stupidité .</t>
  </si>
  <si>
    <t>Posso capire la stupidità , e più specificamente la tristezza .</t>
  </si>
  <si>
    <t>He likes stupidity , and more specifically sadness .</t>
  </si>
  <si>
    <t>Je peux comprendre la stupidité , et plus particulièrement la tristesse .</t>
  </si>
  <si>
    <t>Posso capire la tristezza , e più specificamente la logica .</t>
  </si>
  <si>
    <t>He likes sadness , and more specifically logic .</t>
  </si>
  <si>
    <t>Je peux comprendre la tristesse , et plus particulièrement la logique .</t>
  </si>
  <si>
    <t>Posso capire la logica , e più specificamente la tristezza .</t>
  </si>
  <si>
    <t>He likes logic , and more specifically sadness .</t>
  </si>
  <si>
    <t>Je peux comprendre la logique , et plus particulièrement la tristesse .</t>
  </si>
  <si>
    <t>Posso capire la tristezza , e più specificamente i calcoli .</t>
  </si>
  <si>
    <t>He likes sadness , and more specifically calculations .</t>
  </si>
  <si>
    <t>Je peux comprendre la tristesse , et plus particulièrement les calculs .</t>
  </si>
  <si>
    <t>Posso capire i calcoli , e più specificamente la tristezza .</t>
  </si>
  <si>
    <t>He likes calculations , and more specifically sadness .</t>
  </si>
  <si>
    <t>Je peux comprendre les calculs , et plus particulièrement la tristesse .</t>
  </si>
  <si>
    <t>Amo i sussidiari , e più specificamente la musica .</t>
  </si>
  <si>
    <t>I like textbooks , and more specifically music .</t>
  </si>
  <si>
    <t>J' aime les manuels scolaires , et plus particulièrement la musique .</t>
  </si>
  <si>
    <t>Amo la musica , e più specificamente i sussidiari .</t>
  </si>
  <si>
    <t>I like music , and more specifically textbooks .</t>
  </si>
  <si>
    <t>J' aime la musique , et plus particulièrement les manuels scolaires .</t>
  </si>
  <si>
    <t>Amo i sussidiari , e più specificamente i libri .</t>
  </si>
  <si>
    <t>I like textbooks , and more specifically books .</t>
  </si>
  <si>
    <t>J' aime les manuels scolaires , et plus particulièrement les livres .</t>
  </si>
  <si>
    <t>Amo i libri , e più specificamente i sussidiari .</t>
  </si>
  <si>
    <t>I like books , and more specifically textbooks .</t>
  </si>
  <si>
    <t>J' aime les livres , et plus particulièrement les manuels scolaires .</t>
  </si>
  <si>
    <t>Amo i libri , e più specificamente la musica .</t>
  </si>
  <si>
    <t>I like books , and more specifically music .</t>
  </si>
  <si>
    <t>J' aime les livres , et plus particulièrement la musique .</t>
  </si>
  <si>
    <t>Amo i sussidiari , e più specificamente il cinema .</t>
  </si>
  <si>
    <t>I like textbooks , and more specifically films .</t>
  </si>
  <si>
    <t>J' aime les manuels scolaires , et plus particulièrement le cinéma .</t>
  </si>
  <si>
    <t>Amo il cinema , e più specificamente i sussidiari .</t>
  </si>
  <si>
    <t>I like films , and more specifically textbooks .</t>
  </si>
  <si>
    <t>J' aime le cinéma , et plus particulièrement les manuels scolaires .</t>
  </si>
  <si>
    <t>Amo i libri , e più specificamente il cinema .</t>
  </si>
  <si>
    <t>I like books , and more specifically films .</t>
  </si>
  <si>
    <t>J' aime les livres , et plus particulièrement le cinéma .</t>
  </si>
  <si>
    <t>Amo i sussidiari , e più specificamente i cartoni animati .</t>
  </si>
  <si>
    <t>I like textbooks , and more specifically cartoons .</t>
  </si>
  <si>
    <t>J' aime les manuels scolaires , et plus particulièrement les dessins animés .</t>
  </si>
  <si>
    <t>Amo i cartoni animati , e più specificamente i sussidiari .</t>
  </si>
  <si>
    <t>I like cartoons , and more specifically textbooks .</t>
  </si>
  <si>
    <t>J' aime les dessins animés , et plus particulièrement les manuels scolaires .</t>
  </si>
  <si>
    <t>Amo i libri , e più specificamente i cartoni animati .</t>
  </si>
  <si>
    <t>I like books , and more specifically cartoons .</t>
  </si>
  <si>
    <t>J' aime les livres , et plus particulièrement les dessins animés .</t>
  </si>
  <si>
    <t>Amo i sussidiari , e più specificamente i dipinti .</t>
  </si>
  <si>
    <t>I like textbooks , and more specifically paintings .</t>
  </si>
  <si>
    <t>J' aime les manuels scolaires , et plus particulièrement les peintures .</t>
  </si>
  <si>
    <t>Amo i dipinti , e più specificamente i sussidiari .</t>
  </si>
  <si>
    <t>I like paintings , and more specifically textbooks .</t>
  </si>
  <si>
    <t>J' aime les peintures , et plus particulièrement les manuels scolaires .</t>
  </si>
  <si>
    <t>Amo i libri , e più specificamente i dipinti .</t>
  </si>
  <si>
    <t>I like books , and more specifically paintings .</t>
  </si>
  <si>
    <t>J' aime les livres , et plus particulièrement les peintures .</t>
  </si>
  <si>
    <t>Amo i saggi , e più specificamente la musica .</t>
  </si>
  <si>
    <t>I like essays , and more specifically music .</t>
  </si>
  <si>
    <t>J' aime les essais , et plus particulièrement la musique .</t>
  </si>
  <si>
    <t>Amo la musica , e più specificamente i saggi .</t>
  </si>
  <si>
    <t>I like music , and more specifically essays .</t>
  </si>
  <si>
    <t>J' aime la musique , et plus particulièrement les essais .</t>
  </si>
  <si>
    <t>Amo i saggi , e più specificamente i libri .</t>
  </si>
  <si>
    <t>I like essays , and more specifically books .</t>
  </si>
  <si>
    <t>J' aime les essais , et plus particulièrement les livres .</t>
  </si>
  <si>
    <t>Amo i libri , e più specificamente i saggi .</t>
  </si>
  <si>
    <t>I like books , and more specifically essays .</t>
  </si>
  <si>
    <t>J' aime les livres , et plus particulièrement les essais .</t>
  </si>
  <si>
    <t>Amo i saggi , e più specificamente il cinema .</t>
  </si>
  <si>
    <t>I like essays , and more specifically films .</t>
  </si>
  <si>
    <t>J' aime les essais , et plus particulièrement le cinéma .</t>
  </si>
  <si>
    <t>Amo il cinema , e più specificamente i saggi .</t>
  </si>
  <si>
    <t>I like films , and more specifically essays .</t>
  </si>
  <si>
    <t>J' aime le cinéma , et plus particulièrement les essais .</t>
  </si>
  <si>
    <t>Amo i saggi , e più specificamente i cartoni animati .</t>
  </si>
  <si>
    <t>I like essays , and more specifically cartoons .</t>
  </si>
  <si>
    <t>J' aime les essais , et plus particulièrement les dessins animés .</t>
  </si>
  <si>
    <t>Amo i cartoni animati , e più specificamente i saggi .</t>
  </si>
  <si>
    <t>I like cartoons , and more specifically essays .</t>
  </si>
  <si>
    <t>J' aime les dessins animés , et plus particulièrement les essais .</t>
  </si>
  <si>
    <t>Amo i saggi , e più specificamente i dipinti .</t>
  </si>
  <si>
    <t>I like essays , and more specifically paintings .</t>
  </si>
  <si>
    <t>J' aime les essais , et plus particulièrement les peintures .</t>
  </si>
  <si>
    <t>Amo i dipinti , e più specificamente i saggi .</t>
  </si>
  <si>
    <t>I like paintings , and more specifically essays .</t>
  </si>
  <si>
    <t>J' aime les peintures , et plus particulièrement les essais .</t>
  </si>
  <si>
    <t>Amo i bassotti , eccetto i pappagalli .</t>
  </si>
  <si>
    <t>I like beagles , except parrots .</t>
  </si>
  <si>
    <t>J' aime les beagles , sauf les perrouquets .</t>
  </si>
  <si>
    <t>Adoro le betulle , eccetto l' erba .</t>
  </si>
  <si>
    <t>I like birches , except grass .</t>
  </si>
  <si>
    <t>J' adore les bouleaux , sauf la pelouse .</t>
  </si>
  <si>
    <t>Amo i romanzi , e più specificamente la musica .</t>
  </si>
  <si>
    <t>I like novels , and more specifically music .</t>
  </si>
  <si>
    <t>J' aime les romans , et plus particulièrement la musique .</t>
  </si>
  <si>
    <t>Amo la musica , e più specificamente i romanzi .</t>
  </si>
  <si>
    <t>I like music , and more specifically novels .</t>
  </si>
  <si>
    <t>J' aime la musique , et plus particulièrement les romans .</t>
  </si>
  <si>
    <t>Amo i romanzi , e più specificamente i libri .</t>
  </si>
  <si>
    <t>I like novels , and more specifically books .</t>
  </si>
  <si>
    <t>J' aime les romans , et plus particulièrement les livres .</t>
  </si>
  <si>
    <t>Amo i libri , e più specificamente i romanzi .</t>
  </si>
  <si>
    <t>I like books , and more specifically novels .</t>
  </si>
  <si>
    <t>J' aime les livres , et plus particulièrement les romans .</t>
  </si>
  <si>
    <t>Amo i romanzi , e più specificamente il cinema .</t>
  </si>
  <si>
    <t>I like novels , and more specifically films .</t>
  </si>
  <si>
    <t>J' aime les romans , et plus particulièrement le cinéma .</t>
  </si>
  <si>
    <t>Amo il cinema , e più specificamente i romanzi .</t>
  </si>
  <si>
    <t>I like films , and more specifically novels .</t>
  </si>
  <si>
    <t>J' aime le cinéma , et plus particulièrement les romans .</t>
  </si>
  <si>
    <t>Adoro l' erba , eccetto le betulle .</t>
  </si>
  <si>
    <t>I like grass , except birches .</t>
  </si>
  <si>
    <t>J' adore la pelouse , sauf les bouleaux .</t>
  </si>
  <si>
    <t>Amo i romanzi , e più specificamente i cartoni animati .</t>
  </si>
  <si>
    <t>I like novels , and more specifically cartoons .</t>
  </si>
  <si>
    <t>J' aime les romans , et plus particulièrement les dessins animés .</t>
  </si>
  <si>
    <t>Amo i cartoni animati , e più specificamente i romanzi .</t>
  </si>
  <si>
    <t>I like cartoons , and more specifically novels .</t>
  </si>
  <si>
    <t>J' aime les dessins animés , et plus particulièrement les romans .</t>
  </si>
  <si>
    <t>Amo i romanzi , e più specificamente i dipinti .</t>
  </si>
  <si>
    <t>I like novels , and more specifically paintings .</t>
  </si>
  <si>
    <t>J' aime les romans , et plus particulièrement les peintures .</t>
  </si>
  <si>
    <t>Amo i dipinti , e più specificamente i romanzi .</t>
  </si>
  <si>
    <t>I like paintings , and more specifically novels .</t>
  </si>
  <si>
    <t>J' aime les peintures , et plus particulièrement les romans .</t>
  </si>
  <si>
    <t>Adoro le betulle , eccetto gli alberi .</t>
  </si>
  <si>
    <t>I like birches , except trees .</t>
  </si>
  <si>
    <t>J' adore les bouleaux , sauf les arbres .</t>
  </si>
  <si>
    <t>Adoro gli alberi , eccetto le betulle .</t>
  </si>
  <si>
    <t>I like trees , except birches .</t>
  </si>
  <si>
    <t>J' adore les arbres , sauf les bouleaux .</t>
  </si>
  <si>
    <t>Amo i manuali , e più specificamente la musica .</t>
  </si>
  <si>
    <t>I like handbooks , and more specifically music .</t>
  </si>
  <si>
    <t>J' aime les manuels , et plus particulièrement la musique .</t>
  </si>
  <si>
    <t>Amo la musica , e più specificamente i manuali .</t>
  </si>
  <si>
    <t>I like music , and more specifically handbooks .</t>
  </si>
  <si>
    <t>J' aime la musique , et plus particulièrement les manuels .</t>
  </si>
  <si>
    <t>Amo i manuali , e più specificamente i libri .</t>
  </si>
  <si>
    <t>I like handbooks , and more specifically books .</t>
  </si>
  <si>
    <t>J' aime les manuels , et plus particulièrement les livres .</t>
  </si>
  <si>
    <t>Amo i libri , e più specificamente i manuali .</t>
  </si>
  <si>
    <t>I like books , and more specifically handbooks .</t>
  </si>
  <si>
    <t>J' aime les livres , et plus particulièrement les manuels .</t>
  </si>
  <si>
    <t>Amo i manuali , e più specificamente il cinema .</t>
  </si>
  <si>
    <t>I like handbooks , and more specifically films .</t>
  </si>
  <si>
    <t>J' aime les manuels , et plus particulièrement le cinéma .</t>
  </si>
  <si>
    <t>Amo il cinema , e più specificamente i manuali .</t>
  </si>
  <si>
    <t>I like films , and more specifically handbooks .</t>
  </si>
  <si>
    <t>J' aime le cinéma , et plus particulièrement les manuels .</t>
  </si>
  <si>
    <t>Adoro le betulle , eccetto gli animali .</t>
  </si>
  <si>
    <t>I like birches , except animals .</t>
  </si>
  <si>
    <t>J' adore les bouleaux , sauf les animaux .</t>
  </si>
  <si>
    <t>Amo i manuali , e più specificamente i cartoni animati .</t>
  </si>
  <si>
    <t>I like handbooks , and more specifically cartoons .</t>
  </si>
  <si>
    <t>J' aime les manuels , et plus particulièrement les dessins animés .</t>
  </si>
  <si>
    <t>Amo i cartoni animati , e più specificamente i manuali .</t>
  </si>
  <si>
    <t>I like cartoons , and more specifically handbooks .</t>
  </si>
  <si>
    <t>J' aime les dessins animés , et plus particulièrement les manuels .</t>
  </si>
  <si>
    <t>Amo i manuali , e più specificamente i dipinti .</t>
  </si>
  <si>
    <t>I like handbooks , and more specifically paintings .</t>
  </si>
  <si>
    <t>J' aime les manuels , et plus particulièrement les peintures .</t>
  </si>
  <si>
    <t>Amo i dipinti , e più specificamente i manuali .</t>
  </si>
  <si>
    <t>I like paintings , and more specifically handbooks .</t>
  </si>
  <si>
    <t>J' aime les peintures , et plus particulièrement les manuels .</t>
  </si>
  <si>
    <t>Adoro gli animali , eccetto le betulle .</t>
  </si>
  <si>
    <t>I like animals , except birches .</t>
  </si>
  <si>
    <t>J' adore les animaux , sauf les bouleaux .</t>
  </si>
  <si>
    <t>Amo i pappagalli , eccetto i bassotti .</t>
  </si>
  <si>
    <t>I like parrots , except beagles .</t>
  </si>
  <si>
    <t>J' aime les perrouquets , sauf les beagles .</t>
  </si>
  <si>
    <t>Ho incontrato gli impiegati , e più specificamente le fabbriche .</t>
  </si>
  <si>
    <t>I met clerks , and more specifically factories .</t>
  </si>
  <si>
    <t>J' ai rencontré les greffiers , et plus particulièrement les usines .</t>
  </si>
  <si>
    <t>Ho incontrato le fabbriche , e più specificamente gli impiegati .</t>
  </si>
  <si>
    <t>I met factories , and more specifically clerks .</t>
  </si>
  <si>
    <t>J' ai rencontré les usines , et plus particulièrement les greffiers .</t>
  </si>
  <si>
    <t>Ho incontrato gli impiegati , e più specificamente i lavoratori .</t>
  </si>
  <si>
    <t>I met clerks , and more specifically workers .</t>
  </si>
  <si>
    <t>J' ai rencontré les greffiers , et plus particulièrement les travailleurs .</t>
  </si>
  <si>
    <t>Ho incontrato i lavoratori , e più specificamente gli impiegati .</t>
  </si>
  <si>
    <t>I met workers , and more specifically clerks .</t>
  </si>
  <si>
    <t>J' ai rencontré les travailleurs , et plus particulièrement les greffiers .</t>
  </si>
  <si>
    <t>Ho incontrato i lavoratori , e più specificamente le fabbriche .</t>
  </si>
  <si>
    <t>I met workers , and more specifically factories .</t>
  </si>
  <si>
    <t>J' ai rencontré les travailleurs , et plus particulièrement les usines .</t>
  </si>
  <si>
    <t>Ho incontrato gli impiegati , e più specificamente i ristoranti .</t>
  </si>
  <si>
    <t>I met clerks , and more specifically restaurants .</t>
  </si>
  <si>
    <t>J' ai rencontré les greffiers , et plus particulièrement les restaurants .</t>
  </si>
  <si>
    <t>Ho incontrato i ristoranti , e più specificamente gli impiegati .</t>
  </si>
  <si>
    <t>I met restaurants , and more specifically clerks .</t>
  </si>
  <si>
    <t>J' ai rencontré les restaurants , et plus particulièrement les greffiers .</t>
  </si>
  <si>
    <t>Ho incontrato i lavoratori , e più specificamente i ristoranti .</t>
  </si>
  <si>
    <t>I met workers , and more specifically restaurants .</t>
  </si>
  <si>
    <t>J' ai rencontré les travailleurs , et plus particulièrement les restaurants .</t>
  </si>
  <si>
    <t>Ho incontrato gli impiegati , e più specificamente le scuole .</t>
  </si>
  <si>
    <t>I met clerks , and more specifically schools .</t>
  </si>
  <si>
    <t>J' ai rencontré les greffiers , et plus particulièrement les écoles .</t>
  </si>
  <si>
    <t>Ho incontrato le scuole , e più specificamente gli impiegati .</t>
  </si>
  <si>
    <t>I met schools , and more specifically clerks .</t>
  </si>
  <si>
    <t>J' ai rencontré les écoles , et plus particulièrement les greffiers .</t>
  </si>
  <si>
    <t>Ho incontrato i lavoratori , e più specificamente le scuole .</t>
  </si>
  <si>
    <t>I met workers , and more specifically schools .</t>
  </si>
  <si>
    <t>J' ai rencontré les travailleurs , et plus particulièrement les écoles .</t>
  </si>
  <si>
    <t>Ho incontrato gli impiegati , e più specificamente gli uffici .</t>
  </si>
  <si>
    <t>I met clerks , and more specifically offices .</t>
  </si>
  <si>
    <t>J' ai rencontré les greffiers , et plus particulièrement les bureaux .</t>
  </si>
  <si>
    <t>Ho incontrato gli uffici , e più specificamente gli impiegati .</t>
  </si>
  <si>
    <t>I met offices , and more specifically clerks .</t>
  </si>
  <si>
    <t>J' ai rencontré les bureaux , et plus particulièrement les greffiers .</t>
  </si>
  <si>
    <t>Adoro le betulle , eccetto i cespugli .</t>
  </si>
  <si>
    <t>I like birches , except bushes .</t>
  </si>
  <si>
    <t>J' adore les bouleaux , sauf les buissons .</t>
  </si>
  <si>
    <t>Ho incontrato i lavoratori , e più specificamente gli uffici .</t>
  </si>
  <si>
    <t>I met workers , and more specifically offices .</t>
  </si>
  <si>
    <t>J' ai rencontré les travailleurs , et plus particulièrement les bureaux .</t>
  </si>
  <si>
    <t>Adoro i cespugli , eccetto le betulle .</t>
  </si>
  <si>
    <t>I like bushes , except birches .</t>
  </si>
  <si>
    <t>J' adore les buissons , sauf les bouleaux .</t>
  </si>
  <si>
    <t>Ho incontrato i camerieri , e più specificamente le fabbriche .</t>
  </si>
  <si>
    <t>I met waiters , and more specifically factories .</t>
  </si>
  <si>
    <t>J' ai rencontré les serveurs , et plus particulièrement les usines .</t>
  </si>
  <si>
    <t>Ho incontrato le fabbriche , e più specificamente i camerieri .</t>
  </si>
  <si>
    <t>I met factories , and more specifically waiters .</t>
  </si>
  <si>
    <t>J' ai rencontré les usines , et plus particulièrement les serveurs .</t>
  </si>
  <si>
    <t>Ho incontrato i camerieri , e più specificamente i lavoratori .</t>
  </si>
  <si>
    <t>I met waiters , and more specifically workers .</t>
  </si>
  <si>
    <t>J' ai rencontré les serveurs , et plus particulièrement les travailleurs .</t>
  </si>
  <si>
    <t>Ho incontrato i lavoratori , e più specificamente i camerieri .</t>
  </si>
  <si>
    <t>I met workers , and more specifically waiters .</t>
  </si>
  <si>
    <t>J' ai rencontré les travailleurs , et plus particulièrement les serveurs .</t>
  </si>
  <si>
    <t>Ho incontrato i camerieri , e più specificamente i ristoranti .</t>
  </si>
  <si>
    <t>I met waiters , and more specifically restaurants .</t>
  </si>
  <si>
    <t>J' ai rencontré les serveurs , et plus particulièrement les restaurants .</t>
  </si>
  <si>
    <t>Ho incontrato i ristoranti , e più specificamente i camerieri .</t>
  </si>
  <si>
    <t>I met restaurants , and more specifically waiters .</t>
  </si>
  <si>
    <t>J' ai rencontré les restaurants , et plus particulièrement les serveurs .</t>
  </si>
  <si>
    <t>Ho incontrato i camerieri , e più specificamente le scuole .</t>
  </si>
  <si>
    <t>I met waiters , and more specifically schools .</t>
  </si>
  <si>
    <t>J' ai rencontré les serveurs , et plus particulièrement les écoles .</t>
  </si>
  <si>
    <t>Ho incontrato le scuole , e più specificamente i camerieri .</t>
  </si>
  <si>
    <t>I met schools , and more specifically waiters .</t>
  </si>
  <si>
    <t>J' ai rencontré les écoles , et plus particulièrement les serveurs .</t>
  </si>
  <si>
    <t>Ho incontrato i camerieri , e più specificamente gli uffici .</t>
  </si>
  <si>
    <t>I met waiters , and more specifically offices .</t>
  </si>
  <si>
    <t>J' ai rencontré les serveurs , et plus particulièrement les bureaux .</t>
  </si>
  <si>
    <t>Ho incontrato gli uffici , e più specificamente i camerieri .</t>
  </si>
  <si>
    <t>I met offices , and more specifically waiters .</t>
  </si>
  <si>
    <t>J' ai rencontré les bureaux , et plus particulièrement les serveurs .</t>
  </si>
  <si>
    <t>Adoro le betulle , eccetto gli arbusti .</t>
  </si>
  <si>
    <t>I like birches , except shrubs .</t>
  </si>
  <si>
    <t>J' adore les bouleaux , sauf les arbustes .</t>
  </si>
  <si>
    <t>Adoro gli arbusti , eccetto le betulle .</t>
  </si>
  <si>
    <t>I like shrubs , except birches .</t>
  </si>
  <si>
    <t>J' adore les arbustes , sauf les bouleaux .</t>
  </si>
  <si>
    <t>Ho incontrato i guardiani , e più specificamente le fabbriche .</t>
  </si>
  <si>
    <t>I met caretakers , and more specifically factories .</t>
  </si>
  <si>
    <t>J' ai rencontré les gardiens , et plus particulièrement les usines .</t>
  </si>
  <si>
    <t>Ho incontrato le fabbriche , e più specificamente i guardiani .</t>
  </si>
  <si>
    <t>I met factories , and more specifically caretakers .</t>
  </si>
  <si>
    <t>J' ai rencontré les usines , et plus particulièrement les gardiens .</t>
  </si>
  <si>
    <t>Ho incontrato i guardiani , e più specificamente i lavoratori .</t>
  </si>
  <si>
    <t>I met caretakers , and more specifically workers .</t>
  </si>
  <si>
    <t>J' ai rencontré les gardiens , et plus particulièrement les travailleurs .</t>
  </si>
  <si>
    <t>Ho incontrato i lavoratori , e più specificamente i guardiani .</t>
  </si>
  <si>
    <t>I met workers , and more specifically caretakers .</t>
  </si>
  <si>
    <t>J' ai rencontré les travailleurs , et plus particulièrement les gardiens .</t>
  </si>
  <si>
    <t>Ho incontrato i guardiani , e più specificamente i ristoranti .</t>
  </si>
  <si>
    <t>I met caretakers , and more specifically restaurants .</t>
  </si>
  <si>
    <t>J' ai rencontré les gardiens , et plus particulièrement les restaurants .</t>
  </si>
  <si>
    <t>Ho incontrato i ristoranti , e più specificamente i guardiani .</t>
  </si>
  <si>
    <t>I met restaurants , and more specifically caretakers .</t>
  </si>
  <si>
    <t>J' ai rencontré les restaurants , et plus particulièrement les gardiens .</t>
  </si>
  <si>
    <t>Ho incontrato i guardiani , e più specificamente le scuole .</t>
  </si>
  <si>
    <t>I met caretakers , and more specifically schools .</t>
  </si>
  <si>
    <t>J' ai rencontré les gardiens , et plus particulièrement les écoles .</t>
  </si>
  <si>
    <t>Ho incontrato le scuole , e più specificamente i guardiani .</t>
  </si>
  <si>
    <t>I met schools , and more specifically caretakers .</t>
  </si>
  <si>
    <t>J' ai rencontré les écoles , et plus particulièrement les gardiens .</t>
  </si>
  <si>
    <t>Ho incontrato i guardiani , e più specificamente gli uffici .</t>
  </si>
  <si>
    <t>I met caretakers , and more specifically offices .</t>
  </si>
  <si>
    <t>J' ai rencontré les gardiens , et plus particulièrement les bureaux .</t>
  </si>
  <si>
    <t>Ho incontrato gli uffici , e più specificamente i guardiani .</t>
  </si>
  <si>
    <t>I met offices , and more specifically caretakers .</t>
  </si>
  <si>
    <t>J' ai rencontré les bureaux , et plus particulièrement les gardiens .</t>
  </si>
  <si>
    <t>Ho incontrato i professori , e più specificamente le fabbriche .</t>
  </si>
  <si>
    <t>I met professors , and more specifically factories .</t>
  </si>
  <si>
    <t>J' ai rencontré les professeurs , et plus particulièrement les usines .</t>
  </si>
  <si>
    <t>Ho incontrato le fabbriche , e più specificamente i professori .</t>
  </si>
  <si>
    <t>I met factories , and more specifically professors .</t>
  </si>
  <si>
    <t>J' ai rencontré les usines , et plus particulièrement les professeurs .</t>
  </si>
  <si>
    <t>Ho incontrato i professori , e più specificamente i lavoratori .</t>
  </si>
  <si>
    <t>I met professors , and more specifically workers .</t>
  </si>
  <si>
    <t>J' ai rencontré les professeurs , et plus particulièrement les travailleurs .</t>
  </si>
  <si>
    <t>Ho incontrato i lavoratori , e più specificamente i professori .</t>
  </si>
  <si>
    <t>I met workers , and more specifically professors .</t>
  </si>
  <si>
    <t>J' ai rencontré les travailleurs , et plus particulièrement les professeurs .</t>
  </si>
  <si>
    <t>Ho incontrato i professori , e più specificamente i ristoranti .</t>
  </si>
  <si>
    <t>I met professors , and more specifically restaurants .</t>
  </si>
  <si>
    <t>J' ai rencontré les professeurs , et plus particulièrement les restaurants .</t>
  </si>
  <si>
    <t>Ho incontrato i ristoranti , e più specificamente i professori .</t>
  </si>
  <si>
    <t>I met restaurants , and more specifically professors .</t>
  </si>
  <si>
    <t>J' ai rencontré les restaurants , et plus particulièrement les professeurs .</t>
  </si>
  <si>
    <t>Ho incontrato i professori , e più specificamente le scuole .</t>
  </si>
  <si>
    <t>I met professors , and more specifically schools .</t>
  </si>
  <si>
    <t>J' ai rencontré les professeurs , et plus particulièrement les écoles .</t>
  </si>
  <si>
    <t>Ho incontrato le scuole , e più specificamente i professori .</t>
  </si>
  <si>
    <t>I met schools , and more specifically professors .</t>
  </si>
  <si>
    <t>J' ai rencontré les écoles , et plus particulièrement les professeurs .</t>
  </si>
  <si>
    <t>Ho incontrato i professori , e più specificamente gli uffici .</t>
  </si>
  <si>
    <t>I met professors , and more specifically offices .</t>
  </si>
  <si>
    <t>J' ai rencontré les professeurs , et plus particulièrement les bureaux .</t>
  </si>
  <si>
    <t>Ho incontrato gli uffici , e più specificamente i professori .</t>
  </si>
  <si>
    <t>I met offices , and more specifically professors .</t>
  </si>
  <si>
    <t>J' ai rencontré les bureaux , et plus particulièrement les professeurs .</t>
  </si>
  <si>
    <t>Ho incontrato i biologi , e più specificamente gli impiegati .</t>
  </si>
  <si>
    <t>I met biologists , and more specifically clerks .</t>
  </si>
  <si>
    <t>J' ai rencontré les biologistes , et plus particulièrement les greffiers .</t>
  </si>
  <si>
    <t>Ho incontrato gli impiegati , e più specificamente i biologi .</t>
  </si>
  <si>
    <t>I met clerks , and more specifically biologists .</t>
  </si>
  <si>
    <t>J' ai rencontré les greffiers , et plus particulièrement les biologistes .</t>
  </si>
  <si>
    <t>Ho incontrato i biologi , e più specificamente gli scienziati .</t>
  </si>
  <si>
    <t>I met biologists , and more specifically scientists .</t>
  </si>
  <si>
    <t>J' ai rencontré les biologistes , et plus particulièrement les scientifiques .</t>
  </si>
  <si>
    <t>Ho incontrato gli scienziati , e più specificamente i biologi .</t>
  </si>
  <si>
    <t>I met scientists , and more specifically biologists .</t>
  </si>
  <si>
    <t>J' ai rencontré les scientifiques , et plus particulièrement les biologistes .</t>
  </si>
  <si>
    <t>Ho incontrato gli scienziati , e più specificamente gli impiegati .</t>
  </si>
  <si>
    <t>I met scientists , and more specifically clerks .</t>
  </si>
  <si>
    <t>J' ai rencontré les scientifiques , et plus particulièrement les greffiers .</t>
  </si>
  <si>
    <t>Ho incontrato i biologi , e più specificamente i camerieri .</t>
  </si>
  <si>
    <t>I met biologists , and more specifically waiters .</t>
  </si>
  <si>
    <t>J' ai rencontré les biologistes , et plus particulièrement les serveurs .</t>
  </si>
  <si>
    <t>Ho incontrato i camerieri , e più specificamente i biologi .</t>
  </si>
  <si>
    <t>I met waiters , and more specifically biologists .</t>
  </si>
  <si>
    <t>J' ai rencontré les serveurs , et plus particulièrement les biologistes .</t>
  </si>
  <si>
    <t>Ho incontrato gli scienziati , e più specificamente i camerieri .</t>
  </si>
  <si>
    <t>I met scientists , and more specifically waiters .</t>
  </si>
  <si>
    <t>J' ai rencontré les scientifiques , et plus particulièrement les serveurs .</t>
  </si>
  <si>
    <t>Ho incontrato i biologi , e più specificamente i guardiani .</t>
  </si>
  <si>
    <t>I met biologists , and more specifically caretakers .</t>
  </si>
  <si>
    <t>J' ai rencontré les biologistes , et plus particulièrement les gardiens .</t>
  </si>
  <si>
    <t>Ho incontrato i guardiani , e più specificamente i biologi .</t>
  </si>
  <si>
    <t>I met caretakers , and more specifically biologists .</t>
  </si>
  <si>
    <t>J' ai rencontré les gardiens , et plus particulièrement les biologistes .</t>
  </si>
  <si>
    <t>Ho incontrato gli scienziati , e più specificamente i guardiani .</t>
  </si>
  <si>
    <t>I met scientists , and more specifically caretakers .</t>
  </si>
  <si>
    <t>J' ai rencontré les scientifiques , et plus particulièrement les gardiens .</t>
  </si>
  <si>
    <t>Ho incontrato i biologi , e più specificamente i portieri .</t>
  </si>
  <si>
    <t>I met biologists , and more specifically janitors .</t>
  </si>
  <si>
    <t>J' ai rencontré les biologistes , et plus particulièrement les concierges .</t>
  </si>
  <si>
    <t>Ho incontrato i portieri , e più specificamente i biologi .</t>
  </si>
  <si>
    <t>I met janitors , and more specifically biologists .</t>
  </si>
  <si>
    <t>J' ai rencontré les concierges , et plus particulièrement les biologistes .</t>
  </si>
  <si>
    <t>Ho incontrato gli scienziati , e più specificamente i portieri .</t>
  </si>
  <si>
    <t>I met scientists , and more specifically janitors .</t>
  </si>
  <si>
    <t>J' ai rencontré les scientifiques , et plus particulièrement les concierges .</t>
  </si>
  <si>
    <t>Ho incontrato i genetisti , e più specificamente gli impiegati .</t>
  </si>
  <si>
    <t>I met geneticists , and more specifically clerks .</t>
  </si>
  <si>
    <t>J' ai rencontré les généticiens , et plus particulièrement les greffiers .</t>
  </si>
  <si>
    <t>Ho incontrato gli impiegati , e più specificamente i genetisti .</t>
  </si>
  <si>
    <t>I met clerks , and more specifically geneticists .</t>
  </si>
  <si>
    <t>J' ai rencontré les greffiers , et plus particulièrement les généticiens .</t>
  </si>
  <si>
    <t>Ho incontrato i genetisti , e più specificamente gli scienziati .</t>
  </si>
  <si>
    <t>I met geneticists , and more specifically scientists .</t>
  </si>
  <si>
    <t>J' ai rencontré les généticiens , et plus particulièrement les scientifiques .</t>
  </si>
  <si>
    <t>Ho incontrato gli scienziati , e più specificamente i genetisti .</t>
  </si>
  <si>
    <t>I met scientists , and more specifically geneticists .</t>
  </si>
  <si>
    <t>J' ai rencontré les scientifiques , et plus particulièrement les généticiens .</t>
  </si>
  <si>
    <t>Ho incontrato i genetisti , e più specificamente i camerieri .</t>
  </si>
  <si>
    <t>I met geneticists , and more specifically waiters .</t>
  </si>
  <si>
    <t>J' ai rencontré les généticiens , et plus particulièrement les serveurs .</t>
  </si>
  <si>
    <t>Ho incontrato i camerieri , e più specificamente i genetisti .</t>
  </si>
  <si>
    <t>I met waiters , and more specifically geneticists .</t>
  </si>
  <si>
    <t>J' ai rencontré les serveurs , et plus particulièrement les généticiens .</t>
  </si>
  <si>
    <t>Ho incontrato i genetisti , e più specificamente i guardiani .</t>
  </si>
  <si>
    <t>I met geneticists , and more specifically caretakers .</t>
  </si>
  <si>
    <t>J' ai rencontré les généticiens , et plus particulièrement les gardiens .</t>
  </si>
  <si>
    <t>Ho incontrato i guardiani , e più specificamente i genetisti .</t>
  </si>
  <si>
    <t>I met caretakers , and more specifically geneticists .</t>
  </si>
  <si>
    <t>J' ai rencontré les gardiens , et plus particulièrement les généticiens .</t>
  </si>
  <si>
    <t>Ho incontrato i genetisti , e più specificamente i portieri .</t>
  </si>
  <si>
    <t>I met geneticists , and more specifically janitors .</t>
  </si>
  <si>
    <t>J' ai rencontré les généticiens , et plus particulièrement les concierges .</t>
  </si>
  <si>
    <t>Ho incontrato i portieri , e più specificamente i genetisti .</t>
  </si>
  <si>
    <t>I met janitors , and more specifically geneticists .</t>
  </si>
  <si>
    <t>J' ai rencontré les concierges , et plus particulièrement les généticiens .</t>
  </si>
  <si>
    <t>Ho incontrato gli astronomi , e più specificamente gli impiegati .</t>
  </si>
  <si>
    <t>I met astronomers , and more specifically clerks .</t>
  </si>
  <si>
    <t>J' ai rencontré les astronomes , et plus particulièrement les greffiers .</t>
  </si>
  <si>
    <t>Ho incontrato gli impiegati , e più specificamente gli astronomi .</t>
  </si>
  <si>
    <t>I met clerks , and more specifically astronomers .</t>
  </si>
  <si>
    <t>J' ai rencontré les greffiers , et plus particulièrement les astronomes .</t>
  </si>
  <si>
    <t>Ho incontrato gli astronomi , e più specificamente gli scienziati .</t>
  </si>
  <si>
    <t>I met astronomers , and more specifically scientists .</t>
  </si>
  <si>
    <t>J' ai rencontré les astronomes , et plus particulièrement les scientifiques .</t>
  </si>
  <si>
    <t>Ho incontrato gli scienziati , e più specificamente gli astronomi .</t>
  </si>
  <si>
    <t>I met scientists , and more specifically astronomers .</t>
  </si>
  <si>
    <t>J' ai rencontré les scientifiques , et plus particulièrement les astronomes .</t>
  </si>
  <si>
    <t>Ho incontrato gli astronomi , e più specificamente i camerieri .</t>
  </si>
  <si>
    <t>I met astronomers , and more specifically waiters .</t>
  </si>
  <si>
    <t>J' ai rencontré les astronomes , et plus particulièrement les serveurs .</t>
  </si>
  <si>
    <t>Ho incontrato i camerieri , e più specificamente gli astronomi .</t>
  </si>
  <si>
    <t>I met waiters , and more specifically astronomers .</t>
  </si>
  <si>
    <t>J' ai rencontré les serveurs , et plus particulièrement les astronomes .</t>
  </si>
  <si>
    <t>Ho incontrato gli astronomi , e più specificamente i guardiani .</t>
  </si>
  <si>
    <t>I met astronomers , and more specifically caretakers .</t>
  </si>
  <si>
    <t>J' ai rencontré les astronomes , et plus particulièrement les gardiens .</t>
  </si>
  <si>
    <t>Ho incontrato i guardiani , e più specificamente gli astronomi .</t>
  </si>
  <si>
    <t>I met caretakers , and more specifically astronomers .</t>
  </si>
  <si>
    <t>J' ai rencontré les gardiens , et plus particulièrement les astronomes .</t>
  </si>
  <si>
    <t>Ho incontrato gli astronomi , e più specificamente i portieri .</t>
  </si>
  <si>
    <t>I met astronomers , and more specifically janitors .</t>
  </si>
  <si>
    <t>J' ai rencontré les astronomes , et plus particulièrement les concierges .</t>
  </si>
  <si>
    <t>Ho incontrato i portieri , e più specificamente gli astronomi .</t>
  </si>
  <si>
    <t>I met janitors , and more specifically astronomers .</t>
  </si>
  <si>
    <t>J' ai rencontré les concierges , et plus particulièrement les astronomes .</t>
  </si>
  <si>
    <t>Ho incontrato i fisici , e più specificamente gli impiegati .</t>
  </si>
  <si>
    <t>I met physicists , and more specifically clerks .</t>
  </si>
  <si>
    <t>J' ai rencontré les physiciens , et plus particulièrement les greffiers .</t>
  </si>
  <si>
    <t>Ho incontrato gli impiegati , e più specificamente i fisici .</t>
  </si>
  <si>
    <t>I met clerks , and more specifically physicists .</t>
  </si>
  <si>
    <t>J' ai rencontré les greffiers , et plus particulièrement les physiciens .</t>
  </si>
  <si>
    <t>Ho incontrato i fisici , e più specificamente gli scienziati .</t>
  </si>
  <si>
    <t>I met physicists , and more specifically scientists .</t>
  </si>
  <si>
    <t>J' ai rencontré les physiciens , et plus particulièrement les scientifiques .</t>
  </si>
  <si>
    <t>Ho incontrato gli scienziati , e più specificamente i fisici .</t>
  </si>
  <si>
    <t>I met scientists , and more specifically physicists .</t>
  </si>
  <si>
    <t>J' ai rencontré les scientifiques , et plus particulièrement les physiciens .</t>
  </si>
  <si>
    <t>Ho incontrato i fisici , e più specificamente i camerieri .</t>
  </si>
  <si>
    <t>I met physicists , and more specifically waiters .</t>
  </si>
  <si>
    <t>J' ai rencontré les physiciens , et plus particulièrement les serveurs .</t>
  </si>
  <si>
    <t>Ho incontrato i camerieri , e più specificamente i fisici .</t>
  </si>
  <si>
    <t>I met waiters , and more specifically physicists .</t>
  </si>
  <si>
    <t>J' ai rencontré les serveurs , et plus particulièrement les physiciens .</t>
  </si>
  <si>
    <t>Ho incontrato i fisici , e più specificamente i guardiani .</t>
  </si>
  <si>
    <t>I met physicists , and more specifically caretakers .</t>
  </si>
  <si>
    <t>J' ai rencontré les physiciens , et plus particulièrement les gardiens .</t>
  </si>
  <si>
    <t>Ho incontrato i guardiani , e più specificamente i fisici .</t>
  </si>
  <si>
    <t>I met caretakers , and more specifically physicists .</t>
  </si>
  <si>
    <t>J' ai rencontré les gardiens , et plus particulièrement les physiciens .</t>
  </si>
  <si>
    <t>Ho incontrato i fisici , e più specificamente i portieri .</t>
  </si>
  <si>
    <t>I met physicists , and more specifically janitors .</t>
  </si>
  <si>
    <t>J' ai rencontré les physiciens , et plus particulièrement les concierges .</t>
  </si>
  <si>
    <t>Ho incontrato i portieri , e più specificamente i fisici .</t>
  </si>
  <si>
    <t>I met janitors , and more specifically physicists .</t>
  </si>
  <si>
    <t>J' ai rencontré les concierges , et plus particulièrement les physiciens .</t>
  </si>
  <si>
    <t>Adoro gli abeti , eccetto l' erba .</t>
  </si>
  <si>
    <t>I like firs , except grass .</t>
  </si>
  <si>
    <t>J' adore les sapins , sauf la pelouse .</t>
  </si>
  <si>
    <t>Adoro l' erba , eccetto gli abeti .</t>
  </si>
  <si>
    <t>I like grass , except firs .</t>
  </si>
  <si>
    <t>J' adore la pelouse , sauf les sapins .</t>
  </si>
  <si>
    <t>Adoro gli abeti , eccetto gli alberi .</t>
  </si>
  <si>
    <t>I like firs , except trees .</t>
  </si>
  <si>
    <t>J' adore les sapins , sauf les arbres .</t>
  </si>
  <si>
    <t>Adoro gli alberi , eccetto gli abeti .</t>
  </si>
  <si>
    <t>I like trees , except firs .</t>
  </si>
  <si>
    <t>J' adore les arbres , sauf les sapins .</t>
  </si>
  <si>
    <t>Adoro gli abeti , eccetto gli animali .</t>
  </si>
  <si>
    <t>I like firs , except animals .</t>
  </si>
  <si>
    <t>J' adore les sapins , sauf les animaux .</t>
  </si>
  <si>
    <t>Adoro gli animali , eccetto gli abeti .</t>
  </si>
  <si>
    <t>I like animals , except firs .</t>
  </si>
  <si>
    <t>J' adore les animaux , sauf les sapins .</t>
  </si>
  <si>
    <t>Amo i bassotti , eccetto i conigli .</t>
  </si>
  <si>
    <t>I like beagles , except rabbits .</t>
  </si>
  <si>
    <t>J' aime les beagles , sauf les lapins .</t>
  </si>
  <si>
    <t>Adoro gli abeti , eccetto i cespugli .</t>
  </si>
  <si>
    <t>I like firs , except bushes .</t>
  </si>
  <si>
    <t>J' adore les sapins , sauf les buissons .</t>
  </si>
  <si>
    <t>Adoro i cespugli , eccetto gli abeti .</t>
  </si>
  <si>
    <t>I like bushes , except firs .</t>
  </si>
  <si>
    <t>J' adore les buissons , sauf les sapins .</t>
  </si>
  <si>
    <t>Adoro gli abeti , eccetto gli arbusti .</t>
  </si>
  <si>
    <t>I like firs , except shrubs .</t>
  </si>
  <si>
    <t>J' adore les sapins , sauf les arbustes .</t>
  </si>
  <si>
    <t>Adoro gli arbusti , eccetto gli abeti .</t>
  </si>
  <si>
    <t>I like shrubs , except firs .</t>
  </si>
  <si>
    <t>J' adore les arbustes , sauf les sapins .</t>
  </si>
  <si>
    <t>Amo i conigli , eccetto i bassotti .</t>
  </si>
  <si>
    <t>I like rabbits , except beagles .</t>
  </si>
  <si>
    <t>J' aime les lapins , sauf les beagles .</t>
  </si>
  <si>
    <t>Adoro i pini , eccetto l' erba .</t>
  </si>
  <si>
    <t>I like pines , except grass .</t>
  </si>
  <si>
    <t>J' adore les pins , sauf la pelouse .</t>
  </si>
  <si>
    <t>Adoro l' erba , eccetto i pini .</t>
  </si>
  <si>
    <t>I like grass , except pines .</t>
  </si>
  <si>
    <t>J' adore la pelouse , sauf les pins .</t>
  </si>
  <si>
    <t>Adoro i pini , eccetto gli alberi .</t>
  </si>
  <si>
    <t>I like pines , except trees .</t>
  </si>
  <si>
    <t>J' adore les pins , sauf les arbres .</t>
  </si>
  <si>
    <t>Adoro gli alberi , eccetto i pini .</t>
  </si>
  <si>
    <t>I like trees , except pines .</t>
  </si>
  <si>
    <t>J' adore les arbres , sauf les pins .</t>
  </si>
  <si>
    <t>Adoro i pini , eccetto gli animali .</t>
  </si>
  <si>
    <t>I like pines , except animals .</t>
  </si>
  <si>
    <t>J' adore les pins , sauf les animaux .</t>
  </si>
  <si>
    <t>Adoro gli animali , eccetto i pini .</t>
  </si>
  <si>
    <t>I like animals , except pines .</t>
  </si>
  <si>
    <t>J' adore les animaux , sauf les pins .</t>
  </si>
  <si>
    <t>Adoro i pini , eccetto i cespugli .</t>
  </si>
  <si>
    <t>I like pines , except bushes .</t>
  </si>
  <si>
    <t>J' adore les pins , sauf les buissons .</t>
  </si>
  <si>
    <t>Adoro i cespugli , eccetto i pini .</t>
  </si>
  <si>
    <t>I like bushes , except pines .</t>
  </si>
  <si>
    <t>J' adore les buissons , sauf les pins .</t>
  </si>
  <si>
    <t>Adoro i pini , eccetto gli arbusti .</t>
  </si>
  <si>
    <t>I like pines , except shrubs .</t>
  </si>
  <si>
    <t>J' adore les pins , sauf les arbustes .</t>
  </si>
  <si>
    <t>Adoro gli arbusti , eccetto i pini .</t>
  </si>
  <si>
    <t>I like shrubs , except pines .</t>
  </si>
  <si>
    <t>J' adore les arbustes , sauf les pins .</t>
  </si>
  <si>
    <t>Uso il poliestere , eccetto il legno .</t>
  </si>
  <si>
    <t>I use polyester , except wood .</t>
  </si>
  <si>
    <t>J' utilise le polyester , sauf le bois .</t>
  </si>
  <si>
    <t>Uso il legno , eccetto il poliestere .</t>
  </si>
  <si>
    <t>I use wood , except polyester .</t>
  </si>
  <si>
    <t>J' utilise le bois , sauf le polyester .</t>
  </si>
  <si>
    <t>Uso il poliestere , eccetto la plastica .</t>
  </si>
  <si>
    <t>I use polyester , except plastic .</t>
  </si>
  <si>
    <t>J' utilise le polyester , sauf le plastique .</t>
  </si>
  <si>
    <t>Uso la plastica , eccetto il poliestere .</t>
  </si>
  <si>
    <t>I use plastic , except polyester .</t>
  </si>
  <si>
    <t>J' utilise le plastique , sauf le polyester .</t>
  </si>
  <si>
    <t>Uso la plastica , eccetto il legno .</t>
  </si>
  <si>
    <t>I use plastic , except wood .</t>
  </si>
  <si>
    <t>J' utilise le plastique , sauf le bois .</t>
  </si>
  <si>
    <t>Uso il poliestere , eccetto il cotone .</t>
  </si>
  <si>
    <t>I use polyester , except cotton .</t>
  </si>
  <si>
    <t>J' utilise le polyester , sauf le coton .</t>
  </si>
  <si>
    <t>Uso il cotone , eccetto il poliestere .</t>
  </si>
  <si>
    <t>I use cotton , except polyester .</t>
  </si>
  <si>
    <t>J' utilise le coton , sauf le polyester .</t>
  </si>
  <si>
    <t>Uso la plastica , eccetto il cotone .</t>
  </si>
  <si>
    <t>I use plastic , except cotton .</t>
  </si>
  <si>
    <t>J' utilise le plastique , sauf le coton .</t>
  </si>
  <si>
    <t>Uso il poliestere , eccetto il vetro .</t>
  </si>
  <si>
    <t>I use polyester , except glass .</t>
  </si>
  <si>
    <t>J' utilise le polyester , sauf le verre .</t>
  </si>
  <si>
    <t>Uso il vetro , eccetto il poliestere .</t>
  </si>
  <si>
    <t>I use glass , except polyester .</t>
  </si>
  <si>
    <t>J' utilise le verre , sauf le polyester .</t>
  </si>
  <si>
    <t>Uso la plastica , eccetto il vetro .</t>
  </si>
  <si>
    <t>I use plastic , except glass .</t>
  </si>
  <si>
    <t>J' utilise le plastique , sauf le verre .</t>
  </si>
  <si>
    <t>Uso il poliestere , eccetto il cuoio .</t>
  </si>
  <si>
    <t>I use polyester , except leather .</t>
  </si>
  <si>
    <t>J' utilise le polyester , sauf le cuir .</t>
  </si>
  <si>
    <t>Uso il cuoio , eccetto il poliestere .</t>
  </si>
  <si>
    <t>I use leather , except polyester .</t>
  </si>
  <si>
    <t>J' utilise le cuir , sauf le polyester .</t>
  </si>
  <si>
    <t>Uso la plastica , eccetto il cuoio .</t>
  </si>
  <si>
    <t>I use plastic , except leather .</t>
  </si>
  <si>
    <t>J' utilise le plastique , sauf le cuir .</t>
  </si>
  <si>
    <t>Uso il nylon , eccetto il legno .</t>
  </si>
  <si>
    <t>I use nylon , except wood .</t>
  </si>
  <si>
    <t>J' utilise le nylon , sauf le bois .</t>
  </si>
  <si>
    <t>Uso il legno , eccetto il nylon .</t>
  </si>
  <si>
    <t>I use wood , except nylon .</t>
  </si>
  <si>
    <t>J' utilise le bois , sauf le nylon .</t>
  </si>
  <si>
    <t>Uso il nylon , eccetto la plastica .</t>
  </si>
  <si>
    <t>I use nylon , except plastic .</t>
  </si>
  <si>
    <t>J' utilise le nylon , sauf le plastique .</t>
  </si>
  <si>
    <t>Uso la plastica , eccetto il nylon .</t>
  </si>
  <si>
    <t>I use plastic , except nylon .</t>
  </si>
  <si>
    <t>J' utilise le plastique , sauf le nylon .</t>
  </si>
  <si>
    <t>Uso il nylon , eccetto il cotone .</t>
  </si>
  <si>
    <t>I use nylon , except cotton .</t>
  </si>
  <si>
    <t>J' utilise le nylon , sauf le coton .</t>
  </si>
  <si>
    <t>Uso il cotone , eccetto il nylon .</t>
  </si>
  <si>
    <t>I use cotton , except nylon .</t>
  </si>
  <si>
    <t>J' utilise le coton , sauf le nylon .</t>
  </si>
  <si>
    <t>Uso il nylon , eccetto il vetro .</t>
  </si>
  <si>
    <t>I use nylon , except glass .</t>
  </si>
  <si>
    <t>J' utilise le nylon , sauf le verre .</t>
  </si>
  <si>
    <t>Uso il vetro , eccetto il nylon .</t>
  </si>
  <si>
    <t>I use glass , except nylon .</t>
  </si>
  <si>
    <t>J' utilise le verre , sauf le nylon .</t>
  </si>
  <si>
    <t>Uso il nylon , eccetto il cuoio .</t>
  </si>
  <si>
    <t>I use nylon , except leather .</t>
  </si>
  <si>
    <t>J' utilise le nylon , sauf le cuir .</t>
  </si>
  <si>
    <t>Uso il cuoio , eccetto il nylon .</t>
  </si>
  <si>
    <t>I use leather , except nylon .</t>
  </si>
  <si>
    <t>J' utilise le cuir , sauf le nylon .</t>
  </si>
  <si>
    <t>Uso il vinile , eccetto il legno .</t>
  </si>
  <si>
    <t>I use vinyl , except wood .</t>
  </si>
  <si>
    <t>J' utilise le vinyle , sauf le bois .</t>
  </si>
  <si>
    <t>Uso il legno , eccetto il vinile .</t>
  </si>
  <si>
    <t>I use wood , except vinyl .</t>
  </si>
  <si>
    <t>J' utilise le bois , sauf le vinyle .</t>
  </si>
  <si>
    <t>Uso il vinile , eccetto la plastica .</t>
  </si>
  <si>
    <t>I use vinyl , except plastic .</t>
  </si>
  <si>
    <t>J' utilise le vinyle , sauf le plastique .</t>
  </si>
  <si>
    <t>Uso la plastica , eccetto il vinile .</t>
  </si>
  <si>
    <t>I use plastic , except vinyl .</t>
  </si>
  <si>
    <t>J' utilise le plastique , sauf le vinyle .</t>
  </si>
  <si>
    <t>Uso il vinile , eccetto il cotone .</t>
  </si>
  <si>
    <t>I use vinyl , except cotton .</t>
  </si>
  <si>
    <t>J' utilise le vinyle , sauf le coton .</t>
  </si>
  <si>
    <t>Uso il cotone , eccetto il vinile .</t>
  </si>
  <si>
    <t>I use cotton , except vinyl .</t>
  </si>
  <si>
    <t>J' utilise le coton , sauf le vinyle .</t>
  </si>
  <si>
    <t>Uso il vinile , eccetto il vetro .</t>
  </si>
  <si>
    <t>I use vinyl , except glass .</t>
  </si>
  <si>
    <t>J' utilise le vinyle , sauf le verre .</t>
  </si>
  <si>
    <t>Uso il vetro , eccetto il vinile .</t>
  </si>
  <si>
    <t>I use glass , except vinyl .</t>
  </si>
  <si>
    <t>J' utilise le verre , sauf le vinyle .</t>
  </si>
  <si>
    <t>Uso il vinile , eccetto il cuoio .</t>
  </si>
  <si>
    <t>I use vinyl , except leather .</t>
  </si>
  <si>
    <t>J' utilise le vinyle , sauf le cuir .</t>
  </si>
  <si>
    <t>Uso il cuoio , eccetto il vinile .</t>
  </si>
  <si>
    <t>I use leather , except vinyl .</t>
  </si>
  <si>
    <t>J' utilise le cuir , sauf le vinyle .</t>
  </si>
  <si>
    <t>Uso il PVC , eccetto il legno .</t>
  </si>
  <si>
    <t>I use PVC , except wood .</t>
  </si>
  <si>
    <t>J' utilise le PVC , sauf le bois .</t>
  </si>
  <si>
    <t>Uso il legno , eccetto il PVC .</t>
  </si>
  <si>
    <t>I use wood , except PVC .</t>
  </si>
  <si>
    <t>J' utilise le bois , sauf le PVC .</t>
  </si>
  <si>
    <t>Uso il PVC , eccetto la plastica .</t>
  </si>
  <si>
    <t>I use PVC , except plastic .</t>
  </si>
  <si>
    <t>J' utilise le PVC , sauf le plastique .</t>
  </si>
  <si>
    <t>Uso la plastica , eccetto il PVC .</t>
  </si>
  <si>
    <t>I use plastic , except PVC .</t>
  </si>
  <si>
    <t>J' utilise le plastique , sauf le PVC .</t>
  </si>
  <si>
    <t>Uso il PVC , eccetto il cotone .</t>
  </si>
  <si>
    <t>I use PVC , except cotton .</t>
  </si>
  <si>
    <t>J' utilise le PVC , sauf le coton .</t>
  </si>
  <si>
    <t>Uso il cotone , eccetto il PVC .</t>
  </si>
  <si>
    <t>I use cotton , except PVC .</t>
  </si>
  <si>
    <t>J' utilise le coton , sauf le PVC .</t>
  </si>
  <si>
    <t>Uso il PVC , eccetto il vetro .</t>
  </si>
  <si>
    <t>I use PVC , except glass .</t>
  </si>
  <si>
    <t>J' utilise le PVC , sauf le verre .</t>
  </si>
  <si>
    <t>Uso il vetro , eccetto il PVC .</t>
  </si>
  <si>
    <t>I use glass , except PVC .</t>
  </si>
  <si>
    <t>J' utilise le verre , sauf le PVC .</t>
  </si>
  <si>
    <t>Uso il PVC , eccetto il cuoio .</t>
  </si>
  <si>
    <t>I use PVC , except leather .</t>
  </si>
  <si>
    <t>J' utilise le PVC , sauf le cuir .</t>
  </si>
  <si>
    <t>Uso il cuoio , eccetto il PVC .</t>
  </si>
  <si>
    <t>I use leather , except PVC .</t>
  </si>
  <si>
    <t>J' utilise le cuir , sauf le PVC .</t>
  </si>
  <si>
    <t>Amo i cani , eccetto i pappagalli .</t>
  </si>
  <si>
    <t>I like dogs , except parrots .</t>
  </si>
  <si>
    <t>J' aime les chiens , sauf les perrouquets .</t>
  </si>
  <si>
    <t>Apprezzo le sedie , eccetto le posate .</t>
  </si>
  <si>
    <t>I like chairs , except cutlery .</t>
  </si>
  <si>
    <t>J' apprécie les chaises , sauf les couverts .</t>
  </si>
  <si>
    <t>Apprezzo le posate , eccetto le sedie .</t>
  </si>
  <si>
    <t>I like cutlery , except chairs .</t>
  </si>
  <si>
    <t>J' apprécie les couverts , sauf les chaises .</t>
  </si>
  <si>
    <t>Apprezzo le sedie , eccetto i mobili .</t>
  </si>
  <si>
    <t>I like chairs , except furniture .</t>
  </si>
  <si>
    <t>J' apprécie les chaises , sauf les meubles .</t>
  </si>
  <si>
    <t>Apprezzo i mobili , eccetto le sedie .</t>
  </si>
  <si>
    <t>I like furniture , except chairs .</t>
  </si>
  <si>
    <t>J' apprécie les meubles , sauf les chaises .</t>
  </si>
  <si>
    <t>Apprezzo i mobili , eccetto le posate .</t>
  </si>
  <si>
    <t>I like furniture , except cutlery .</t>
  </si>
  <si>
    <t>J' apprécie les meubles , sauf les couverts .</t>
  </si>
  <si>
    <t>Apprezzo le sedie , eccetto i dipinti .</t>
  </si>
  <si>
    <t>I like chairs , except paintings .</t>
  </si>
  <si>
    <t>J' apprécie les chaises , sauf les peintures .</t>
  </si>
  <si>
    <t>Apprezzo i dipinti , eccetto le sedie .</t>
  </si>
  <si>
    <t>I like paintings , except chairs .</t>
  </si>
  <si>
    <t>J' apprécie les peintures , sauf les chaises .</t>
  </si>
  <si>
    <t>Apprezzo i mobili , eccetto i dipinti .</t>
  </si>
  <si>
    <t>I like furniture , except paintings .</t>
  </si>
  <si>
    <t>J' apprécie les meubles , sauf les peintures .</t>
  </si>
  <si>
    <t>Apprezzo le sedie , eccetto la carta da parati .</t>
  </si>
  <si>
    <t>I like chairs , except wallpaper .</t>
  </si>
  <si>
    <t>J' apprécie les chaises , sauf le papier peint .</t>
  </si>
  <si>
    <t>Apprezzo la carta da parati , eccetto le sedie .</t>
  </si>
  <si>
    <t>I like wallpaper , except chairs .</t>
  </si>
  <si>
    <t>J' apprécie le papier peint , sauf les chaises .</t>
  </si>
  <si>
    <t>Apprezzo i mobili , eccetto la carta da parati .</t>
  </si>
  <si>
    <t>I like furniture , except wallpaper .</t>
  </si>
  <si>
    <t>J' apprécie les meubles , sauf le papier peint .</t>
  </si>
  <si>
    <t>Apprezzo le sedie , eccetto il parquet .</t>
  </si>
  <si>
    <t>I like chairs , except parquet .</t>
  </si>
  <si>
    <t>J' apprécie les chaises , sauf le parquet .</t>
  </si>
  <si>
    <t>Apprezzo il parquet , eccetto le sedie .</t>
  </si>
  <si>
    <t>I like parquet , except chairs .</t>
  </si>
  <si>
    <t>J' apprécie le parquet , sauf les chaises .</t>
  </si>
  <si>
    <t>Amo i pappagalli , eccetto i gatti .</t>
  </si>
  <si>
    <t>I like parrots , except cats .</t>
  </si>
  <si>
    <t>J' aime les perrouquets , sauf les chats .</t>
  </si>
  <si>
    <t>Apprezzo i mobili , eccetto il parquet .</t>
  </si>
  <si>
    <t>I like furniture , except parquet .</t>
  </si>
  <si>
    <t>J' apprécie les meubles , sauf le parquet .</t>
  </si>
  <si>
    <t>Amo i gatti , eccetto i pappagalli .</t>
  </si>
  <si>
    <t>I like cats , except parrots .</t>
  </si>
  <si>
    <t>J' aime les chats , sauf les perrouquets .</t>
  </si>
  <si>
    <t>Amo i pappagalli , eccetto gli uccelli .</t>
  </si>
  <si>
    <t>I like parrots , except birds .</t>
  </si>
  <si>
    <t>J' aime les perrouquets , sauf les oiseaux .</t>
  </si>
  <si>
    <t>Apprezzo i tavoli , eccetto le posate .</t>
  </si>
  <si>
    <t>I like tables , except cutlery .</t>
  </si>
  <si>
    <t>J' apprécie les tables , sauf les couverts .</t>
  </si>
  <si>
    <t>Apprezzo le posate , eccetto i tavoli .</t>
  </si>
  <si>
    <t>I like cutlery , except tables .</t>
  </si>
  <si>
    <t>J' apprécie les couverts , sauf les tables .</t>
  </si>
  <si>
    <t>Apprezzo i tavoli , eccetto i mobili .</t>
  </si>
  <si>
    <t>I like tables , except furniture .</t>
  </si>
  <si>
    <t>J' apprécie les tables , sauf les meubles .</t>
  </si>
  <si>
    <t>Apprezzo i mobili , eccetto i tavoli .</t>
  </si>
  <si>
    <t>I like furniture , except tables .</t>
  </si>
  <si>
    <t>J' apprécie les meubles , sauf les tables .</t>
  </si>
  <si>
    <t>Apprezzo i tavoli , eccetto i dipinti .</t>
  </si>
  <si>
    <t>I like tables , except paintings .</t>
  </si>
  <si>
    <t>J' apprécie les tables , sauf les peintures .</t>
  </si>
  <si>
    <t>Apprezzo i dipinti , eccetto i tavoli .</t>
  </si>
  <si>
    <t>I like paintings , except tables .</t>
  </si>
  <si>
    <t>J' apprécie les peintures , sauf les tables .</t>
  </si>
  <si>
    <t>Amo gli uccelli , eccetto i pappagalli .</t>
  </si>
  <si>
    <t>I like birds , except parrots .</t>
  </si>
  <si>
    <t>J' aime les oiseaux , sauf les perrouquets .</t>
  </si>
  <si>
    <t>Apprezzo i tavoli , eccetto la carta da parati .</t>
  </si>
  <si>
    <t>I like tables , except wallpaper .</t>
  </si>
  <si>
    <t>J' apprécie les tables , sauf le papier peint .</t>
  </si>
  <si>
    <t>Apprezzo la carta da parati , eccetto i tavoli .</t>
  </si>
  <si>
    <t>I like wallpaper , except tables .</t>
  </si>
  <si>
    <t>J' apprécie le papier peint , sauf les tables .</t>
  </si>
  <si>
    <t>Apprezzo i tavoli , eccetto il parquet .</t>
  </si>
  <si>
    <t>I like tables , except parquet .</t>
  </si>
  <si>
    <t>J' apprécie les tables , sauf le parquet .</t>
  </si>
  <si>
    <t>Apprezzo il parquet , eccetto i tavoli .</t>
  </si>
  <si>
    <t>I like parquet , except tables .</t>
  </si>
  <si>
    <t>J' apprécie le parquet , sauf les tables .</t>
  </si>
  <si>
    <t>Amo gli uccelli , eccetto i gatti .</t>
  </si>
  <si>
    <t>I like birds , except cats .</t>
  </si>
  <si>
    <t>J' aime les oiseaux , sauf les chats .</t>
  </si>
  <si>
    <t>Amo i pappagalli , eccetto i criceti .</t>
  </si>
  <si>
    <t>I like parrots , except hamsters .</t>
  </si>
  <si>
    <t>J' aime les perrouquets , sauf les hamsters .</t>
  </si>
  <si>
    <t>Amo i criceti , eccetto i pappagalli .</t>
  </si>
  <si>
    <t>I like hamsters , except parrots .</t>
  </si>
  <si>
    <t>J' aime les hamsters , sauf les perrouquets .</t>
  </si>
  <si>
    <t>Apprezzo i guardaroba , eccetto le posate .</t>
  </si>
  <si>
    <t>I like wardrobes , except cutlery .</t>
  </si>
  <si>
    <t>J' apprécie les armoires , sauf les couverts .</t>
  </si>
  <si>
    <t>Apprezzo le posate , eccetto i guardaroba .</t>
  </si>
  <si>
    <t>I like cutlery , except wardrobes .</t>
  </si>
  <si>
    <t>J' apprécie les couverts , sauf les armoires .</t>
  </si>
  <si>
    <t>Apprezzo i guardaroba , eccetto i mobili .</t>
  </si>
  <si>
    <t>I like wardrobes , except furniture .</t>
  </si>
  <si>
    <t>J' apprécie les armoires , sauf les meubles .</t>
  </si>
  <si>
    <t>Apprezzo i mobili , eccetto i guardaroba .</t>
  </si>
  <si>
    <t>I like furniture , except wardrobes .</t>
  </si>
  <si>
    <t>J' apprécie les meubles , sauf les armoires .</t>
  </si>
  <si>
    <t>Apprezzo i guardaroba , eccetto i dipinti .</t>
  </si>
  <si>
    <t>I like wardrobes , except paintings .</t>
  </si>
  <si>
    <t>J' apprécie les armoires , sauf les peintures .</t>
  </si>
  <si>
    <t>Apprezzo i dipinti , eccetto i guardaroba .</t>
  </si>
  <si>
    <t>I like paintings , except wardrobes .</t>
  </si>
  <si>
    <t>J' apprécie les peintures , sauf les armoires .</t>
  </si>
  <si>
    <t>Apprezzo i guardaroba , eccetto la carta da parati .</t>
  </si>
  <si>
    <t>I like wardrobes , except wallpaper .</t>
  </si>
  <si>
    <t>J' apprécie les armoires , sauf le papier peint .</t>
  </si>
  <si>
    <t>Apprezzo la carta da parati , eccetto i guardaroba .</t>
  </si>
  <si>
    <t>I like wallpaper , except wardrobes .</t>
  </si>
  <si>
    <t>J' apprécie le papier peint , sauf les armoires .</t>
  </si>
  <si>
    <t>Apprezzo i guardaroba , eccetto il parquet .</t>
  </si>
  <si>
    <t>I like wardrobes , except parquet .</t>
  </si>
  <si>
    <t>J' apprécie les armoires , sauf le parquet .</t>
  </si>
  <si>
    <t>Apprezzo il parquet , eccetto i guardaroba .</t>
  </si>
  <si>
    <t>I like parquet , except wardrobes .</t>
  </si>
  <si>
    <t>J' apprécie le parquet , sauf les armoires .</t>
  </si>
  <si>
    <t>Amo gli husky , eccetto i conigli .</t>
  </si>
  <si>
    <t>I like huskies , except rabbits .</t>
  </si>
  <si>
    <t>J' aime les huskies , sauf les lapins .</t>
  </si>
  <si>
    <t>Amo gli uccelli , eccetto i criceti .</t>
  </si>
  <si>
    <t>I like birds , except hamsters .</t>
  </si>
  <si>
    <t>J' aime les oiseaux , sauf les hamsters .</t>
  </si>
  <si>
    <t>Amo i pappagalli , eccetto i maiali .</t>
  </si>
  <si>
    <t>I like parrots , except pigs .</t>
  </si>
  <si>
    <t>J' aime les perrouquets , sauf les cochons .</t>
  </si>
  <si>
    <t>Apprezzo i letti , eccetto le posate .</t>
  </si>
  <si>
    <t>I like beds , except cutlery .</t>
  </si>
  <si>
    <t>J' apprécie les lits , sauf les couverts .</t>
  </si>
  <si>
    <t>Apprezzo le posate , eccetto i letti .</t>
  </si>
  <si>
    <t>I like cutlery , except beds .</t>
  </si>
  <si>
    <t>J' apprécie les couverts , sauf les lits .</t>
  </si>
  <si>
    <t>Apprezzo i letti , eccetto i mobili .</t>
  </si>
  <si>
    <t>I like beds , except furniture .</t>
  </si>
  <si>
    <t>J' apprécie les lits , sauf les meubles .</t>
  </si>
  <si>
    <t>Apprezzo i mobili , eccetto i letti .</t>
  </si>
  <si>
    <t>I like furniture , except beds .</t>
  </si>
  <si>
    <t>J' apprécie les meubles , sauf les lits .</t>
  </si>
  <si>
    <t>Apprezzo i letti , eccetto i dipinti .</t>
  </si>
  <si>
    <t>I like beds , except paintings .</t>
  </si>
  <si>
    <t>J' apprécie les lits , sauf les peintures .</t>
  </si>
  <si>
    <t>Apprezzo i dipinti , eccetto i letti .</t>
  </si>
  <si>
    <t>I like paintings , except beds .</t>
  </si>
  <si>
    <t>J' apprécie les peintures , sauf les lits .</t>
  </si>
  <si>
    <t>Amo i maiali , eccetto i pappagalli .</t>
  </si>
  <si>
    <t>I like pigs , except parrots .</t>
  </si>
  <si>
    <t>J' aime les cochons , sauf les perrouquets .</t>
  </si>
  <si>
    <t>Apprezzo i letti , eccetto la carta da parati .</t>
  </si>
  <si>
    <t>I like beds , except wallpaper .</t>
  </si>
  <si>
    <t>J' apprécie les lits , sauf le papier peint .</t>
  </si>
  <si>
    <t>Apprezzo la carta da parati , eccetto i letti .</t>
  </si>
  <si>
    <t>I like wallpaper , except beds .</t>
  </si>
  <si>
    <t>J' apprécie le papier peint , sauf les lits .</t>
  </si>
  <si>
    <t>Apprezzo i letti , eccetto il parquet .</t>
  </si>
  <si>
    <t>I like beds , except parquet .</t>
  </si>
  <si>
    <t>J' apprécie les lits , sauf le parquet .</t>
  </si>
  <si>
    <t>Apprezzo il parquet , eccetto i letti .</t>
  </si>
  <si>
    <t>I like parquet , except beds .</t>
  </si>
  <si>
    <t>J' apprécie le parquet , sauf les lits .</t>
  </si>
  <si>
    <t>Amo gli uccelli , eccetto i maiali .</t>
  </si>
  <si>
    <t>I like birds , except pigs .</t>
  </si>
  <si>
    <t>J' aime les oiseaux , sauf les cochons .</t>
  </si>
  <si>
    <t>Apprezzo il Merlot , eccetto la coca cola .</t>
  </si>
  <si>
    <t>I like Merlot , except coca-cola .</t>
  </si>
  <si>
    <t>J' apprécie le Merlot , sauf le coca cola .</t>
  </si>
  <si>
    <t>Apprezzo la coca cola , eccetto il Merlot .</t>
  </si>
  <si>
    <t>I like coca-cola , except Merlot .</t>
  </si>
  <si>
    <t>J' apprécie le coca cola , sauf le Merlot .</t>
  </si>
  <si>
    <t>Apprezzo il Merlot , eccetto il vino .</t>
  </si>
  <si>
    <t>I like Merlot , except wine .</t>
  </si>
  <si>
    <t>J' apprécie le Merlot , sauf le vin .</t>
  </si>
  <si>
    <t>Apprezzo il vino , eccetto il Merlot .</t>
  </si>
  <si>
    <t>I like wine , except Merlot .</t>
  </si>
  <si>
    <t>J' apprécie le vin , sauf le Merlot .</t>
  </si>
  <si>
    <t>Apprezzo il vino , eccetto la coca cola .</t>
  </si>
  <si>
    <t>I like wine , except coca-cola .</t>
  </si>
  <si>
    <t>J' apprécie le vin , sauf le coca cola .</t>
  </si>
  <si>
    <t>Apprezzo il Merlot , eccetto l' acqua .</t>
  </si>
  <si>
    <t>I like Merlot , except water .</t>
  </si>
  <si>
    <t>J' apprécie le Merlot , sauf l' eau .</t>
  </si>
  <si>
    <t>Apprezzo l' acqua , eccetto il Merlot .</t>
  </si>
  <si>
    <t>I like water , except Merlot .</t>
  </si>
  <si>
    <t>J' apprécie l' eau , sauf le Merlot .</t>
  </si>
  <si>
    <t>Amo i pappagalli , eccetto i cani .</t>
  </si>
  <si>
    <t>I like parrots , except dogs .</t>
  </si>
  <si>
    <t>J' aime les perrouquets , sauf les chiens .</t>
  </si>
  <si>
    <t>Apprezzo il vino , eccetto l' acqua .</t>
  </si>
  <si>
    <t>I like wine , except water .</t>
  </si>
  <si>
    <t>J' apprécie le vin , sauf l' eau .</t>
  </si>
  <si>
    <t>Apprezzo il Merlot , eccetto la sprite .</t>
  </si>
  <si>
    <t>I like Merlot , except sprite .</t>
  </si>
  <si>
    <t>J' apprécie le Merlot , sauf la sprite .</t>
  </si>
  <si>
    <t>Apprezzo la sprite , eccetto il Merlot .</t>
  </si>
  <si>
    <t>I like sprite , except Merlot .</t>
  </si>
  <si>
    <t>J' apprécie la sprite , sauf le Merlot .</t>
  </si>
  <si>
    <t>Apprezzo il vino , eccetto la sprite .</t>
  </si>
  <si>
    <t>I like wine , except sprite .</t>
  </si>
  <si>
    <t>J' apprécie le vin , sauf la sprite .</t>
  </si>
  <si>
    <t>Apprezzo il Merlot , eccetto la birra .</t>
  </si>
  <si>
    <t>I like Merlot , except beer .</t>
  </si>
  <si>
    <t>J' apprécie le Merlot , sauf la bière .</t>
  </si>
  <si>
    <t>Apprezzo la birra , eccetto il Merlot .</t>
  </si>
  <si>
    <t>I like beer , except Merlot .</t>
  </si>
  <si>
    <t>J' apprécie la bière , sauf le Merlot .</t>
  </si>
  <si>
    <t>Apprezzo il vino , eccetto la birra .</t>
  </si>
  <si>
    <t>I like wine , except beer .</t>
  </si>
  <si>
    <t>J' apprécie le vin , sauf la bière .</t>
  </si>
  <si>
    <t>Amo i conigli , eccetto gli husky .</t>
  </si>
  <si>
    <t>I like rabbits , except huskies .</t>
  </si>
  <si>
    <t>J' aime les lapins , sauf les huskies .</t>
  </si>
  <si>
    <t>Apprezzo lo Chardonnay , eccetto la coca cola .</t>
  </si>
  <si>
    <t>I like Chardonnay , except coca-cola .</t>
  </si>
  <si>
    <t>J' apprécie le Chardonnay , sauf le coca cola .</t>
  </si>
  <si>
    <t>Apprezzo la coca cola , eccetto lo Chardonnay .</t>
  </si>
  <si>
    <t>I like coca-cola , except Chardonnay .</t>
  </si>
  <si>
    <t>J' apprécie le coca cola , sauf le Chardonnay .</t>
  </si>
  <si>
    <t>Apprezzo lo Chardonnay , eccetto il vino .</t>
  </si>
  <si>
    <t>I like Chardonnay , except wine .</t>
  </si>
  <si>
    <t>J' apprécie le Chardonnay , sauf le vin .</t>
  </si>
  <si>
    <t>Apprezzo il vino , eccetto lo Chardonnay .</t>
  </si>
  <si>
    <t>I like wine , except Chardonnay .</t>
  </si>
  <si>
    <t>J' apprécie le vin , sauf le Chardonnay .</t>
  </si>
  <si>
    <t>Apprezzo lo Chardonnay , eccetto l' acqua .</t>
  </si>
  <si>
    <t>I like Chardonnay , except water .</t>
  </si>
  <si>
    <t>J' apprécie le Chardonnay , sauf l' eau .</t>
  </si>
  <si>
    <t>Apprezzo l' acqua , eccetto lo Chardonnay .</t>
  </si>
  <si>
    <t>I like water , except Chardonnay .</t>
  </si>
  <si>
    <t>J' apprécie l' eau , sauf le Chardonnay .</t>
  </si>
  <si>
    <t>Amo gli uccelli , eccetto i cani .</t>
  </si>
  <si>
    <t>I like birds , except dogs .</t>
  </si>
  <si>
    <t>J' aime les oiseaux , sauf les chiens .</t>
  </si>
  <si>
    <t>Apprezzo lo Chardonnay , eccetto la sprite .</t>
  </si>
  <si>
    <t>I like Chardonnay , except sprite .</t>
  </si>
  <si>
    <t>J' apprécie le Chardonnay , sauf la sprite .</t>
  </si>
  <si>
    <t>Apprezzo la sprite , eccetto lo Chardonnay .</t>
  </si>
  <si>
    <t>I like sprite , except Chardonnay .</t>
  </si>
  <si>
    <t>J' apprécie la sprite , sauf le Chardonnay .</t>
  </si>
  <si>
    <t>Apprezzo lo Chardonnay , eccetto la birra .</t>
  </si>
  <si>
    <t>I like Chardonnay , except beer .</t>
  </si>
  <si>
    <t>J' apprécie le Chardonnay , sauf la bière .</t>
  </si>
  <si>
    <t>Apprezzo la birra , eccetto lo Chardonnay .</t>
  </si>
  <si>
    <t>I like beer , except Chardonnay .</t>
  </si>
  <si>
    <t>J' apprécie la bière , sauf le Chardonnay .</t>
  </si>
  <si>
    <t>Apprezzo il Chianti , eccetto la coca cola .</t>
  </si>
  <si>
    <t>I like Chianti , except coca-cola .</t>
  </si>
  <si>
    <t>J' apprécie le Chianti , sauf le coca cola .</t>
  </si>
  <si>
    <t>Apprezzo la coca cola , eccetto il Chianti .</t>
  </si>
  <si>
    <t>I like coca-cola , except Chianti .</t>
  </si>
  <si>
    <t>J' apprécie le coca cola , sauf le Chianti .</t>
  </si>
  <si>
    <t>Apprezzo il Chianti , eccetto il vino .</t>
  </si>
  <si>
    <t>I like Chianti , except wine .</t>
  </si>
  <si>
    <t>J' apprécie le Chianti , sauf le vin .</t>
  </si>
  <si>
    <t>Apprezzo il vino , eccetto il Chianti .</t>
  </si>
  <si>
    <t>I like wine , except Chianti .</t>
  </si>
  <si>
    <t>J' apprécie le vin , sauf le Chianti .</t>
  </si>
  <si>
    <t>Apprezzo il Chianti , eccetto l' acqua .</t>
  </si>
  <si>
    <t>I like Chianti , except water .</t>
  </si>
  <si>
    <t>J' apprécie le Chianti , sauf l' eau .</t>
  </si>
  <si>
    <t>Apprezzo l' acqua , eccetto il Chianti .</t>
  </si>
  <si>
    <t>I like water , except Chianti .</t>
  </si>
  <si>
    <t>J' apprécie l' eau , sauf le Chianti .</t>
  </si>
  <si>
    <t>Apprezzo il Chianti , eccetto la sprite .</t>
  </si>
  <si>
    <t>I like Chianti , except sprite .</t>
  </si>
  <si>
    <t>J' apprécie le Chianti , sauf la sprite .</t>
  </si>
  <si>
    <t>Apprezzo la sprite , eccetto il Chianti .</t>
  </si>
  <si>
    <t>I like sprite , except Chianti .</t>
  </si>
  <si>
    <t>J' apprécie la sprite , sauf le Chianti .</t>
  </si>
  <si>
    <t>Apprezzo il Chianti , eccetto la birra .</t>
  </si>
  <si>
    <t>I like Chianti , except beer .</t>
  </si>
  <si>
    <t>J' apprécie le Chianti , sauf la bière .</t>
  </si>
  <si>
    <t>Apprezzo la birra , eccetto il Chianti .</t>
  </si>
  <si>
    <t>I like beer , except Chianti .</t>
  </si>
  <si>
    <t>J' apprécie la bière , sauf le Chianti .</t>
  </si>
  <si>
    <t>Apprezzo il Primitivo , eccetto la coca cola .</t>
  </si>
  <si>
    <t>I like Zinfandel , except coca-cola .</t>
  </si>
  <si>
    <t>J' apprécie le Cabernet Sauvignon , sauf le coca cola .</t>
  </si>
  <si>
    <t>Apprezzo la coca cola , eccetto il Primitivo .</t>
  </si>
  <si>
    <t>I like coca-cola , except Zinfandel .</t>
  </si>
  <si>
    <t>J' apprécie le coca cola , sauf le Cabernet Sauvignon .</t>
  </si>
  <si>
    <t>Apprezzo il Primitivo , eccetto il vino .</t>
  </si>
  <si>
    <t>I like Zinfandel , except wine .</t>
  </si>
  <si>
    <t>J' apprécie le Cabernet Sauvignon , sauf le vin .</t>
  </si>
  <si>
    <t>Apprezzo il vino , eccetto il Primitivo .</t>
  </si>
  <si>
    <t>I like wine , except Zinfandel .</t>
  </si>
  <si>
    <t>J' apprécie le vin , sauf le Cabernet Sauvignon .</t>
  </si>
  <si>
    <t>Apprezzo il Primitivo , eccetto l' acqua .</t>
  </si>
  <si>
    <t>I like Zinfandel , except water .</t>
  </si>
  <si>
    <t>J' apprécie le Cabernet Sauvignon , sauf l' eau .</t>
  </si>
  <si>
    <t>Apprezzo l' acqua , eccetto il Primitivo .</t>
  </si>
  <si>
    <t>I like water , except Zinfandel .</t>
  </si>
  <si>
    <t>J' apprécie l' eau , sauf le Cabernet Sauvignon .</t>
  </si>
  <si>
    <t>Apprezzo il Primitivo , eccetto la sprite .</t>
  </si>
  <si>
    <t>I like Zinfandel , except sprite .</t>
  </si>
  <si>
    <t>J' apprécie le Cabernet Sauvignon , sauf la sprite .</t>
  </si>
  <si>
    <t>Apprezzo la sprite , eccetto il Primitivo .</t>
  </si>
  <si>
    <t>I like sprite , except Zinfandel .</t>
  </si>
  <si>
    <t>J' apprécie la sprite , sauf le Cabernet Sauvignon .</t>
  </si>
  <si>
    <t>Apprezzo il Primitivo , eccetto la birra .</t>
  </si>
  <si>
    <t>I like Zinfandel , except beer .</t>
  </si>
  <si>
    <t>J' apprécie le Cabernet Sauvignon , sauf la bière .</t>
  </si>
  <si>
    <t>Apprezzo la birra , eccetto il Primitivo .</t>
  </si>
  <si>
    <t>I like beer , except Zinfandel .</t>
  </si>
  <si>
    <t>J' apprécie la bière , sauf le Cabernet Sauvignon .</t>
  </si>
  <si>
    <t>Amo gli husky , eccetto i gatti .</t>
  </si>
  <si>
    <t>I like huskies , except cats .</t>
  </si>
  <si>
    <t>J' aime les huskies , sauf les chats .</t>
  </si>
  <si>
    <t>Amo gli husky , un tipo interessante di gatto .</t>
  </si>
  <si>
    <t>I like huskies , an interesting type of cat .</t>
  </si>
  <si>
    <t>J' aime les huskies , un type intéressant de chat .</t>
  </si>
  <si>
    <t>Amo i gatti , un tipo interessante di husky .</t>
  </si>
  <si>
    <t>I like cats , an interesting type of husky .</t>
  </si>
  <si>
    <t>J' aime les chats , un type intéressant de husky .</t>
  </si>
  <si>
    <t>Amo gli husky , un tipo interessante di cane .</t>
  </si>
  <si>
    <t>I like huskies , an interesting type of dog .</t>
  </si>
  <si>
    <t>J' aime les huskies , un type intéressant de chien .</t>
  </si>
  <si>
    <t>Amo i cani , un tipo interessante di husky .</t>
  </si>
  <si>
    <t>I like dogs , an interesting type of husky .</t>
  </si>
  <si>
    <t>J' aime les chiens , un type intéressant de husky .</t>
  </si>
  <si>
    <t>Amo i cani , un tipo interessante di gatto .</t>
  </si>
  <si>
    <t>I like dogs , an interesting type of cat .</t>
  </si>
  <si>
    <t>J' aime les chiens , un type intéressant de chat .</t>
  </si>
  <si>
    <t>Amo gli husky , un tipo interessante di criceto .</t>
  </si>
  <si>
    <t>I like huskies , an interesting type of hamster .</t>
  </si>
  <si>
    <t>J' aime les huskies , un type intéressant de hamster .</t>
  </si>
  <si>
    <t>Amo i criceti , un tipo interessante di husky .</t>
  </si>
  <si>
    <t>I like hamsters , an interesting type of husky .</t>
  </si>
  <si>
    <t>J' aime les hamsters , un type intéressant de husky .</t>
  </si>
  <si>
    <t>Amo i cani , un tipo interessante di criceto .</t>
  </si>
  <si>
    <t>I like dogs , an interesting type of hamster .</t>
  </si>
  <si>
    <t>J' aime les chiens , un type intéressant de hamster .</t>
  </si>
  <si>
    <t>Amo gli husky , un tipo interessante di pappagallo .</t>
  </si>
  <si>
    <t>I like huskies , an interesting type of parrot .</t>
  </si>
  <si>
    <t>J' aime les huskies , un type intéressant de perrouquet .</t>
  </si>
  <si>
    <t>Amo i pappagalli , un tipo interessante di husky .</t>
  </si>
  <si>
    <t>I like parrots , an interesting type of husky .</t>
  </si>
  <si>
    <t>J' aime les perrouquets , un type intéressant de husky .</t>
  </si>
  <si>
    <t>Amo i cani , un tipo interessante di pappagallo .</t>
  </si>
  <si>
    <t>I like dogs , an interesting type of parrot .</t>
  </si>
  <si>
    <t>J' aime les chiens , un type intéressant de perrouquet .</t>
  </si>
  <si>
    <t>Amo gli husky , un tipo interessante di coniglio .</t>
  </si>
  <si>
    <t>I like huskies , an interesting type of rabbit .</t>
  </si>
  <si>
    <t>J' aime les huskies , un type intéressant de lapin .</t>
  </si>
  <si>
    <t>Amo i conigli , un tipo interessante di husky .</t>
  </si>
  <si>
    <t>I like rabbits , an interesting type of husky .</t>
  </si>
  <si>
    <t>J' aime les lapins , un type intéressant de husky .</t>
  </si>
  <si>
    <t>Amo i cani , un tipo interessante di coniglio .</t>
  </si>
  <si>
    <t>I like dogs , an interesting type of rabbit .</t>
  </si>
  <si>
    <t>J' aime les chiens , un type intéressant de lapin .</t>
  </si>
  <si>
    <t>Amo le anatre , eccetto i gatti .</t>
  </si>
  <si>
    <t>I like ducks , except cats .</t>
  </si>
  <si>
    <t>J' aime les canards , sauf les chats .</t>
  </si>
  <si>
    <t>Amo i bobtail , un tipo interessante di gatto .</t>
  </si>
  <si>
    <t>I like bobtails , an interesting type of cat .</t>
  </si>
  <si>
    <t>J' aime les bobtails , un type intéressant de chat .</t>
  </si>
  <si>
    <t>Amo i gatti , un tipo interessante di bobtail .</t>
  </si>
  <si>
    <t>I like cats , an interesting type of bobtail .</t>
  </si>
  <si>
    <t>J' aime les chats , un type intéressant de bobtail .</t>
  </si>
  <si>
    <t>Amo i bobtail , un tipo interessante di cane .</t>
  </si>
  <si>
    <t>I like bobtails , an interesting type of dog .</t>
  </si>
  <si>
    <t>J' aime les bobtails , un type intéressant de chien .</t>
  </si>
  <si>
    <t>Amo i cani , un tipo interessante di bobtail .</t>
  </si>
  <si>
    <t>I like dogs , an interesting type of bobtail .</t>
  </si>
  <si>
    <t>J' aime les chiens , un type intéressant de bobtail .</t>
  </si>
  <si>
    <t>Amo i bobtail , un tipo interessante di criceto .</t>
  </si>
  <si>
    <t>I like bobtails , an interesting type of hamster .</t>
  </si>
  <si>
    <t>J' aime les bobtails , un type intéressant de hamster .</t>
  </si>
  <si>
    <t>Amo i criceti , un tipo interessante di bobtail .</t>
  </si>
  <si>
    <t>I like hamsters , an interesting type of bobtail .</t>
  </si>
  <si>
    <t>J' aime les hamsters , un type intéressant de bobtail .</t>
  </si>
  <si>
    <t>Amo i bobtail , un tipo interessante di pappagallo .</t>
  </si>
  <si>
    <t>I like bobtails , an interesting type of parrot .</t>
  </si>
  <si>
    <t>J' aime les bobtails , un type intéressant de perrouquet .</t>
  </si>
  <si>
    <t>Amo i pappagalli , un tipo interessante di bobtail .</t>
  </si>
  <si>
    <t>I like parrots , an interesting type of bobtail .</t>
  </si>
  <si>
    <t>J' aime les perrouquets , un type intéressant de bobtail .</t>
  </si>
  <si>
    <t>Amo i bobtail , un tipo interessante di coniglio .</t>
  </si>
  <si>
    <t>I like bobtails , an interesting type of rabbit .</t>
  </si>
  <si>
    <t>J' aime les bobtails , un type intéressant de lapin .</t>
  </si>
  <si>
    <t>Amo i conigli , un tipo interessante di bobtail .</t>
  </si>
  <si>
    <t>I like rabbits , an interesting type of bobtail .</t>
  </si>
  <si>
    <t>J' aime les lapins , un type intéressant de bobtail .</t>
  </si>
  <si>
    <t>Amo i bulldog , un tipo interessante di gatto .</t>
  </si>
  <si>
    <t>I like bulldogs , an interesting type of cat .</t>
  </si>
  <si>
    <t>J' aime les bouledogues , un type intéressant de chat .</t>
  </si>
  <si>
    <t>Amo i gatti , un tipo interessante di bulldog .</t>
  </si>
  <si>
    <t>I like cats , an interesting type of bulldog .</t>
  </si>
  <si>
    <t>J' aime les chats , un type intéressant de bouledogue .</t>
  </si>
  <si>
    <t>Amo i bulldog , un tipo interessante di cane .</t>
  </si>
  <si>
    <t>I like bulldogs , an interesting type of dog .</t>
  </si>
  <si>
    <t>J' aime les bouledogues , un type intéressant de chien .</t>
  </si>
  <si>
    <t>Amo i cani , un tipo interessante di bulldog .</t>
  </si>
  <si>
    <t>I like dogs , an interesting type of bulldog .</t>
  </si>
  <si>
    <t>J' aime les chiens , un type intéressant de bouledogue .</t>
  </si>
  <si>
    <t>Amo i bulldog , un tipo interessante di criceto .</t>
  </si>
  <si>
    <t>I like bulldogs , an interesting type of hamster .</t>
  </si>
  <si>
    <t>J' aime les bouledogues , un type intéressant de hamster .</t>
  </si>
  <si>
    <t>Amo i criceti , un tipo interessante di bulldog .</t>
  </si>
  <si>
    <t>I like hamsters , an interesting type of bulldog .</t>
  </si>
  <si>
    <t>J' aime les hamsters , un type intéressant de bouledogue .</t>
  </si>
  <si>
    <t>Amo i bulldog , un tipo interessante di pappagallo .</t>
  </si>
  <si>
    <t>I like bulldogs , an interesting type of parrot .</t>
  </si>
  <si>
    <t>J' aime les bouledogues , un type intéressant de perrouquet .</t>
  </si>
  <si>
    <t>Amo i pappagalli , un tipo interessante di bulldog .</t>
  </si>
  <si>
    <t>I like parrots , an interesting type of bulldog .</t>
  </si>
  <si>
    <t>J' aime les perrouquets , un type intéressant de bouledogue .</t>
  </si>
  <si>
    <t>Amo i bulldog , un tipo interessante di coniglio .</t>
  </si>
  <si>
    <t>I like bulldogs , an interesting type of rabbit .</t>
  </si>
  <si>
    <t>J' aime les bouledogues , un type intéressant de lapin .</t>
  </si>
  <si>
    <t>Amo i conigli , un tipo interessante di bulldog .</t>
  </si>
  <si>
    <t>I like rabbits , an interesting type of bulldog .</t>
  </si>
  <si>
    <t>J' aime les lapins , un type intéressant de bouledogue .</t>
  </si>
  <si>
    <t>Amo i bassotti , un tipo interessante di gatto .</t>
  </si>
  <si>
    <t>I like beagles , an interesting type of cat .</t>
  </si>
  <si>
    <t>J' aime les beagles , un type intéressant de chat .</t>
  </si>
  <si>
    <t>Amo i gatti , un tipo interessante di bassotto .</t>
  </si>
  <si>
    <t>I like cats , an interesting type of beagle .</t>
  </si>
  <si>
    <t>J' aime les chats , un type intéressant de beagle .</t>
  </si>
  <si>
    <t>Amo i bassotti , un tipo interessante di cane .</t>
  </si>
  <si>
    <t>I like beagles , an interesting type of dog .</t>
  </si>
  <si>
    <t>J' aime les beagles , un type intéressant de chien .</t>
  </si>
  <si>
    <t>Amo i cani , un tipo interessante di bassotto .</t>
  </si>
  <si>
    <t>I like dogs , an interesting type of beagle .</t>
  </si>
  <si>
    <t>J' aime les chiens , un type intéressant de beagle .</t>
  </si>
  <si>
    <t>Amo i bassotti , un tipo interessante di criceto .</t>
  </si>
  <si>
    <t>I like beagles , an interesting type of hamster .</t>
  </si>
  <si>
    <t>J' aime les beagles , un type intéressant de hamster .</t>
  </si>
  <si>
    <t>Amo i criceti , un tipo interessante di bassotto .</t>
  </si>
  <si>
    <t>I like hamsters , an interesting type of beagle .</t>
  </si>
  <si>
    <t>J' aime les hamsters , un type intéressant de beagle .</t>
  </si>
  <si>
    <t>Amo i bassotti , un tipo interessante di pappagallo .</t>
  </si>
  <si>
    <t>I like beagles , an interesting type of parrot .</t>
  </si>
  <si>
    <t>J' aime les beagles , un type intéressant de perrouquet .</t>
  </si>
  <si>
    <t>Amo i pappagalli , un tipo interessante di bassotto .</t>
  </si>
  <si>
    <t>I like parrots , an interesting type of beagle .</t>
  </si>
  <si>
    <t>J' aime les perrouquets , un type intéressant de beagle .</t>
  </si>
  <si>
    <t>Amo i bassotti , un tipo interessante di coniglio .</t>
  </si>
  <si>
    <t>I like beagles , an interesting type of rabbit .</t>
  </si>
  <si>
    <t>J' aime les beagles , un type intéressant de lapin .</t>
  </si>
  <si>
    <t>Amo i conigli , un tipo interessante di bassotto .</t>
  </si>
  <si>
    <t>I like rabbits , an interesting type of beagle .</t>
  </si>
  <si>
    <t>J' aime les lapins , un type intéressant de beagle .</t>
  </si>
  <si>
    <t>Amo i gatti , eccetto le anatre .</t>
  </si>
  <si>
    <t>I like cats , except ducks .</t>
  </si>
  <si>
    <t>J' aime les chats , sauf les canards .</t>
  </si>
  <si>
    <t>Amo i pappagalli , un tipo interessante di gatto .</t>
  </si>
  <si>
    <t>I like parrots , an interesting type of cat .</t>
  </si>
  <si>
    <t>J' aime les perrouquets , un type intéressant de chat .</t>
  </si>
  <si>
    <t>Amo i gatti , un tipo interessante di pappagallo .</t>
  </si>
  <si>
    <t>I like cats , an interesting type of parrot .</t>
  </si>
  <si>
    <t>J' aime les chats , un type intéressant de perrouquet .</t>
  </si>
  <si>
    <t>Amo i pappagalli , un tipo interessante di uccello .</t>
  </si>
  <si>
    <t>I like parrots , an interesting type of bird .</t>
  </si>
  <si>
    <t>J' aime les perrouquets , un type intéressant d' oiseau .</t>
  </si>
  <si>
    <t>Amo gli uccelli , un tipo interessante di pappagallo .</t>
  </si>
  <si>
    <t>I like birds , an interesting type of parrot .</t>
  </si>
  <si>
    <t>J' aime les oiseaux , un type intéressant de perrouquet .</t>
  </si>
  <si>
    <t>Amo gli uccelli , un tipo interessante di gatto .</t>
  </si>
  <si>
    <t>I like birds , an interesting type of cat .</t>
  </si>
  <si>
    <t>J' aime les oiseaux , un type intéressant de chat .</t>
  </si>
  <si>
    <t>Amo i pappagalli , un tipo interessante di criceto .</t>
  </si>
  <si>
    <t>I like parrots , an interesting type of hamster .</t>
  </si>
  <si>
    <t>J' aime les perrouquets , un type intéressant de hamster .</t>
  </si>
  <si>
    <t>Amo i criceti , un tipo interessante di pappagallo .</t>
  </si>
  <si>
    <t>I like hamsters , an interesting type of parrot .</t>
  </si>
  <si>
    <t>J' aime les hamsters , un type intéressant de perrouquet .</t>
  </si>
  <si>
    <t>Amo gli uccelli , un tipo interessante di criceto .</t>
  </si>
  <si>
    <t>I like birds , an interesting type of hamster .</t>
  </si>
  <si>
    <t>J' aime les oiseaux , un type intéressant de hamster .</t>
  </si>
  <si>
    <t>Amo i pappagalli , un tipo interessante di maiale .</t>
  </si>
  <si>
    <t>I like parrots , an interesting type of pig .</t>
  </si>
  <si>
    <t>J' aime les perrouquets , un type intéressant de cochon .</t>
  </si>
  <si>
    <t>Amo i maiali , un tipo interessante di pappagallo .</t>
  </si>
  <si>
    <t>I like pigs , an interesting type of parrot .</t>
  </si>
  <si>
    <t>J' aime les cochons , un type intéressant de perrouquet .</t>
  </si>
  <si>
    <t>Amo gli uccelli , un tipo interessante di maiale .</t>
  </si>
  <si>
    <t>I like birds , an interesting type of pig .</t>
  </si>
  <si>
    <t>J' aime les oiseaux , un type intéressant de cochon .</t>
  </si>
  <si>
    <t>Amo i pappagalli , un tipo interessante di cane .</t>
  </si>
  <si>
    <t>I like parrots , an interesting type of dog .</t>
  </si>
  <si>
    <t>J' aime les perrouquets , un type intéressant de chien .</t>
  </si>
  <si>
    <t>Amo gli uccelli , un tipo interessante di cane .</t>
  </si>
  <si>
    <t>I like birds , an interesting type of dog .</t>
  </si>
  <si>
    <t>J' aime les oiseaux , un type intéressant de chien .</t>
  </si>
  <si>
    <t>Amo le anatre , un tipo interessante di gatto .</t>
  </si>
  <si>
    <t>I like ducks , an interesting type of cat .</t>
  </si>
  <si>
    <t>J' aime les canards , un type intéressant de chat .</t>
  </si>
  <si>
    <t>Amo i gatti , un tipo interessante di anatra .</t>
  </si>
  <si>
    <t>I like cats , an interesting type of duck .</t>
  </si>
  <si>
    <t>J' aime les chats , un type intéressant de canard .</t>
  </si>
  <si>
    <t>Amo le anatre , un tipo interessante di uccello .</t>
  </si>
  <si>
    <t>I like ducks , an interesting type of bird .</t>
  </si>
  <si>
    <t>J' aime les canards , un type intéressant d' oiseau .</t>
  </si>
  <si>
    <t>Amo gli uccelli , un tipo interessante di anatra .</t>
  </si>
  <si>
    <t>I like birds , an interesting type of duck .</t>
  </si>
  <si>
    <t>J' aime les oiseaux , un type intéressant de canard .</t>
  </si>
  <si>
    <t>Amo le anatre , un tipo interessante di criceto .</t>
  </si>
  <si>
    <t>I like ducks , an interesting type of hamster .</t>
  </si>
  <si>
    <t>J' aime les canards , un type intéressant de hamster .</t>
  </si>
  <si>
    <t>Amo i criceti , un tipo interessante di anatra .</t>
  </si>
  <si>
    <t>I like hamsters , an interesting type of duck .</t>
  </si>
  <si>
    <t>J' aime les hamsters , un type intéressant de canard .</t>
  </si>
  <si>
    <t>Amo le anatre , un tipo interessante di maiale .</t>
  </si>
  <si>
    <t>I like ducks , an interesting type of pig .</t>
  </si>
  <si>
    <t>J' aime les canards , un type intéressant de cochon .</t>
  </si>
  <si>
    <t>Amo i maiali , un tipo interessante di anatra .</t>
  </si>
  <si>
    <t>I like pigs , an interesting type of duck .</t>
  </si>
  <si>
    <t>J' aime les cochons , un type intéressant de canard .</t>
  </si>
  <si>
    <t>Amo le anatre , un tipo interessante di cane .</t>
  </si>
  <si>
    <t>I like ducks , an interesting type of dog .</t>
  </si>
  <si>
    <t>J' aime les canards , un type intéressant de chien .</t>
  </si>
  <si>
    <t>Amo i cani , un tipo interessante di anatra .</t>
  </si>
  <si>
    <t>I like dogs , an interesting type of duck .</t>
  </si>
  <si>
    <t>J' aime les chiens , un type intéressant de canard .</t>
  </si>
  <si>
    <t>Amo le anatre , eccetto gli uccelli .</t>
  </si>
  <si>
    <t>I like ducks , except birds .</t>
  </si>
  <si>
    <t>J' aime les canards , sauf les oiseaux .</t>
  </si>
  <si>
    <t>Amo i merli , un tipo interessante di gatto .</t>
  </si>
  <si>
    <t>I like blackbirds , an interesting type of cat .</t>
  </si>
  <si>
    <t>J' aime les merles , un type intéressant de chat .</t>
  </si>
  <si>
    <t>Amo i gatti , un tipo interessante di merlo .</t>
  </si>
  <si>
    <t>I like cats , an interesting type of blackbird .</t>
  </si>
  <si>
    <t>J' aime les chats , un type intéressant de merle .</t>
  </si>
  <si>
    <t>Amo i merli , un tipo interessante di uccello .</t>
  </si>
  <si>
    <t>I like blackbirds , an interesting type of bird .</t>
  </si>
  <si>
    <t>J' aime les merles , un type intéressant d' oiseau .</t>
  </si>
  <si>
    <t>Amo gli uccelli , un tipo interessante di merlo .</t>
  </si>
  <si>
    <t>I like birds , an interesting type of blackbird .</t>
  </si>
  <si>
    <t>J' aime les oiseaux , un type intéressant de merle .</t>
  </si>
  <si>
    <t>Amo i merli , un tipo interessante di criceto .</t>
  </si>
  <si>
    <t>I like blackbirds , an interesting type of hamster .</t>
  </si>
  <si>
    <t>J' aime les merles , un type intéressant de hamster .</t>
  </si>
  <si>
    <t>Amo i criceti , un tipo interessante di merlo .</t>
  </si>
  <si>
    <t>I like hamsters , an interesting type of blackbird .</t>
  </si>
  <si>
    <t>J' aime les hamsters , un type intéressant de merle .</t>
  </si>
  <si>
    <t>Amo i merli , un tipo interessante di maiale .</t>
  </si>
  <si>
    <t>I like blackbirds , an interesting type of pig .</t>
  </si>
  <si>
    <t>J' aime les merles , un type intéressant de cochon .</t>
  </si>
  <si>
    <t>Amo i maiali , un tipo interessante di merlo .</t>
  </si>
  <si>
    <t>I like pigs , an interesting type of blackbird .</t>
  </si>
  <si>
    <t>J' aime les cochons , un type intéressant de merle .</t>
  </si>
  <si>
    <t>Amo i merli , un tipo interessante di cane .</t>
  </si>
  <si>
    <t>I like blackbirds , an interesting type of dog .</t>
  </si>
  <si>
    <t>J' aime les merles , un type intéressant de chien .</t>
  </si>
  <si>
    <t>Amo i cani , un tipo interessante di merlo .</t>
  </si>
  <si>
    <t>I like dogs , an interesting type of blackbird .</t>
  </si>
  <si>
    <t>J' aime les chiens , un type intéressant de merle .</t>
  </si>
  <si>
    <t>Amo i passeri , un tipo interessante di gatto .</t>
  </si>
  <si>
    <t>I like sparrows , an interesting type of cat .</t>
  </si>
  <si>
    <t>J' aime les moineaux , un type intéressant de chat .</t>
  </si>
  <si>
    <t>Amo i gatti , un tipo interessante di passero .</t>
  </si>
  <si>
    <t>I like cats , an interesting type of sparrow .</t>
  </si>
  <si>
    <t>J' aime les chats , un type intéressant de moineau .</t>
  </si>
  <si>
    <t>Amo i passeri , un tipo interessante di uccello .</t>
  </si>
  <si>
    <t>I like sparrows , an interesting type of bird .</t>
  </si>
  <si>
    <t>J' aime les moineaux , un type intéressant d' oiseau .</t>
  </si>
  <si>
    <t>Amo gli uccelli , un tipo interessante di passero .</t>
  </si>
  <si>
    <t>I like birds , an interesting type of sparrow .</t>
  </si>
  <si>
    <t>J' aime les oiseaux , un type intéressant de moineau .</t>
  </si>
  <si>
    <t>Amo i passeri , un tipo interessante di criceto .</t>
  </si>
  <si>
    <t>I like sparrows , an interesting type of hamster .</t>
  </si>
  <si>
    <t>J' aime les moineaux , un type intéressant de hamster .</t>
  </si>
  <si>
    <t>Amo i criceti , un tipo interessante di passero .</t>
  </si>
  <si>
    <t>I like hamsters , an interesting type of sparrow .</t>
  </si>
  <si>
    <t>J' aime les hamsters , un type intéressant de moineau .</t>
  </si>
  <si>
    <t>Amo i passeri , un tipo interessante di maiale .</t>
  </si>
  <si>
    <t>I like sparrows , an interesting type of pig .</t>
  </si>
  <si>
    <t>J' aime les moineaux , un type intéressant de cochon .</t>
  </si>
  <si>
    <t>Amo i maiali , un tipo interessante di passero .</t>
  </si>
  <si>
    <t>I like pigs , an interesting type of sparrow .</t>
  </si>
  <si>
    <t>J' aime les cochons , un type intéressant de moineau .</t>
  </si>
  <si>
    <t>Amo i passeri , un tipo interessante di cane .</t>
  </si>
  <si>
    <t>I like sparrows , an interesting type of dog .</t>
  </si>
  <si>
    <t>J' aime les moineaux , un type intéressant de chien .</t>
  </si>
  <si>
    <t>Amo i cani , un tipo interessante di passero .</t>
  </si>
  <si>
    <t>I like dogs , an interesting type of sparrow .</t>
  </si>
  <si>
    <t>J' aime les chiens , un type intéressant de moineau .</t>
  </si>
  <si>
    <t>Amo gli uccelli , eccetto le anatre .</t>
  </si>
  <si>
    <t>I like birds , except ducks .</t>
  </si>
  <si>
    <t>J' aime les oiseaux , sauf les canards .</t>
  </si>
  <si>
    <t>Amo le anatre , eccetto i criceti .</t>
  </si>
  <si>
    <t>I like ducks , except hamsters .</t>
  </si>
  <si>
    <t>J' aime les canards , sauf les hamsters .</t>
  </si>
  <si>
    <t>Amo i criceti , eccetto le anatre .</t>
  </si>
  <si>
    <t>I like hamsters , except ducks .</t>
  </si>
  <si>
    <t>J' aime les hamsters , sauf les canards .</t>
  </si>
  <si>
    <t>Amo le Harley-Davidson , un tipo interessante di nave .</t>
  </si>
  <si>
    <t>I like Harley-Davidson , an interesting type of ship .</t>
  </si>
  <si>
    <t>J' aime les Harley-Davidson , un type intéressant de navaire .</t>
  </si>
  <si>
    <t>Amo le navi , un tipo interessante di Harley-Davidson .</t>
  </si>
  <si>
    <t>I like ships , an interesting type of Harley-Davidson .</t>
  </si>
  <si>
    <t>J' aime les navaires , un type intéressant de Harley-Davidson .</t>
  </si>
  <si>
    <t>Amo le Harley-Davidson , un tipo interessante di moto .</t>
  </si>
  <si>
    <t>I like Harley-Davidson , an interesting type of motorcycle .</t>
  </si>
  <si>
    <t>J' aime les Harley-Davidson , un type intéressant de moto .</t>
  </si>
  <si>
    <t>Amo le moto , un tipo interessante di Harley-Davidson .</t>
  </si>
  <si>
    <t>I like motorcycles , an interesting type of Harley-Davidson .</t>
  </si>
  <si>
    <t>J' aime les motos , un type intéressant de Harley-Davidson .</t>
  </si>
  <si>
    <t>Amo le moto , un tipo interessante di nave .</t>
  </si>
  <si>
    <t>I like motorcycles , an interesting type of ship .</t>
  </si>
  <si>
    <t>J' aime les motos , un type intéressant de navaire .</t>
  </si>
  <si>
    <t>Amo le Harley-Davidson , un tipo interessante di bicicletta .</t>
  </si>
  <si>
    <t>I like Harley-Davidson , an interesting type of bicycle .</t>
  </si>
  <si>
    <t>J' aime les Harley-Davidson , un type intéressant de vélo .</t>
  </si>
  <si>
    <t>Amo le biciclette , un tipo interessante di Harley-Davidson .</t>
  </si>
  <si>
    <t>I like bicycles , an interesting type of Harley-Davidson .</t>
  </si>
  <si>
    <t>J' aime les vélos , un type intéressant de Harley-Davidson .</t>
  </si>
  <si>
    <t>Amo le moto , un tipo interessante di bicicletta .</t>
  </si>
  <si>
    <t>I like motorcycles , an interesting type of bicycle .</t>
  </si>
  <si>
    <t>J' aime les motos , un type intéressant de vélo .</t>
  </si>
  <si>
    <t>Amo le Harley-Davidson , un tipo interessante di treno .</t>
  </si>
  <si>
    <t>I like Harley-Davidson , an interesting type of train .</t>
  </si>
  <si>
    <t>J' aime les Harley-Davidson , un type intéressant de train .</t>
  </si>
  <si>
    <t>Amo i treni , un tipo interessante di Harley-Davidson .</t>
  </si>
  <si>
    <t>I like trains , an interesting type of Harley-Davidson .</t>
  </si>
  <si>
    <t>J' aime les trains , un type intéressant de Harley-Davidson .</t>
  </si>
  <si>
    <t>Amo le moto , un tipo interessante di treno .</t>
  </si>
  <si>
    <t>I like motorcycles , an interesting type of train .</t>
  </si>
  <si>
    <t>J' aime les motos , un type intéressant de train .</t>
  </si>
  <si>
    <t>Amo le Harley-Davidson , un tipo interessante di aeroplano .</t>
  </si>
  <si>
    <t>I like Harley-Davidson , an interesting type of airplane .</t>
  </si>
  <si>
    <t>J' aime les Harley-Davidson , un type intéressant d' avion .</t>
  </si>
  <si>
    <t>Amo gli aeroplani , un tipo interessante di Harley-Davidson .</t>
  </si>
  <si>
    <t>I like planes , an interesting type of Harley-Davidson .</t>
  </si>
  <si>
    <t>J' aime les avions , un type intéressant de Harley-Davidson .</t>
  </si>
  <si>
    <t>Amo le moto , un tipo interessante di aeroplano .</t>
  </si>
  <si>
    <t>I like motorcycles , an interesting type of airplane .</t>
  </si>
  <si>
    <t>J' aime les motos , un type intéressant d' avion .</t>
  </si>
  <si>
    <t>Amo le Suzuki , un tipo interessante di nave .</t>
  </si>
  <si>
    <t>I like Suzukis , an interesting type of ship .</t>
  </si>
  <si>
    <t>J' aime les Suzukis , un type intéressant de navaire .</t>
  </si>
  <si>
    <t>Amo le navi , un tipo interessante di Suzuki .</t>
  </si>
  <si>
    <t>I like ships , an interesting type of Suzuki .</t>
  </si>
  <si>
    <t>J' aime les navaires , un type intéressant de Suzuki .</t>
  </si>
  <si>
    <t>Amo le Suzuki , un tipo interessante di moto .</t>
  </si>
  <si>
    <t>I like Suzukis , an interesting type of motorcycle .</t>
  </si>
  <si>
    <t>J' aime les Suzukis , un type intéressant de moto .</t>
  </si>
  <si>
    <t>Amo le moto , un tipo interessante di Suzuki .</t>
  </si>
  <si>
    <t>I like motorcycles , an interesting type of Suzuki .</t>
  </si>
  <si>
    <t>J' aime les motos , un type intéressant de Suzuki .</t>
  </si>
  <si>
    <t>Amo le Suzuki , un tipo interessante di bicicletta .</t>
  </si>
  <si>
    <t>I like Suzukis , an interesting type of bicycle .</t>
  </si>
  <si>
    <t>J' aime les Suzukis , un type intéressant de vélo .</t>
  </si>
  <si>
    <t>Amo le biciclette , un tipo interessante di Suzuki .</t>
  </si>
  <si>
    <t>I like bicycles , an interesting type of Suzuki .</t>
  </si>
  <si>
    <t>J' aime les vélos , un type intéressant de Suzuki .</t>
  </si>
  <si>
    <t>Amo le Suzuki , un tipo interessante di treno .</t>
  </si>
  <si>
    <t>I like Suzukis , an interesting type of train .</t>
  </si>
  <si>
    <t>J' aime les Suzukis , un type intéressant de train .</t>
  </si>
  <si>
    <t>Amo i treni , un tipo interessante di Suzuki .</t>
  </si>
  <si>
    <t>I like trains , an interesting type of Suzuki .</t>
  </si>
  <si>
    <t>J' aime les trains , un type intéressant de Suzuki .</t>
  </si>
  <si>
    <t>Amo le Suzuki , un tipo interessante di aeroplano .</t>
  </si>
  <si>
    <t>I like Suzukis , an interesting type of airplane .</t>
  </si>
  <si>
    <t>J' aime les Suzukis , un type intéressant d' avion .</t>
  </si>
  <si>
    <t>Amo gli aeroplani , un tipo interessante di Suzuki .</t>
  </si>
  <si>
    <t>I like planes , an interesting type of Suzuki .</t>
  </si>
  <si>
    <t>J' aime les avions , un type intéressant de Suzuki .</t>
  </si>
  <si>
    <t>Amo gli enduro , un tipo interessante di nave .</t>
  </si>
  <si>
    <t>I like enduros , an interesting type of ship .</t>
  </si>
  <si>
    <t>J' aime les enduros , un type intéressant de navaire .</t>
  </si>
  <si>
    <t>Amo le navi , un tipo interessante di enduro .</t>
  </si>
  <si>
    <t>I like ships , an interesting type of enduro .</t>
  </si>
  <si>
    <t>J' aime les navaires , un type intéressant d' enduro .</t>
  </si>
  <si>
    <t>Amo gli enduro , un tipo interessante di moto .</t>
  </si>
  <si>
    <t>I like enduros , an interesting type of motorcycle .</t>
  </si>
  <si>
    <t>J' aime les enduros , un type intéressant de moto .</t>
  </si>
  <si>
    <t>Amo le moto , un tipo interessante di enduro .</t>
  </si>
  <si>
    <t>I like motorcycles , an interesting type of enduro .</t>
  </si>
  <si>
    <t>J' aime les motos , un type intéressant d' enduro .</t>
  </si>
  <si>
    <t>Amo gli enduro , un tipo interessante di bicicletta .</t>
  </si>
  <si>
    <t>I like enduros , an interesting type of bicycle .</t>
  </si>
  <si>
    <t>J' aime les enduros , un type intéressant de vélo .</t>
  </si>
  <si>
    <t>Amo le biciclette , un tipo interessante di enduro .</t>
  </si>
  <si>
    <t>I like bicycles , an interesting type of enduro .</t>
  </si>
  <si>
    <t>J' aime les vélos , un type intéressant d' enduro .</t>
  </si>
  <si>
    <t>Amo gli enduro , un tipo interessante di treno .</t>
  </si>
  <si>
    <t>I like enduros , an interesting type of train .</t>
  </si>
  <si>
    <t>J' aime les enduros , un type intéressant de train .</t>
  </si>
  <si>
    <t>Amo i treni , un tipo interessante di enduro .</t>
  </si>
  <si>
    <t>I like trains , an interesting type of enduro .</t>
  </si>
  <si>
    <t>J' aime les trains , un type intéressant d' enduro .</t>
  </si>
  <si>
    <t>Amo gli enduro , un tipo interessante di aeroplano .</t>
  </si>
  <si>
    <t>I like enduros , an interesting type of airplane .</t>
  </si>
  <si>
    <t>J' aime les enduros , un type intéressant d' avion .</t>
  </si>
  <si>
    <t>Amo gli aeroplani , un tipo interessante di enduro .</t>
  </si>
  <si>
    <t>I like planes , an interesting type of enduro .</t>
  </si>
  <si>
    <t>J' aime les avions , un type intéressant d' enduro .</t>
  </si>
  <si>
    <t>Amo le Kawasakis , un tipo interessante di nave .</t>
  </si>
  <si>
    <t>I like Kawasakis , an interesting type of ship .</t>
  </si>
  <si>
    <t>J' aime les Kawasakis , un type intéressant de navaire .</t>
  </si>
  <si>
    <t>Amo le navi , un tipo interessante di Kawasaki .</t>
  </si>
  <si>
    <t>I like ships , an interesting type of Kawasaki .</t>
  </si>
  <si>
    <t>J' aime les navaires , un type intéressant de Kawasaki .</t>
  </si>
  <si>
    <t>Amo le Kawasakis , un tipo interessante di moto .</t>
  </si>
  <si>
    <t>I like Kawasakis , an interesting type of motorcycle .</t>
  </si>
  <si>
    <t>J' aime les Kawasakis , un type intéressant de moto .</t>
  </si>
  <si>
    <t>Amo le moto , un tipo interessante di Kawasaki .</t>
  </si>
  <si>
    <t>I like motorcycles , an interesting type of Kawasaki .</t>
  </si>
  <si>
    <t>J' aime les motos , un type intéressant de Kawasaki .</t>
  </si>
  <si>
    <t>Amo le Kawasakis , un tipo interessante di bicicletta .</t>
  </si>
  <si>
    <t>I like Kawasakis , an interesting type of bicycle .</t>
  </si>
  <si>
    <t>J' aime les Kawasakis , un type intéressant de vélo .</t>
  </si>
  <si>
    <t>Amo le biciclette , un tipo interessante di Kawasaki .</t>
  </si>
  <si>
    <t>I like bicycles , an interesting type of Kawasaki .</t>
  </si>
  <si>
    <t>J' aime les vélos , un type intéressant de Kawasaki .</t>
  </si>
  <si>
    <t>Amo le Kawasakis , un tipo interessante di treno .</t>
  </si>
  <si>
    <t>I like Kawasakis , an interesting type of train .</t>
  </si>
  <si>
    <t>J' aime les Kawasakis , un type intéressant de train .</t>
  </si>
  <si>
    <t>Amo i treni , un tipo interessante di Kawasaki .</t>
  </si>
  <si>
    <t>I like trains , an interesting type of Kawasaki .</t>
  </si>
  <si>
    <t>J' aime les trains , un type intéressant de Kawasaki .</t>
  </si>
  <si>
    <t>Amo le Kawasakis , un tipo interessante di aeroplano .</t>
  </si>
  <si>
    <t>I like Kawasakis , an interesting type of airplane .</t>
  </si>
  <si>
    <t>J' aime les Kawasakis , un type intéressant d' avion .</t>
  </si>
  <si>
    <t>Amo gli aeroplani , un tipo interessante di Kawasaki .</t>
  </si>
  <si>
    <t>I like planes , an interesting type of Kawasaki .</t>
  </si>
  <si>
    <t>J' aime les avions , un type intéressant de Kawasaki .</t>
  </si>
  <si>
    <t>Amo i cani , eccetto i conigli .</t>
  </si>
  <si>
    <t>I like dogs , except rabbits .</t>
  </si>
  <si>
    <t>J' aime les chiens , sauf les lapins .</t>
  </si>
  <si>
    <t>Amo le camicie , un tipo interessante di animale domestico .</t>
  </si>
  <si>
    <t>I like shirts , an interesting type of pet .</t>
  </si>
  <si>
    <t>J' aime les chemises , un type intéressant d' animal de compagnie .</t>
  </si>
  <si>
    <t>Amo gli animali domestici , un tipo interessante di camicia .</t>
  </si>
  <si>
    <t>I like pets , an interesting type of shirt .</t>
  </si>
  <si>
    <t>J' aime les animaux de compagnie , un type intéressant de chemise .</t>
  </si>
  <si>
    <t>Amo le camicie , un tipo interessante di vestiti .</t>
  </si>
  <si>
    <t>I like shirts , an interesting type of clothes .</t>
  </si>
  <si>
    <t>J' aime les chemises , un type intéressant de vêtements .</t>
  </si>
  <si>
    <t>Amo i vestiti , un tipo interessante di camicia .</t>
  </si>
  <si>
    <t>I like clothes , an interesting type of shirt .</t>
  </si>
  <si>
    <t>J' aime les vêtements , un type intéressant de chemise .</t>
  </si>
  <si>
    <t>Amo i vestiti , un tipo interessante di animale domestico .</t>
  </si>
  <si>
    <t>I like clothes , an interesting type of pet .</t>
  </si>
  <si>
    <t>J' aime les vêtements , un type intéressant d' animal de compagnie .</t>
  </si>
  <si>
    <t>Amo le camicie , un tipo interessante di gioielli .</t>
  </si>
  <si>
    <t>I like shirts , an interesting type of jewelry .</t>
  </si>
  <si>
    <t>J' aime les chemises , un type intéressant de bijoux .</t>
  </si>
  <si>
    <t>Amo i gioielli , un tipo interessante di camicia .</t>
  </si>
  <si>
    <t>I like jewelry , an interesting type of shirt .</t>
  </si>
  <si>
    <t>J' aime les bijoux , un type intéressant de chemise .</t>
  </si>
  <si>
    <t>Amo i vestiti , un tipo interessante di gioielli .</t>
  </si>
  <si>
    <t>I like clothes , an interesting type of jewelry .</t>
  </si>
  <si>
    <t>J' aime les vêtements , un type intéressant de bijoux .</t>
  </si>
  <si>
    <t>Amo le camicie , un tipo interessante di vetro .</t>
  </si>
  <si>
    <t>I like shirts , an interesting type of glass .</t>
  </si>
  <si>
    <t>J' aime les chemises , un type intéressant de verre .</t>
  </si>
  <si>
    <t>Amo gli occhiali , un tipo interessante di camicia .</t>
  </si>
  <si>
    <t>I like glasses , an interesting type of shirt .</t>
  </si>
  <si>
    <t>J' aime les lunettes , un type intéressant de chemise .</t>
  </si>
  <si>
    <t>Amo i vestiti , un tipo interessante di vetro .</t>
  </si>
  <si>
    <t>I like clothes , an interesting type of glass .</t>
  </si>
  <si>
    <t>J' aime les vêtements , un type intéressant de verre .</t>
  </si>
  <si>
    <t>Amo le camicie , un tipo interessante di orecchino .</t>
  </si>
  <si>
    <t>I like shirts , an interesting type of earring .</t>
  </si>
  <si>
    <t>J' aime les chemises , un type intéressant de boucle d' oreille .</t>
  </si>
  <si>
    <t>Amo gli orecchini , un tipo interessante di camicia .</t>
  </si>
  <si>
    <t>I like earrings , an interesting type of shirt .</t>
  </si>
  <si>
    <t>J' aime les boucles d' oreille , un type intéressant de chemise .</t>
  </si>
  <si>
    <t>Amo i vestiti , un tipo interessante di orecchino .</t>
  </si>
  <si>
    <t>I like clothes , an interesting type of earring .</t>
  </si>
  <si>
    <t>J' aime les vêtements , un type intéressant de boucle d' oreille .</t>
  </si>
  <si>
    <t>Amo i pantaloni , un tipo interessante di animale domestico .</t>
  </si>
  <si>
    <t>I like trousers , an interesting type of pet .</t>
  </si>
  <si>
    <t>J' aime les pantalons , un type intéressant d' animal de compagnie .</t>
  </si>
  <si>
    <t>Amo gli animali domestici , un tipo interessante di trouser .</t>
  </si>
  <si>
    <t>I like pets , an interesting type of trouser .</t>
  </si>
  <si>
    <t>J' aime les animaux de compagnie , un type intéressant de trouser .</t>
  </si>
  <si>
    <t>Amo i pantaloni , un tipo interessante di vestiti .</t>
  </si>
  <si>
    <t>I like trousers , an interesting type of clothes .</t>
  </si>
  <si>
    <t>J' aime les pantalons , un type intéressant de vêtements .</t>
  </si>
  <si>
    <t>Amo i vestiti , un tipo interessante di pantaloni .</t>
  </si>
  <si>
    <t>I like clothes , an interesting type of trousers .</t>
  </si>
  <si>
    <t>J' aime les vêtements , un type intéressant de pantalons .</t>
  </si>
  <si>
    <t>Amo i pantaloni , un tipo interessante di gioielli .</t>
  </si>
  <si>
    <t>I like trousers , an interesting type of jewelry .</t>
  </si>
  <si>
    <t>J' aime les pantalons , un type intéressant de bijoux .</t>
  </si>
  <si>
    <t>Amo i gioielli , un tipo interessante di trouser .</t>
  </si>
  <si>
    <t>I like jewelry , an interesting type of trouser .</t>
  </si>
  <si>
    <t>J' aime les bijoux , un type intéressant de trouser .</t>
  </si>
  <si>
    <t>Amo i pantaloni , un tipo interessante di vetro .</t>
  </si>
  <si>
    <t>I like trousers , an interesting type of glass .</t>
  </si>
  <si>
    <t>J' aime les pantalons , un type intéressant de verre .</t>
  </si>
  <si>
    <t>Amo gli occhiali , un tipo interessante di trouser .</t>
  </si>
  <si>
    <t>I like glasses , an interesting type of trouser .</t>
  </si>
  <si>
    <t>J' aime les lunettes , un type intéressant de trouser .</t>
  </si>
  <si>
    <t>Amo i pantaloni , un tipo interessante di orecchino .</t>
  </si>
  <si>
    <t>I like trousers , an interesting type of earring .</t>
  </si>
  <si>
    <t>J' aime les pantalons , un type intéressant de boucle d' oreille .</t>
  </si>
  <si>
    <t>Amo gli orecchini , un tipo interessante di trouser .</t>
  </si>
  <si>
    <t>I like earrings , an interesting type of trouser .</t>
  </si>
  <si>
    <t>J' aime les boucles d' oreille , un type intéressant de trouser .</t>
  </si>
  <si>
    <t>Amo le anatre , eccetto i maiali .</t>
  </si>
  <si>
    <t>I like ducks , except pigs .</t>
  </si>
  <si>
    <t>J' aime les canards , sauf les cochons .</t>
  </si>
  <si>
    <t>Amo le calze , un tipo interessante di animale domestico .</t>
  </si>
  <si>
    <t>I like socks , an interesting type of pet .</t>
  </si>
  <si>
    <t>J' aime les chausettes , un type intéressant d' animal de compagnie .</t>
  </si>
  <si>
    <t>Amo gli animali domestici , un tipo interessante di calza .</t>
  </si>
  <si>
    <t>I like pets , an interesting type of sock .</t>
  </si>
  <si>
    <t>J' aime les animaux de compagnie , un type intéressant de chausette .</t>
  </si>
  <si>
    <t>Amo le calze , un tipo interessante di vestiti .</t>
  </si>
  <si>
    <t>I like socks , an interesting type of clothes .</t>
  </si>
  <si>
    <t>J' aime les chausettes , un type intéressant de vêtements .</t>
  </si>
  <si>
    <t>Amo i vestiti , un tipo interessante di calze .</t>
  </si>
  <si>
    <t>I like clothes , an interesting type of socks .</t>
  </si>
  <si>
    <t>J' aime les vêtements , un type intéressant de chausettes .</t>
  </si>
  <si>
    <t>Amo le calze , un tipo interessante di gioielli .</t>
  </si>
  <si>
    <t>I like socks , an interesting type of jewelry .</t>
  </si>
  <si>
    <t>J' aime les chausettes , un type intéressant de bijoux .</t>
  </si>
  <si>
    <t>Amo i gioielli , un tipo interessante di calza .</t>
  </si>
  <si>
    <t>I like jewelry , an interesting type of sock .</t>
  </si>
  <si>
    <t>J' aime les bijoux , un type intéressant de chausette .</t>
  </si>
  <si>
    <t>Amo le calze , un tipo interessante di vetro .</t>
  </si>
  <si>
    <t>I like socks , an interesting type of glass .</t>
  </si>
  <si>
    <t>J' aime les chausettes , un type intéressant de verre .</t>
  </si>
  <si>
    <t>Amo gli occhiali , un tipo interessante di calza .</t>
  </si>
  <si>
    <t>I like glasses , an interesting type of sock .</t>
  </si>
  <si>
    <t>J' aime les lunettes , un type intéressant de chausette .</t>
  </si>
  <si>
    <t>Amo le calze , un tipo interessante di orecchino .</t>
  </si>
  <si>
    <t>I like socks , an interesting type of earring .</t>
  </si>
  <si>
    <t>J' aime les chausettes , un type intéressant de boucle d' oreille .</t>
  </si>
  <si>
    <t>Amo gli orecchini , un tipo interessante di calza .</t>
  </si>
  <si>
    <t>I like earrings , an interesting type of sock .</t>
  </si>
  <si>
    <t>J' aime les boucles d' oreille , un type intéressant de chausette .</t>
  </si>
  <si>
    <t>Amo le gonne , un tipo interessante di animale domestico .</t>
  </si>
  <si>
    <t>I like skirts , an interesting type of pet .</t>
  </si>
  <si>
    <t>J' aime les jupes , un type intéressant d' animal de compagnie .</t>
  </si>
  <si>
    <t>Amo gli animali domestici , un tipo interessante di gonna .</t>
  </si>
  <si>
    <t>I like pets , an interesting type of skirt .</t>
  </si>
  <si>
    <t>J' aime les animaux de compagnie , un type intéressant de jupe .</t>
  </si>
  <si>
    <t>Amo le gonne , un tipo interessante di vestiti .</t>
  </si>
  <si>
    <t>I like skirts , an interesting type of clothes .</t>
  </si>
  <si>
    <t>J' aime les jupes , un type intéressant de vêtements .</t>
  </si>
  <si>
    <t>Amo i vestiti , un tipo interessante di gonna .</t>
  </si>
  <si>
    <t>I like clothes , an interesting type of skirt .</t>
  </si>
  <si>
    <t>J' aime les vêtements , un type intéressant de jupe .</t>
  </si>
  <si>
    <t>Amo le gonne , un tipo interessante di gioielli .</t>
  </si>
  <si>
    <t>I like skirts , an interesting type of jewelry .</t>
  </si>
  <si>
    <t>J' aime les jupes , un type intéressant de bijoux .</t>
  </si>
  <si>
    <t>Amo i gioielli , un tipo interessante di gonna .</t>
  </si>
  <si>
    <t>I like jewelry , an interesting type of skirt .</t>
  </si>
  <si>
    <t>J' aime les bijoux , un type intéressant de jupe .</t>
  </si>
  <si>
    <t>Amo le gonne , un tipo interessante di vetro .</t>
  </si>
  <si>
    <t>I like skirts , an interesting type of glass .</t>
  </si>
  <si>
    <t>J' aime les jupes , un type intéressant de verre .</t>
  </si>
  <si>
    <t>Amo gli occhiali , un tipo interessante di gonna .</t>
  </si>
  <si>
    <t>I like glasses , an interesting type of skirt .</t>
  </si>
  <si>
    <t>J' aime les lunettes , un type intéressant de jupe .</t>
  </si>
  <si>
    <t>Amo le gonne , un tipo interessante di orecchino .</t>
  </si>
  <si>
    <t>I like skirts , an interesting type of earring .</t>
  </si>
  <si>
    <t>J' aime les jupes , un type intéressant de boucle d' oreille .</t>
  </si>
  <si>
    <t>Amo gli orecchini , un tipo interessante di gonna .</t>
  </si>
  <si>
    <t>I like earrings , an interesting type of skirt .</t>
  </si>
  <si>
    <t>J' aime les boucles d' oreille , un type intéressant de jupe .</t>
  </si>
  <si>
    <t>Amo i maiali , eccetto le anatre .</t>
  </si>
  <si>
    <t>I like pigs , except ducks .</t>
  </si>
  <si>
    <t>J' aime les cochons , sauf les canards .</t>
  </si>
  <si>
    <t>Adoro le querce , un tipo interessante di erba .</t>
  </si>
  <si>
    <t>I like oaks , an interesting type of grass .</t>
  </si>
  <si>
    <t>J' adore les chênes , un type intéressant de pelouse .</t>
  </si>
  <si>
    <t>Adoro l' erba , un tipo interessante di quercia .</t>
  </si>
  <si>
    <t>I like grass , an interesting type of oak .</t>
  </si>
  <si>
    <t>J' adore la pelouse , un type intéressant de chênes .</t>
  </si>
  <si>
    <t>Adoro le querce , un tipo interessante di albero .</t>
  </si>
  <si>
    <t>I like oaks , an interesting type of tree .</t>
  </si>
  <si>
    <t>J' adore les chênes , un type intéressant d' arbre .</t>
  </si>
  <si>
    <t>Adoro gli alberi , un tipo interessante di quercia .</t>
  </si>
  <si>
    <t>I like trees , an interesting type of oak .</t>
  </si>
  <si>
    <t>J' adore les arbres , un type intéressant de chênes .</t>
  </si>
  <si>
    <t>Adoro gli alberi , un tipo interessante di erba .</t>
  </si>
  <si>
    <t>I like trees , an interesting type of grass .</t>
  </si>
  <si>
    <t>J' adore les arbres , un type intéressant de pelouse .</t>
  </si>
  <si>
    <t>Adoro le querce , un tipo interessante di animale .</t>
  </si>
  <si>
    <t>I like oaks , an interesting type of animal .</t>
  </si>
  <si>
    <t>J' adore les chênes , un type intéressant d' animal .</t>
  </si>
  <si>
    <t>Adoro gli animali , un tipo interessante di quercia .</t>
  </si>
  <si>
    <t>I like animals , an interesting type of oak .</t>
  </si>
  <si>
    <t>J' adore les animaux , un type intéressant de chênes .</t>
  </si>
  <si>
    <t>Adoro gli alberi , un tipo interessante di animale .</t>
  </si>
  <si>
    <t>I like trees , an interesting type of animal .</t>
  </si>
  <si>
    <t>J' adore les arbres , un type intéressant d' animal .</t>
  </si>
  <si>
    <t>Adoro le querce , un tipo interessante di cespuglio .</t>
  </si>
  <si>
    <t>I like oaks , an interesting type of bush .</t>
  </si>
  <si>
    <t>J' adore les chênes , un type intéressant de buisson .</t>
  </si>
  <si>
    <t>Adoro i cespugli , un tipo interessante di quercia .</t>
  </si>
  <si>
    <t>I like bushes , an interesting type of oak .</t>
  </si>
  <si>
    <t>J' adore les buissons , un type intéressant de chênes .</t>
  </si>
  <si>
    <t>Adoro gli alberi , un tipo interessante di cespuglio .</t>
  </si>
  <si>
    <t>I like trees , an interesting type of bush .</t>
  </si>
  <si>
    <t>J' adore les arbres , un type intéressant de buisson .</t>
  </si>
  <si>
    <t>Adoro le querce , un tipo interessante di arbusto .</t>
  </si>
  <si>
    <t>I like oaks , an interesting type of shrub .</t>
  </si>
  <si>
    <t>J' adore les chênes , un type intéressant d' arbuste .</t>
  </si>
  <si>
    <t>Adoro gli arbusti , un tipo interessante di quercia .</t>
  </si>
  <si>
    <t>I like shrubs , an interesting type of oak .</t>
  </si>
  <si>
    <t>J' adore les arbustes , un type intéressant de chênes .</t>
  </si>
  <si>
    <t>Adoro gli alberi , un tipo interessante di arbusto .</t>
  </si>
  <si>
    <t>I like trees , an interesting type of shrub .</t>
  </si>
  <si>
    <t>J' adore les arbres , un type intéressant d' arbuste .</t>
  </si>
  <si>
    <t>Adoro le betulle , un tipo interessante di erba .</t>
  </si>
  <si>
    <t>I like birches , an interesting type of grass .</t>
  </si>
  <si>
    <t>J' adore les bouleaux , un type intéressant de pelouse .</t>
  </si>
  <si>
    <t>Adoro l' erba , un tipo interessante di betulla .</t>
  </si>
  <si>
    <t>I like grass , an interesting type of birch .</t>
  </si>
  <si>
    <t>J' adore la pelouse , un type intéressant de bouleau .</t>
  </si>
  <si>
    <t>Adoro le betulle , un tipo interessante di albero .</t>
  </si>
  <si>
    <t>I like birches , an interesting type of tree .</t>
  </si>
  <si>
    <t>J' adore les bouleaux , un type intéressant d' arbre .</t>
  </si>
  <si>
    <t>Adoro gli alberi , un tipo interessante di betulla .</t>
  </si>
  <si>
    <t>I like trees , an interesting type of birch .</t>
  </si>
  <si>
    <t>J' adore les arbres , un type intéressant de bouleau .</t>
  </si>
  <si>
    <t>Adoro le betulle , un tipo interessante di animale .</t>
  </si>
  <si>
    <t>I like birches , an interesting type of animal .</t>
  </si>
  <si>
    <t>J' adore les bouleaux , un type intéressant d' animal .</t>
  </si>
  <si>
    <t>Adoro gli animali , un tipo interessante di betulla .</t>
  </si>
  <si>
    <t>I like animals , an interesting type of birch .</t>
  </si>
  <si>
    <t>J' adore les animaux , un type intéressant de bouleau .</t>
  </si>
  <si>
    <t>Adoro le betulle , un tipo interessante di cespuglio .</t>
  </si>
  <si>
    <t>I like birches , an interesting type of bush .</t>
  </si>
  <si>
    <t>J' adore les bouleaux , un type intéressant de buisson .</t>
  </si>
  <si>
    <t>Adoro i cespugli , un tipo interessante di betulla .</t>
  </si>
  <si>
    <t>I like bushes , an interesting type of birch .</t>
  </si>
  <si>
    <t>J' adore les buissons , un type intéressant de bouleau .</t>
  </si>
  <si>
    <t>Adoro le betulle , un tipo interessante di arbusto .</t>
  </si>
  <si>
    <t>I like birches , an interesting type of shrub .</t>
  </si>
  <si>
    <t>J' adore les bouleaux , un type intéressant d' arbuste .</t>
  </si>
  <si>
    <t>Adoro gli arbusti , un tipo interessante di betulla .</t>
  </si>
  <si>
    <t>I like shrubs , an interesting type of birch .</t>
  </si>
  <si>
    <t>J' adore les arbustes , un type intéressant de bouleau .</t>
  </si>
  <si>
    <t>Adoro gli abeti , un tipo interessante di erba .</t>
  </si>
  <si>
    <t>I like firs , an interesting type of grass .</t>
  </si>
  <si>
    <t>J' adore les sapins , un type intéressant de pelouse .</t>
  </si>
  <si>
    <t>Adoro l' erba , un tipo interessante di abete .</t>
  </si>
  <si>
    <t>I like grass , an interesting type of fir .</t>
  </si>
  <si>
    <t>J' adore la pelouse , un type intéressant de sapin .</t>
  </si>
  <si>
    <t>Adoro gli abeti , un tipo interessante di albero .</t>
  </si>
  <si>
    <t>I like firs , an interesting type of tree .</t>
  </si>
  <si>
    <t>J' adore les sapins , un type intéressant d' arbre .</t>
  </si>
  <si>
    <t>Adoro gli alberi , un tipo interessante di abete .</t>
  </si>
  <si>
    <t>I like trees , an interesting type of fir .</t>
  </si>
  <si>
    <t>J' adore les arbres , un type intéressant de sapin .</t>
  </si>
  <si>
    <t>Adoro gli abeti , un tipo interessante di animale .</t>
  </si>
  <si>
    <t>I like firs , an interesting type of animal .</t>
  </si>
  <si>
    <t>J' adore les sapins , un type intéressant d' animal .</t>
  </si>
  <si>
    <t>Adoro gli animali , un tipo interessante di abete .</t>
  </si>
  <si>
    <t>I like animals , an interesting type of fir .</t>
  </si>
  <si>
    <t>J' adore les animaux , un type intéressant de sapin .</t>
  </si>
  <si>
    <t>Adoro gli abeti , un tipo interessante di cespuglio .</t>
  </si>
  <si>
    <t>I like firs , an interesting type of bush .</t>
  </si>
  <si>
    <t>J' adore les sapins , un type intéressant de buisson .</t>
  </si>
  <si>
    <t>Adoro i cespugli , un tipo interessante di abete .</t>
  </si>
  <si>
    <t>I like bushes , an interesting type of fir .</t>
  </si>
  <si>
    <t>J' adore les buissons , un type intéressant de sapin .</t>
  </si>
  <si>
    <t>Adoro gli abeti , un tipo interessante di arbusto .</t>
  </si>
  <si>
    <t>I like firs , an interesting type of shrub .</t>
  </si>
  <si>
    <t>J' adore les sapins , un type intéressant d' arbuste .</t>
  </si>
  <si>
    <t>Adoro gli arbusti , un tipo interessante di abete .</t>
  </si>
  <si>
    <t>I like shrubs , an interesting type of fir .</t>
  </si>
  <si>
    <t>J' adore les arbustes , un type intéressant de sapin .</t>
  </si>
  <si>
    <t>Adoro i pini , un tipo interessante di erba .</t>
  </si>
  <si>
    <t>I like pines , an interesting type of grass .</t>
  </si>
  <si>
    <t>J' adore les pins , un type intéressant de pelouse .</t>
  </si>
  <si>
    <t>Adoro l' erba , un tipo interessante di pino .</t>
  </si>
  <si>
    <t>I like grass , an interesting type of pine .</t>
  </si>
  <si>
    <t>J' adore la pelouse , un type intéressant de pin .</t>
  </si>
  <si>
    <t>Adoro i pini , un tipo interessante di albero .</t>
  </si>
  <si>
    <t>I like pines , an interesting type of tree .</t>
  </si>
  <si>
    <t>J' adore les pins , un type intéressant d' arbre .</t>
  </si>
  <si>
    <t>Adoro gli alberi , un tipo interessante di pino .</t>
  </si>
  <si>
    <t>I like trees , an interesting type of pine .</t>
  </si>
  <si>
    <t>J' adore les arbres , un type intéressant de pin .</t>
  </si>
  <si>
    <t>Adoro i pini , un tipo interessante di animale .</t>
  </si>
  <si>
    <t>I like pines , an interesting type of animal .</t>
  </si>
  <si>
    <t>J' adore les pins , un type intéressant d' animal .</t>
  </si>
  <si>
    <t>Adoro gli animali , un tipo interessante di pino .</t>
  </si>
  <si>
    <t>I like animals , an interesting type of pine .</t>
  </si>
  <si>
    <t>J' adore les animaux , un type intéressant de pin .</t>
  </si>
  <si>
    <t>Adoro i pini , un tipo interessante di cespuglio .</t>
  </si>
  <si>
    <t>I like pines , an interesting type of bush .</t>
  </si>
  <si>
    <t>J' adore les pins , un type intéressant de buisson .</t>
  </si>
  <si>
    <t>Adoro i cespugli , un tipo interessante di pino .</t>
  </si>
  <si>
    <t>I like bushes , an interesting type of pine .</t>
  </si>
  <si>
    <t>J' adore les buissons , un type intéressant de pin .</t>
  </si>
  <si>
    <t>Adoro i pini , un tipo interessante di arbusto .</t>
  </si>
  <si>
    <t>I like pines , an interesting type of shrub .</t>
  </si>
  <si>
    <t>J' adore les pins , un type intéressant d' arbuste .</t>
  </si>
  <si>
    <t>Adoro gli arbusti , un tipo interessante di pino .</t>
  </si>
  <si>
    <t>I like shrubs , an interesting type of pine .</t>
  </si>
  <si>
    <t>J' adore les arbustes , un type intéressant de pin .</t>
  </si>
  <si>
    <t>Uso il poliestere , un tipo interessante di legno .</t>
  </si>
  <si>
    <t>I use polyester , an interesting type of wood .</t>
  </si>
  <si>
    <t>J' utilise le polyester , un type intéressant de bois .</t>
  </si>
  <si>
    <t>Uso il legno , un tipo interessante di poliestere .</t>
  </si>
  <si>
    <t>I use wood , an interesting type of polyester .</t>
  </si>
  <si>
    <t>J' utilise le bois , un type intéressant de polyester .</t>
  </si>
  <si>
    <t>Uso il poliestere , un tipo interessante di plastica .</t>
  </si>
  <si>
    <t>I use polyester , an interesting type of plastic .</t>
  </si>
  <si>
    <t>J' utilise le polyester , un type intéressant de plastique .</t>
  </si>
  <si>
    <t>Uso la plastica , un tipo interessante di poliestere .</t>
  </si>
  <si>
    <t>I use plastic , an interesting type of polyester .</t>
  </si>
  <si>
    <t>J' utilise le plastique , un type intéressant de polyester .</t>
  </si>
  <si>
    <t>Uso la plastica , un tipo interessante di legno .</t>
  </si>
  <si>
    <t>I use plastic , an interesting type of wood .</t>
  </si>
  <si>
    <t>J' utilise le plastique , un type intéressant de bois .</t>
  </si>
  <si>
    <t>Uso il poliestere , un tipo interessante di cotone .</t>
  </si>
  <si>
    <t>I use polyester , an interesting type of cotton .</t>
  </si>
  <si>
    <t>J' utilise le polyester , un type intéressant de coton .</t>
  </si>
  <si>
    <t>Uso il cotone , un tipo interessante di poliestere .</t>
  </si>
  <si>
    <t>I use cotton , an interesting type of polyester .</t>
  </si>
  <si>
    <t>J' utilise le coton , un type intéressant de polyester .</t>
  </si>
  <si>
    <t>Uso la plastica , un tipo interessante di cotone .</t>
  </si>
  <si>
    <t>I use plastic , an interesting type of cotton .</t>
  </si>
  <si>
    <t>J' utilise le plastique , un type intéressant de coton .</t>
  </si>
  <si>
    <t>Uso il poliestere , un tipo interessante di vetro .</t>
  </si>
  <si>
    <t>I use polyester , an interesting type of glass .</t>
  </si>
  <si>
    <t>J' utilise le polyester , un type intéressant de verre .</t>
  </si>
  <si>
    <t>Uso il vetro , un tipo interessante di poliestere .</t>
  </si>
  <si>
    <t>I use glass , an interesting type of polyester .</t>
  </si>
  <si>
    <t>J' utilise le verre , un type intéressant de polyester .</t>
  </si>
  <si>
    <t>Uso la plastica , un tipo interessante di vetro .</t>
  </si>
  <si>
    <t>I use plastic , an interesting type of glass .</t>
  </si>
  <si>
    <t>J' utilise le plastique , un type intéressant de verre .</t>
  </si>
  <si>
    <t>Uso il poliestere , un tipo interessante di cuoio .</t>
  </si>
  <si>
    <t>I use polyester , an interesting type of leather .</t>
  </si>
  <si>
    <t>J' utilise le polyester , un type intéressant de cuir .</t>
  </si>
  <si>
    <t>Uso il cuoio , un tipo interessante di poliestere .</t>
  </si>
  <si>
    <t>I use leather , an interesting type of polyester .</t>
  </si>
  <si>
    <t>J' utilise le cuir , un type intéressant de polyester .</t>
  </si>
  <si>
    <t>Uso la plastica , un tipo interessante di cuoio .</t>
  </si>
  <si>
    <t>I use plastic , an interesting type of leather .</t>
  </si>
  <si>
    <t>J' utilise le plastique , un type intéressant de cuir .</t>
  </si>
  <si>
    <t>Uso il nylon , un tipo interessante di legno .</t>
  </si>
  <si>
    <t>I use nylon , an interesting type of wood .</t>
  </si>
  <si>
    <t>J' utilise le nylon , un type intéressant de bois .</t>
  </si>
  <si>
    <t>Uso il legno , un tipo interessante di nylon .</t>
  </si>
  <si>
    <t>I use wood , an interesting type of nylon .</t>
  </si>
  <si>
    <t>J' utilise le bois , un type intéressant de nylon .</t>
  </si>
  <si>
    <t>Uso il nylon , un tipo interessante di plastica .</t>
  </si>
  <si>
    <t>I use nylon , an interesting type of plastic .</t>
  </si>
  <si>
    <t>J' utilise le nylon , un type intéressant de plastique .</t>
  </si>
  <si>
    <t>Uso la plastica , un tipo interessante di nylon .</t>
  </si>
  <si>
    <t>I use plastic , an interesting type of nylon .</t>
  </si>
  <si>
    <t>J' utilise le plastique , un type intéressant de nylon .</t>
  </si>
  <si>
    <t>Uso il nylon , un tipo interessante di cotone .</t>
  </si>
  <si>
    <t>I use nylon , an interesting type of cotton .</t>
  </si>
  <si>
    <t>J' utilise le nylon , un type intéressant de coton .</t>
  </si>
  <si>
    <t>Uso il cotone , un tipo interessante di nylon .</t>
  </si>
  <si>
    <t>I use cotton , an interesting type of nylon .</t>
  </si>
  <si>
    <t>J' utilise le coton , un type intéressant de nylon .</t>
  </si>
  <si>
    <t>Uso il nylon , un tipo interessante di vetro .</t>
  </si>
  <si>
    <t>I use nylon , an interesting type of glass .</t>
  </si>
  <si>
    <t>J' utilise le nylon , un type intéressant de verre .</t>
  </si>
  <si>
    <t>Uso il vetro , un tipo interessante di nylon .</t>
  </si>
  <si>
    <t>I use glass , an interesting type of nylon .</t>
  </si>
  <si>
    <t>J' utilise le verre , un type intéressant de nylon .</t>
  </si>
  <si>
    <t>Uso il nylon , un tipo interessante di cuoio .</t>
  </si>
  <si>
    <t>I use nylon , an interesting type of leather .</t>
  </si>
  <si>
    <t>J' utilise le nylon , un type intéressant de cuir .</t>
  </si>
  <si>
    <t>Uso il cuoio , un tipo interessante di nylon .</t>
  </si>
  <si>
    <t>I use leather , an interesting type of nylon .</t>
  </si>
  <si>
    <t>J' utilise le cuir , un type intéressant de nylon .</t>
  </si>
  <si>
    <t>Uso il vinile , un tipo interessante di legno .</t>
  </si>
  <si>
    <t>I use vinyl , an interesting type of wood .</t>
  </si>
  <si>
    <t>J' utilise le vinyle , un type intéressant de bois .</t>
  </si>
  <si>
    <t>Uso il legno , un tipo interessante di vinile .</t>
  </si>
  <si>
    <t>I use wood , an interesting type of vinyl .</t>
  </si>
  <si>
    <t>J' utilise le bois , un type intéressant de vinyle .</t>
  </si>
  <si>
    <t>Uso il vinile , un tipo interessante di plastica .</t>
  </si>
  <si>
    <t>I use vinyl , an interesting type of plastic .</t>
  </si>
  <si>
    <t>J' utilise le vinyle , un type intéressant de plastique .</t>
  </si>
  <si>
    <t>Uso la plastica , un tipo interessante di vinile .</t>
  </si>
  <si>
    <t>I use plastic , an interesting type of vinyl .</t>
  </si>
  <si>
    <t>J' utilise le plastique , un type intéressant de vinyle .</t>
  </si>
  <si>
    <t>Uso il vinile , un tipo interessante di cotone .</t>
  </si>
  <si>
    <t>I use vinyl , an interesting type of cotton .</t>
  </si>
  <si>
    <t>J' utilise le vinyle , un type intéressant de coton .</t>
  </si>
  <si>
    <t>Uso il cotone , un tipo interessante di vinile .</t>
  </si>
  <si>
    <t>I use cotton , an interesting type of vinyl .</t>
  </si>
  <si>
    <t>J' utilise le coton , un type intéressant de vinyle .</t>
  </si>
  <si>
    <t>Uso il vinile , un tipo interessante di vetro .</t>
  </si>
  <si>
    <t>I use vinyl , an interesting type of glass .</t>
  </si>
  <si>
    <t>J' utilise le vinyle , un type intéressant de verre .</t>
  </si>
  <si>
    <t>Uso il vetro , un tipo interessante di vinile .</t>
  </si>
  <si>
    <t>I use glass , an interesting type of vinyl .</t>
  </si>
  <si>
    <t>J' utilise le verre , un type intéressant de vinyle .</t>
  </si>
  <si>
    <t>Uso il vinile , un tipo interessante di cuoio .</t>
  </si>
  <si>
    <t>I use vinyl , an interesting type of leather .</t>
  </si>
  <si>
    <t>J' utilise le vinyle , un type intéressant de cuir .</t>
  </si>
  <si>
    <t>Uso il cuoio , un tipo interessante di vinile .</t>
  </si>
  <si>
    <t>I use leather , an interesting type of vinyl .</t>
  </si>
  <si>
    <t>J' utilise le cuir , un type intéressant de vinyle .</t>
  </si>
  <si>
    <t>Amo le anatre , eccetto i cani .</t>
  </si>
  <si>
    <t>I like ducks , except dogs .</t>
  </si>
  <si>
    <t>J' aime les canards , sauf les chiens .</t>
  </si>
  <si>
    <t>Uso il PVC , un tipo interessante di legno .</t>
  </si>
  <si>
    <t>I use PVC , an interesting type of wood .</t>
  </si>
  <si>
    <t>J' utilise le PVC , un type intéressant de bois .</t>
  </si>
  <si>
    <t>Uso il legno , un tipo interessante di PVC .</t>
  </si>
  <si>
    <t>I use wood , an interesting type of PVC .</t>
  </si>
  <si>
    <t>J' utilise le bois , un type intéressant de PVC .</t>
  </si>
  <si>
    <t>Uso il PVC , un tipo interessante di plastica .</t>
  </si>
  <si>
    <t>I use PVC , an interesting type of plastic .</t>
  </si>
  <si>
    <t>J' utilise le PVC , un type intéressant de plastique .</t>
  </si>
  <si>
    <t>Uso la plastica , un tipo interessante di PVC .</t>
  </si>
  <si>
    <t>I use plastic , an interesting type of PVC .</t>
  </si>
  <si>
    <t>J' utilise le plastique , un type intéressant de PVC .</t>
  </si>
  <si>
    <t>Uso il PVC , un tipo interessante di cotone .</t>
  </si>
  <si>
    <t>I use PVC , an interesting type of cotton .</t>
  </si>
  <si>
    <t>J' utilise le PVC , un type intéressant de coton .</t>
  </si>
  <si>
    <t>Uso il cotone , un tipo interessante di PVC .</t>
  </si>
  <si>
    <t>I use cotton , an interesting type of PVC .</t>
  </si>
  <si>
    <t>J' utilise le coton , un type intéressant de PVC .</t>
  </si>
  <si>
    <t>Uso il PVC , un tipo interessante di vetro .</t>
  </si>
  <si>
    <t>I use PVC , an interesting type of glass .</t>
  </si>
  <si>
    <t>J' utilise le PVC , un type intéressant de verre .</t>
  </si>
  <si>
    <t>Uso il vetro , un tipo interessante di PVC .</t>
  </si>
  <si>
    <t>I use glass , an interesting type of PVC .</t>
  </si>
  <si>
    <t>J' utilise le verre , un type intéressant de PVC .</t>
  </si>
  <si>
    <t>Uso il PVC , un tipo interessante di cuoio .</t>
  </si>
  <si>
    <t>I use PVC , an interesting type of leather .</t>
  </si>
  <si>
    <t>J' utilise le PVC , un type intéressant de cuir .</t>
  </si>
  <si>
    <t>Uso il cuoio , un tipo interessante di PVC .</t>
  </si>
  <si>
    <t>I use leather , an interesting type of PVC .</t>
  </si>
  <si>
    <t>J' utilise le cuir , un type intéressant de PVC .</t>
  </si>
  <si>
    <t>Apprezzo le sedie , un tipo interessante di posate .</t>
  </si>
  <si>
    <t>I like chairs , an interesting type of cutlery .</t>
  </si>
  <si>
    <t>J' apprécie les chaises , un type intéressant de couverts .</t>
  </si>
  <si>
    <t>Apprezzo le posate , un tipo interessante di sedia .</t>
  </si>
  <si>
    <t>I like cutlery , an interesting type of chair .</t>
  </si>
  <si>
    <t>J' apprécie les couverts , un type intéressant de chaise .</t>
  </si>
  <si>
    <t>Apprezzo le sedie , un tipo interessante di mobili .</t>
  </si>
  <si>
    <t>I like chairs , an interesting type of furniture .</t>
  </si>
  <si>
    <t>J' apprécie les chaises , un type intéressant de meubles .</t>
  </si>
  <si>
    <t>Apprezzo i mobili , un tipo interessante di sedia .</t>
  </si>
  <si>
    <t>I like furniture , an interesting type of chair .</t>
  </si>
  <si>
    <t>J' apprécie les meubles , un type intéressant de chaise .</t>
  </si>
  <si>
    <t>Apprezzo i mobili , un tipo interessante di posate .</t>
  </si>
  <si>
    <t>I like furniture , an interesting type of cutlery .</t>
  </si>
  <si>
    <t>J' apprécie les meubles , un type intéressant de couverts .</t>
  </si>
  <si>
    <t>Apprezzo le sedie , un tipo interessante di dipinto .</t>
  </si>
  <si>
    <t>I like chairs , an interesting type of painting .</t>
  </si>
  <si>
    <t>J' apprécie les chaises , un type intéressant de peinture .</t>
  </si>
  <si>
    <t>Apprezzo i dipinti , un tipo interessante di sedia .</t>
  </si>
  <si>
    <t>I like paintings , an interesting type of chair .</t>
  </si>
  <si>
    <t>J' apprécie les peintures , un type intéressant de chaise .</t>
  </si>
  <si>
    <t>Apprezzo i mobili , un tipo interessante di dipinto .</t>
  </si>
  <si>
    <t>I like furniture , an interesting type of painting .</t>
  </si>
  <si>
    <t>J' apprécie les meubles , un type intéressant de peinture .</t>
  </si>
  <si>
    <t>Apprezzo le sedie , un tipo interessante di carta da parati .</t>
  </si>
  <si>
    <t>I like chairs , an interesting type of wallpaper .</t>
  </si>
  <si>
    <t>J' apprécie les chaises , un type intéressant de papier peint .</t>
  </si>
  <si>
    <t>Apprezzo la carta da parati , un tipo interessante di sedia .</t>
  </si>
  <si>
    <t>I like wallpaper , an interesting type of chair .</t>
  </si>
  <si>
    <t>J' apprécie le papier peint , un type intéressant de chaise .</t>
  </si>
  <si>
    <t>Apprezzo i mobili , un tipo interessante di carta da parati .</t>
  </si>
  <si>
    <t>I like furniture , an interesting type of wallpaper .</t>
  </si>
  <si>
    <t>J' apprécie les meubles , un type intéressant de papier peint .</t>
  </si>
  <si>
    <t>Apprezzo le sedie , un tipo interessante di parquet .</t>
  </si>
  <si>
    <t>I like chairs , an interesting type of parquet .</t>
  </si>
  <si>
    <t>J' apprécie les chaises , un type intéressant de parquet .</t>
  </si>
  <si>
    <t>Apprezzo il parquet , un tipo interessante di sedia .</t>
  </si>
  <si>
    <t>I like parquet , an interesting type of chair .</t>
  </si>
  <si>
    <t>J' apprécie le parquet , un type intéressant de chaise .</t>
  </si>
  <si>
    <t>Apprezzo i mobili , un tipo interessante di parquet .</t>
  </si>
  <si>
    <t>I like furniture , an interesting type of parquet .</t>
  </si>
  <si>
    <t>J' apprécie les meubles , un type intéressant de parquet .</t>
  </si>
  <si>
    <t>Amo i cani , eccetto le anatre .</t>
  </si>
  <si>
    <t>I like dogs , except ducks .</t>
  </si>
  <si>
    <t>J' aime les chiens , sauf les canards .</t>
  </si>
  <si>
    <t>Apprezzo i tavoli , un tipo interessante di posate .</t>
  </si>
  <si>
    <t>I like tables , an interesting type of cutlery .</t>
  </si>
  <si>
    <t>J' apprécie les tables , un type intéressant de couverts .</t>
  </si>
  <si>
    <t>Apprezzo le posate , un tipo interessante di tavolo .</t>
  </si>
  <si>
    <t>I like cutlery , an interesting type of table .</t>
  </si>
  <si>
    <t>J' apprécie les couverts , un type intéressant de table .</t>
  </si>
  <si>
    <t>Apprezzo i tavoli , un tipo interessante di mobili .</t>
  </si>
  <si>
    <t>I like tables , an interesting type of furniture .</t>
  </si>
  <si>
    <t>J' apprécie les tables , un type intéressant de meubles .</t>
  </si>
  <si>
    <t>Apprezzo i mobili , un tipo interessante di tavolo .</t>
  </si>
  <si>
    <t>I like furniture , an interesting type of table .</t>
  </si>
  <si>
    <t>J' apprécie les meubles , un type intéressant de table .</t>
  </si>
  <si>
    <t>Apprezzo i tavoli , un tipo interessante di dipinto .</t>
  </si>
  <si>
    <t>I like tables , an interesting type of painting .</t>
  </si>
  <si>
    <t>J' apprécie les tables , un type intéressant de peinture .</t>
  </si>
  <si>
    <t>Apprezzo i dipinti , un tipo interessante di tavolo .</t>
  </si>
  <si>
    <t>I like paintings , an interesting type of table .</t>
  </si>
  <si>
    <t>J' apprécie les peintures , un type intéressant de table .</t>
  </si>
  <si>
    <t>Apprezzo i tavoli , un tipo interessante di carta da parati .</t>
  </si>
  <si>
    <t>I like tables , an interesting type of wallpaper .</t>
  </si>
  <si>
    <t>J' apprécie les tables , un type intéressant de papier peint .</t>
  </si>
  <si>
    <t>Apprezzo la carta da parati , un tipo interessante di tavolo .</t>
  </si>
  <si>
    <t>I like wallpaper , an interesting type of table .</t>
  </si>
  <si>
    <t>J' apprécie le papier peint , un type intéressant de table .</t>
  </si>
  <si>
    <t>Apprezzo i tavoli , un tipo interessante di parquet .</t>
  </si>
  <si>
    <t>I like tables , an interesting type of parquet .</t>
  </si>
  <si>
    <t>J' apprécie les tables , un type intéressant de parquet .</t>
  </si>
  <si>
    <t>Apprezzo il parquet , un tipo interessante di tavolo .</t>
  </si>
  <si>
    <t>I like parquet , an interesting type of table .</t>
  </si>
  <si>
    <t>J' apprécie le parquet , un type intéressant de table .</t>
  </si>
  <si>
    <t>Apprezzo i guardaroba , un tipo interessante di posate .</t>
  </si>
  <si>
    <t>I like wardrobes , an interesting type of cutlery .</t>
  </si>
  <si>
    <t>J' apprécie les armoires , un type intéressant de couverts .</t>
  </si>
  <si>
    <t>Apprezzo le posate , un tipo interessante di guardaroba .</t>
  </si>
  <si>
    <t>I like cutlery , an interesting type of wardrobe .</t>
  </si>
  <si>
    <t>J' apprécie les couverts , un type intéressant d' armoire .</t>
  </si>
  <si>
    <t>Apprezzo i guardaroba , un tipo interessante di mobili .</t>
  </si>
  <si>
    <t>I like wardrobes , an interesting type of furniture .</t>
  </si>
  <si>
    <t>J' apprécie les armoires , un type intéressant de meubles .</t>
  </si>
  <si>
    <t>Apprezzo i mobili , un tipo interessante di guardaroba .</t>
  </si>
  <si>
    <t>I like furniture , an interesting type of wardrobe .</t>
  </si>
  <si>
    <t>J' apprécie les meubles , un type intéressant d' armoire .</t>
  </si>
  <si>
    <t>Apprezzo i guardaroba , un tipo interessante di dipinto .</t>
  </si>
  <si>
    <t>I like wardrobes , an interesting type of painting .</t>
  </si>
  <si>
    <t>J' apprécie les armoires , un type intéressant de peinture .</t>
  </si>
  <si>
    <t>Apprezzo i dipinti , un tipo interessante di guardaroba .</t>
  </si>
  <si>
    <t>I like paintings , an interesting type of wardrobe .</t>
  </si>
  <si>
    <t>J' apprécie les peintures , un type intéressant d' armoire .</t>
  </si>
  <si>
    <t>Apprezzo i guardaroba , un tipo interessante di carta da parati .</t>
  </si>
  <si>
    <t>I like wardrobes , an interesting type of wallpaper .</t>
  </si>
  <si>
    <t>J' apprécie les armoires , un type intéressant de papier peint .</t>
  </si>
  <si>
    <t>Apprezzo la carta da parati , un tipo interessante di guardaroba .</t>
  </si>
  <si>
    <t>I like wallpaper , an interesting type of wardrobe .</t>
  </si>
  <si>
    <t>J' apprécie le papier peint , un type intéressant d' armoire .</t>
  </si>
  <si>
    <t>Apprezzo i guardaroba , un tipo interessante di parquet .</t>
  </si>
  <si>
    <t>I like wardrobes , an interesting type of parquet .</t>
  </si>
  <si>
    <t>J' apprécie les armoires , un type intéressant de parquet .</t>
  </si>
  <si>
    <t>Apprezzo il parquet , un tipo interessante di guardaroba .</t>
  </si>
  <si>
    <t>I like parquet , an interesting type of wardrobe .</t>
  </si>
  <si>
    <t>J' apprécie le parquet , un type intéressant d' armoire .</t>
  </si>
  <si>
    <t>Apprezzo i letti , un tipo interessante di posate .</t>
  </si>
  <si>
    <t>I like beds , an interesting type of cutlery .</t>
  </si>
  <si>
    <t>J' apprécie les lits , un type intéressant de couverts .</t>
  </si>
  <si>
    <t>Apprezzo le posate , un tipo interessante di letto .</t>
  </si>
  <si>
    <t>I like cutlery , an interesting type of bed .</t>
  </si>
  <si>
    <t>J' apprécie les couverts , un type intéressant de lit .</t>
  </si>
  <si>
    <t>Apprezzo i letti , un tipo interessante di mobili .</t>
  </si>
  <si>
    <t>I like beds , an interesting type of furniture .</t>
  </si>
  <si>
    <t>J' apprécie les lits , un type intéressant de meubles .</t>
  </si>
  <si>
    <t>Apprezzo i mobili , un tipo interessante di letto .</t>
  </si>
  <si>
    <t>I like furniture , an interesting type of bed .</t>
  </si>
  <si>
    <t>J' apprécie les meubles , un type intéressant de lit .</t>
  </si>
  <si>
    <t>Apprezzo i letti , un tipo interessante di dipinto .</t>
  </si>
  <si>
    <t>I like beds , an interesting type of painting .</t>
  </si>
  <si>
    <t>J' apprécie les lits , un type intéressant de peinture .</t>
  </si>
  <si>
    <t>Apprezzo i dipinti , un tipo interessante di letto .</t>
  </si>
  <si>
    <t>I like paintings , an interesting type of bed .</t>
  </si>
  <si>
    <t>J' apprécie les peintures , un type intéressant de lit .</t>
  </si>
  <si>
    <t>Apprezzo i letti , un tipo interessante di carta da parati .</t>
  </si>
  <si>
    <t>I like beds , an interesting type of wallpaper .</t>
  </si>
  <si>
    <t>J' apprécie les lits , un type intéressant de papier peint .</t>
  </si>
  <si>
    <t>Apprezzo la carta da parati , un tipo interessante di letto .</t>
  </si>
  <si>
    <t>I like wallpaper , an interesting type of bed .</t>
  </si>
  <si>
    <t>J' apprécie le papier peint , un type intéressant de lit .</t>
  </si>
  <si>
    <t>Apprezzo i letti , un tipo interessante di parquet .</t>
  </si>
  <si>
    <t>I like beds , an interesting type of parquet .</t>
  </si>
  <si>
    <t>J' apprécie les lits , un type intéressant de parquet .</t>
  </si>
  <si>
    <t>Apprezzo il parquet , un tipo interessante di letto .</t>
  </si>
  <si>
    <t>I like parquet , an interesting type of bed .</t>
  </si>
  <si>
    <t>J' apprécie le parquet , un type intéressant de lit .</t>
  </si>
  <si>
    <t>Apprezzo il Merlot , un tipo interessante di coca cola .</t>
  </si>
  <si>
    <t>I like Merlot , an interesting type of coca-cola .</t>
  </si>
  <si>
    <t>J' apprécie le Merlot , un type intéressant de coca cola .</t>
  </si>
  <si>
    <t>Apprezzo la coca cola , un tipo interessante di Merlot .</t>
  </si>
  <si>
    <t>I like coca-cola , an interesting type of Merlot .</t>
  </si>
  <si>
    <t>J' apprécie le coca cola , un type intéressant de Merlot .</t>
  </si>
  <si>
    <t>Apprezzo il Merlot , un tipo interessante di vino .</t>
  </si>
  <si>
    <t>I like Merlot , an interesting type of wine .</t>
  </si>
  <si>
    <t>J' apprécie le Merlot , un type intéressant de vin .</t>
  </si>
  <si>
    <t>Apprezzo il vino , un tipo interessante di Merlot .</t>
  </si>
  <si>
    <t>I like wine , an interesting type of Merlot .</t>
  </si>
  <si>
    <t>J' apprécie le vin , un type intéressant de Merlot .</t>
  </si>
  <si>
    <t>Apprezzo il vino , un tipo interessante di coca cola .</t>
  </si>
  <si>
    <t>I like wine , an interesting type of coca-cola .</t>
  </si>
  <si>
    <t>J' apprécie le vin , un type intéressant de coca cola .</t>
  </si>
  <si>
    <t>Apprezzo il Merlot , un tipo interessante di acqua .</t>
  </si>
  <si>
    <t>I like Merlot , an interesting type of water .</t>
  </si>
  <si>
    <t>J' apprécie le Merlot , un type intéressant de l' eau .</t>
  </si>
  <si>
    <t>Apprezzo l' acqua , un tipo interessante di Merlot .</t>
  </si>
  <si>
    <t>I like water , an interesting type of Merlot .</t>
  </si>
  <si>
    <t>J' apprécie l' eau , un type intéressant de Merlot .</t>
  </si>
  <si>
    <t>Apprezzo il vino , un tipo interessante di acqua .</t>
  </si>
  <si>
    <t>I like wine , an interesting type of water .</t>
  </si>
  <si>
    <t>J' apprécie le vin , un type intéressant de l' eau .</t>
  </si>
  <si>
    <t>Apprezzo il Merlot , un tipo interessante di sprite .</t>
  </si>
  <si>
    <t>I like Merlot , an interesting type of sprite .</t>
  </si>
  <si>
    <t>J' apprécie le Merlot , un type intéressant de sprite .</t>
  </si>
  <si>
    <t>Apprezzo la sprite , un tipo interessante di Merlot .</t>
  </si>
  <si>
    <t>I like sprite , an interesting type of Merlot .</t>
  </si>
  <si>
    <t>J' apprécie la sprite , un type intéressant de Merlot .</t>
  </si>
  <si>
    <t>Apprezzo il vino , un tipo interessante di sprite .</t>
  </si>
  <si>
    <t>I like wine , an interesting type of sprite .</t>
  </si>
  <si>
    <t>J' apprécie le vin , un type intéressant de sprite .</t>
  </si>
  <si>
    <t>Apprezzo il Merlot , un tipo interessante di birra .</t>
  </si>
  <si>
    <t>I like Merlot , an interesting type of beer .</t>
  </si>
  <si>
    <t>J' apprécie le Merlot , un type intéressant de bière .</t>
  </si>
  <si>
    <t>Apprezzo la birra , un tipo interessante di Merlot .</t>
  </si>
  <si>
    <t>I like beer , an interesting type of Merlot .</t>
  </si>
  <si>
    <t>J' apprécie la bière , un type intéressant de Merlot .</t>
  </si>
  <si>
    <t>Apprezzo il vino , un tipo interessante di birra .</t>
  </si>
  <si>
    <t>I like wine , an interesting type of beer .</t>
  </si>
  <si>
    <t>J' apprécie le vin , un type intéressant de bière .</t>
  </si>
  <si>
    <t>Apprezzo lo Chardonnay , un tipo interessante di coca cola .</t>
  </si>
  <si>
    <t>I like Chardonnay , an interesting type of coca-cola .</t>
  </si>
  <si>
    <t>J' apprécie le Chardonnay , un type intéressant de coca cola .</t>
  </si>
  <si>
    <t>Apprezzo la coca cola , un tipo interessante di Chardonnay .</t>
  </si>
  <si>
    <t>I like coca-cola , an interesting type of Chardonnay .</t>
  </si>
  <si>
    <t>J' apprécie le coca cola , un type intéressant de Chardonnay .</t>
  </si>
  <si>
    <t>Apprezzo lo Chardonnay , un tipo interessante di vino .</t>
  </si>
  <si>
    <t>I like Chardonnay , an interesting type of wine .</t>
  </si>
  <si>
    <t>J' apprécie le Chardonnay , un type intéressant de vin .</t>
  </si>
  <si>
    <t>Apprezzo il vino , un tipo interessante di Chardonnay .</t>
  </si>
  <si>
    <t>I like wine , an interesting type of Chardonnay .</t>
  </si>
  <si>
    <t>J' apprécie le vin , un type intéressant de Chardonnay .</t>
  </si>
  <si>
    <t>Apprezzo lo Chardonnay , un tipo interessante di acqua .</t>
  </si>
  <si>
    <t>I like Chardonnay , an interesting type of water .</t>
  </si>
  <si>
    <t>J' apprécie le Chardonnay , un type intéressant de l' eau .</t>
  </si>
  <si>
    <t>Apprezzo l' acqua , un tipo interessante di Chardonnay .</t>
  </si>
  <si>
    <t>I like water , an interesting type of Chardonnay .</t>
  </si>
  <si>
    <t>J' apprécie l' eau , un type intéressant de Chardonnay .</t>
  </si>
  <si>
    <t>Apprezzo lo Chardonnay , un tipo interessante di sprite .</t>
  </si>
  <si>
    <t>I like Chardonnay , an interesting type of sprite .</t>
  </si>
  <si>
    <t>J' apprécie le Chardonnay , un type intéressant de sprite .</t>
  </si>
  <si>
    <t>Apprezzo la sprite , un tipo interessante di Chardonnay .</t>
  </si>
  <si>
    <t>I like sprite , an interesting type of Chardonnay .</t>
  </si>
  <si>
    <t>J' apprécie la sprite , un type intéressant de Chardonnay .</t>
  </si>
  <si>
    <t>Apprezzo lo Chardonnay , un tipo interessante di birra .</t>
  </si>
  <si>
    <t>I like Chardonnay , an interesting type of beer .</t>
  </si>
  <si>
    <t>J' apprécie le Chardonnay , un type intéressant de bière .</t>
  </si>
  <si>
    <t>Apprezzo la birra , un tipo interessante di Chardonnay .</t>
  </si>
  <si>
    <t>I like beer , an interesting type of Chardonnay .</t>
  </si>
  <si>
    <t>J' apprécie la bière , un type intéressant de Chardonnay .</t>
  </si>
  <si>
    <t>Apprezzo il Chianti , un tipo interessante di coca cola .</t>
  </si>
  <si>
    <t>I like Chianti , an interesting type of coca-cola .</t>
  </si>
  <si>
    <t>J' apprécie le Chianti , un type intéressant de coca cola .</t>
  </si>
  <si>
    <t>Apprezzo la coca cola , un tipo interessante di Chianti .</t>
  </si>
  <si>
    <t>I like coca-cola , an interesting type of Chianti .</t>
  </si>
  <si>
    <t>J' apprécie le coca cola , un type intéressant de Chianti .</t>
  </si>
  <si>
    <t>Apprezzo il Chianti , un tipo interessante di vino .</t>
  </si>
  <si>
    <t>I like Chianti , an interesting type of wine .</t>
  </si>
  <si>
    <t>J' apprécie le Chianti , un type intéressant de vin .</t>
  </si>
  <si>
    <t>Apprezzo il vino , un tipo interessante di Chianti .</t>
  </si>
  <si>
    <t>I like wine , an interesting type of Chianti .</t>
  </si>
  <si>
    <t>J' apprécie le vin , un type intéressant de Chianti .</t>
  </si>
  <si>
    <t>Apprezzo il Chianti , un tipo interessante di acqua .</t>
  </si>
  <si>
    <t>I like Chianti , an interesting type of water .</t>
  </si>
  <si>
    <t>J' apprécie le Chianti , un type intéressant de l' eau .</t>
  </si>
  <si>
    <t>Apprezzo l' acqua , un tipo interessante di Chianti .</t>
  </si>
  <si>
    <t>I like water , an interesting type of Chianti .</t>
  </si>
  <si>
    <t>J' apprécie l' eau , un type intéressant de Chianti .</t>
  </si>
  <si>
    <t>Apprezzo il Chianti , un tipo interessante di sprite .</t>
  </si>
  <si>
    <t>I like Chianti , an interesting type of sprite .</t>
  </si>
  <si>
    <t>J' apprécie le Chianti , un type intéressant de sprite .</t>
  </si>
  <si>
    <t>Apprezzo la sprite , un tipo interessante di Chianti .</t>
  </si>
  <si>
    <t>I like sprite , an interesting type of Chianti .</t>
  </si>
  <si>
    <t>J' apprécie la sprite , un type intéressant de Chianti .</t>
  </si>
  <si>
    <t>Apprezzo il Chianti , un tipo interessante di birra .</t>
  </si>
  <si>
    <t>I like Chianti , an interesting type of beer .</t>
  </si>
  <si>
    <t>J' apprécie le Chianti , un type intéressant de bière .</t>
  </si>
  <si>
    <t>Apprezzo la birra , un tipo interessante di Chianti .</t>
  </si>
  <si>
    <t>I like beer , an interesting type of Chianti .</t>
  </si>
  <si>
    <t>J' apprécie la bière , un type intéressant de Chianti .</t>
  </si>
  <si>
    <t>Apprezzo il Primitivo , un tipo interessante di coca cola .</t>
  </si>
  <si>
    <t>I like Zinfandel , an interesting type of coca-cola .</t>
  </si>
  <si>
    <t>J' apprécie le Cabernet Sauvignon , un type intéressant de coca cola .</t>
  </si>
  <si>
    <t>Apprezzo la coca cola , un tipo interessante di Primitivo .</t>
  </si>
  <si>
    <t>I like coca-cola , an interesting type of Zinfandel .</t>
  </si>
  <si>
    <t>J' apprécie le coca cola , un type intéressant de Cabernet Sauvignon .</t>
  </si>
  <si>
    <t>Apprezzo il Primitivo , un tipo interessante di vino .</t>
  </si>
  <si>
    <t>I like Zinfandel , an interesting type of wine .</t>
  </si>
  <si>
    <t>J' apprécie le Cabernet Sauvignon , un type intéressant de vin .</t>
  </si>
  <si>
    <t>Apprezzo il vino , un tipo interessante di Primitivo .</t>
  </si>
  <si>
    <t>I like wine , an interesting type of Zinfandel .</t>
  </si>
  <si>
    <t>J' apprécie le vin , un type intéressant de Cabernet Sauvignon .</t>
  </si>
  <si>
    <t>Apprezzo il Primitivo , un tipo interessante di acqua .</t>
  </si>
  <si>
    <t>I like Zinfandel , an interesting type of water .</t>
  </si>
  <si>
    <t>J' apprécie le Cabernet Sauvignon , un type intéressant de l' eau .</t>
  </si>
  <si>
    <t>Apprezzo l' acqua , un tipo interessante di Primitivo .</t>
  </si>
  <si>
    <t>I like water , an interesting type of Zinfandel .</t>
  </si>
  <si>
    <t>J' apprécie l' eau , un type intéressant de Cabernet Sauvignon .</t>
  </si>
  <si>
    <t>Apprezzo il Primitivo , un tipo interessante di sprite .</t>
  </si>
  <si>
    <t>I like Zinfandel , an interesting type of sprite .</t>
  </si>
  <si>
    <t>J' apprécie le Cabernet Sauvignon , un type intéressant de sprite .</t>
  </si>
  <si>
    <t>Apprezzo la sprite , un tipo interessante di Primitivo .</t>
  </si>
  <si>
    <t>I like sprite , an interesting type of Zinfandel .</t>
  </si>
  <si>
    <t>J' apprécie la sprite , un type intéressant de Cabernet Sauvignon .</t>
  </si>
  <si>
    <t>Apprezzo il Primitivo , un tipo interessante di birra .</t>
  </si>
  <si>
    <t>I like Zinfandel , an interesting type of beer .</t>
  </si>
  <si>
    <t>J' apprécie le Cabernet Sauvignon , un type intéressant de bière .</t>
  </si>
  <si>
    <t>Apprezzo la birra , un tipo interessante di Primitivo .</t>
  </si>
  <si>
    <t>I like beer , an interesting type of Zinfandel .</t>
  </si>
  <si>
    <t>J' apprécie la bière , un type intéressant de Cabernet Sauvignon .</t>
  </si>
  <si>
    <t>Apprezzo il rock , un tipo interessante di sport .</t>
  </si>
  <si>
    <t>I like rock , an interesting type of sport .</t>
  </si>
  <si>
    <t>J' apprécie le rock , un type intéressant de sport .</t>
  </si>
  <si>
    <t>Apprezzo gli sport , un tipo interessante di rock .</t>
  </si>
  <si>
    <t>I like sports , an interesting type of rock .</t>
  </si>
  <si>
    <t>J' apprécie les sports , un type intéressant de rock .</t>
  </si>
  <si>
    <t>Apprezzo il rock , un tipo interessante di musica .</t>
  </si>
  <si>
    <t>I like rock , an interesting type of music .</t>
  </si>
  <si>
    <t>J' apprécie le rock , un type intéressant de musique .</t>
  </si>
  <si>
    <t>Apprezzo la musica , un tipo interessante di rock .</t>
  </si>
  <si>
    <t>I like music , an interesting type of rock .</t>
  </si>
  <si>
    <t>J' apprécie la musique , un type intéressant de rock .</t>
  </si>
  <si>
    <t>Apprezzo la musica , un tipo interessante di sport .</t>
  </si>
  <si>
    <t>I like music , an interesting type of sport .</t>
  </si>
  <si>
    <t>J' apprécie la musique , un type intéressant de sport .</t>
  </si>
  <si>
    <t>Apprezzo il rock , un tipo interessante di gioco da tavolo .</t>
  </si>
  <si>
    <t>I like rock , an interesting type of boardgame .</t>
  </si>
  <si>
    <t>J' apprécie le rock , un type intéressant de jeu de société .</t>
  </si>
  <si>
    <t>Apprezzo i giochi da tavolo , un tipo interessante di rock .</t>
  </si>
  <si>
    <t>I like boardgames , an interesting type of rock .</t>
  </si>
  <si>
    <t>J' apprécie les jeux de société , un type intéressant de rock .</t>
  </si>
  <si>
    <t>Apprezzo la musica , un tipo interessante di gioco da tavolo .</t>
  </si>
  <si>
    <t>I like music , an interesting type of boardgame .</t>
  </si>
  <si>
    <t>J' apprécie la musique , un type intéressant de jeu de société .</t>
  </si>
  <si>
    <t>Apprezzo il rock , un tipo interessante di cibo .</t>
  </si>
  <si>
    <t>I like rock , an interesting type of food .</t>
  </si>
  <si>
    <t>J' apprécie le rock , un type intéressant d' aliments .</t>
  </si>
  <si>
    <t>Apprezzo il cibo , un tipo interessante di rock .</t>
  </si>
  <si>
    <t>I like food , an interesting type of rock .</t>
  </si>
  <si>
    <t>J' apprécie les aliments , un type intéressant de rock .</t>
  </si>
  <si>
    <t>Apprezzo la musica , un tipo interessante di cibo .</t>
  </si>
  <si>
    <t>I like music , an interesting type of food .</t>
  </si>
  <si>
    <t>J' apprécie la musique , un type intéressant d' aliments .</t>
  </si>
  <si>
    <t>Apprezzo il rock , un tipo interessante di collana .</t>
  </si>
  <si>
    <t>I like rock , an interesting type of necklace .</t>
  </si>
  <si>
    <t>J' apprécie le rock , un type intéressant de collier .</t>
  </si>
  <si>
    <t>Apprezzo i gioielli , un tipo interessante di rock .</t>
  </si>
  <si>
    <t>I like jewelry , an interesting type of rock .</t>
  </si>
  <si>
    <t>J' apprécie les bijoux , un type intéressant de rock .</t>
  </si>
  <si>
    <t>Apprezzo il rock , eccetto gli sport .</t>
  </si>
  <si>
    <t>I like rock , except sports .</t>
  </si>
  <si>
    <t>J' apprécie le rock , sauf les sports .</t>
  </si>
  <si>
    <t>Apprezzo la musica , un tipo interessante di collana .</t>
  </si>
  <si>
    <t>I like music , an interesting type of necklace .</t>
  </si>
  <si>
    <t>J' apprécie la musique , un type intéressant de collier .</t>
  </si>
  <si>
    <t>Apprezzo gli sport , eccetto il rock .</t>
  </si>
  <si>
    <t>I like sports , except rock .</t>
  </si>
  <si>
    <t>J' apprécie les sports , sauf le rock .</t>
  </si>
  <si>
    <t>Apprezzo il rock , eccetto la musica .</t>
  </si>
  <si>
    <t>I like rock , except music .</t>
  </si>
  <si>
    <t>J' apprécie le rock , sauf la musique .</t>
  </si>
  <si>
    <t>Apprezzo il jazz , un tipo interessante di sport .</t>
  </si>
  <si>
    <t>I like jazz , an interesting type of sport .</t>
  </si>
  <si>
    <t>J' apprécie le jazz , un type intéressant de sport .</t>
  </si>
  <si>
    <t>Apprezzo gli sport , un tipo interessante di jazz .</t>
  </si>
  <si>
    <t>I like sports , an interesting type of jazz .</t>
  </si>
  <si>
    <t>J' apprécie les sports , un type intéressant de jazz .</t>
  </si>
  <si>
    <t>Apprezzo il jazz , un tipo interessante di musica .</t>
  </si>
  <si>
    <t>I like jazz , an interesting type of music .</t>
  </si>
  <si>
    <t>J' apprécie le jazz , un type intéressant de musique .</t>
  </si>
  <si>
    <t>Apprezzo la musica , un tipo interessante di jazz .</t>
  </si>
  <si>
    <t>I like music , an interesting type of jazz .</t>
  </si>
  <si>
    <t>J' apprécie la musique , un type intéressant de jazz .</t>
  </si>
  <si>
    <t>Apprezzo il jazz , un tipo interessante di gioco da tavolo .</t>
  </si>
  <si>
    <t>I like jazz , an interesting type of boardgame .</t>
  </si>
  <si>
    <t>J' apprécie le jazz , un type intéressant de jeu de société .</t>
  </si>
  <si>
    <t>Apprezzo i giochi da tavolo , un tipo interessante di jazz .</t>
  </si>
  <si>
    <t>I like boardgames , an interesting type of jazz .</t>
  </si>
  <si>
    <t>J' apprécie les jeux de société , un type intéressant de jazz .</t>
  </si>
  <si>
    <t>Apprezzo la musica , eccetto il rock .</t>
  </si>
  <si>
    <t>I like music , except rock .</t>
  </si>
  <si>
    <t>J' apprécie la musique , sauf le rock .</t>
  </si>
  <si>
    <t>Apprezzo il jazz , un tipo interessante di cibo .</t>
  </si>
  <si>
    <t>I like jazz , an interesting type of food .</t>
  </si>
  <si>
    <t>J' apprécie le jazz , un type intéressant d' aliments .</t>
  </si>
  <si>
    <t>Apprezzo il cibo , un tipo interessante di jazz .</t>
  </si>
  <si>
    <t>I like food , an interesting type of jazz .</t>
  </si>
  <si>
    <t>J' apprécie les aliments , un type intéressant de jazz .</t>
  </si>
  <si>
    <t>Apprezzo il jazz , un tipo interessante di collana .</t>
  </si>
  <si>
    <t>I like jazz , an interesting type of necklace .</t>
  </si>
  <si>
    <t>J' apprécie le jazz , un type intéressant de collier .</t>
  </si>
  <si>
    <t>Apprezzo i gioielli , un tipo interessante di jazz .</t>
  </si>
  <si>
    <t>I like jewelry , an interesting type of jazz .</t>
  </si>
  <si>
    <t>J' apprécie les bijoux , un type intéressant de jazz .</t>
  </si>
  <si>
    <t>Apprezzo la musica , eccetto gli sport .</t>
  </si>
  <si>
    <t>I like music , except sports .</t>
  </si>
  <si>
    <t>J' apprécie la musique , sauf les sports .</t>
  </si>
  <si>
    <t>Apprezzo il rock , eccetto i giochi da tavolo .</t>
  </si>
  <si>
    <t>I like rock , except boardgames .</t>
  </si>
  <si>
    <t>J' apprécie le rock , sauf les jeux de société .</t>
  </si>
  <si>
    <t>Apprezzo i giochi da tavolo , eccetto il rock .</t>
  </si>
  <si>
    <t>I like boardgames , except rock .</t>
  </si>
  <si>
    <t>J' apprécie les jeux de société , sauf le rock .</t>
  </si>
  <si>
    <t>Apprezzo la techno , un tipo interessante di sport .</t>
  </si>
  <si>
    <t>I like techno , an interesting type of sport .</t>
  </si>
  <si>
    <t>J' apprécie la techno , un type intéressant de sport .</t>
  </si>
  <si>
    <t>Apprezzo gli sport , un tipo interessante di techno .</t>
  </si>
  <si>
    <t>I like sports , an interesting type of techno .</t>
  </si>
  <si>
    <t>J' apprécie les sports , un type intéressant de techno .</t>
  </si>
  <si>
    <t>Apprezzo la techno , un tipo interessante di musica .</t>
  </si>
  <si>
    <t>I like techno , an interesting type of music .</t>
  </si>
  <si>
    <t>J' apprécie la techno , un type intéressant de musique .</t>
  </si>
  <si>
    <t>Apprezzo la musica , un tipo interessante di techno .</t>
  </si>
  <si>
    <t>I like music , an interesting type of techno .</t>
  </si>
  <si>
    <t>J' apprécie la musique , un type intéressant de techno .</t>
  </si>
  <si>
    <t>Apprezzo la techno , un tipo interessante di gioco da tavolo .</t>
  </si>
  <si>
    <t>I like techno , an interesting type of boardgame .</t>
  </si>
  <si>
    <t>J' apprécie la techno , un type intéressant de jeu de société .</t>
  </si>
  <si>
    <t>Apprezzo i giochi da tavolo , un tipo interessante di techno .</t>
  </si>
  <si>
    <t>I like boardgames , an interesting type of techno .</t>
  </si>
  <si>
    <t>J' apprécie les jeux de société , un type intéressant de techno .</t>
  </si>
  <si>
    <t>Apprezzo la techno , un tipo interessante di cibo .</t>
  </si>
  <si>
    <t>I like techno , an interesting type of food .</t>
  </si>
  <si>
    <t>J' apprécie la techno , un type intéressant d' aliments .</t>
  </si>
  <si>
    <t>Apprezzo il cibo , un tipo interessante di techno .</t>
  </si>
  <si>
    <t>I like food , an interesting type of techno .</t>
  </si>
  <si>
    <t>J' apprécie les aliments , un type intéressant de techno .</t>
  </si>
  <si>
    <t>Apprezzo la techno , un tipo interessante di collana .</t>
  </si>
  <si>
    <t>I like techno , an interesting type of necklace .</t>
  </si>
  <si>
    <t>J' apprécie la techno , un type intéressant de collier .</t>
  </si>
  <si>
    <t>Apprezzo i gioielli , un tipo interessante di techno .</t>
  </si>
  <si>
    <t>I like jewelry , an interesting type of techno .</t>
  </si>
  <si>
    <t>J' apprécie les bijoux , un type intéressant de techno .</t>
  </si>
  <si>
    <t>Apprezzo la musica , eccetto i giochi da tavolo .</t>
  </si>
  <si>
    <t>I like music , except boardgames .</t>
  </si>
  <si>
    <t>J' apprécie la musique , sauf les jeux de société .</t>
  </si>
  <si>
    <t>Apprezzo il rock , eccetto il cibo .</t>
  </si>
  <si>
    <t>I like rock , except food .</t>
  </si>
  <si>
    <t>J' apprécie le rock , sauf les aliments .</t>
  </si>
  <si>
    <t>Apprezzo il blues , un tipo interessante di sport .</t>
  </si>
  <si>
    <t>I like blues , an interesting type of sport .</t>
  </si>
  <si>
    <t>J' apprécie le blues , un type intéressant de sport .</t>
  </si>
  <si>
    <t>Apprezzo gli sport , un tipo interessante di blues .</t>
  </si>
  <si>
    <t>I like sports , an interesting type of blues .</t>
  </si>
  <si>
    <t>J' apprécie les sports , un type intéressant de blues .</t>
  </si>
  <si>
    <t>Apprezzo il blues , un tipo interessante di musica .</t>
  </si>
  <si>
    <t>I like blues , an interesting type of music .</t>
  </si>
  <si>
    <t>J' apprécie le blues , un type intéressant de musique .</t>
  </si>
  <si>
    <t>Apprezzo la musica , un tipo interessante di blues .</t>
  </si>
  <si>
    <t>I like music , an interesting type of blues .</t>
  </si>
  <si>
    <t>J' apprécie la musique , un type intéressant de blues .</t>
  </si>
  <si>
    <t>Apprezzo il blues , un tipo interessante di gioco da tavolo .</t>
  </si>
  <si>
    <t>I like blues , an interesting type of boardgame .</t>
  </si>
  <si>
    <t>J' apprécie le blues , un type intéressant de jeu de société .</t>
  </si>
  <si>
    <t>Apprezzo i giochi da tavolo , un tipo interessante di blues .</t>
  </si>
  <si>
    <t>I like boardgames , an interesting type of blues .</t>
  </si>
  <si>
    <t>J' apprécie les jeux de société , un type intéressant de blues .</t>
  </si>
  <si>
    <t>Apprezzo il cibo , eccetto il rock .</t>
  </si>
  <si>
    <t>I like food , except rock .</t>
  </si>
  <si>
    <t>J' apprécie les aliments , sauf le rock .</t>
  </si>
  <si>
    <t>Apprezzo il blues , un tipo interessante di cibo .</t>
  </si>
  <si>
    <t>I like blues , an interesting type of food .</t>
  </si>
  <si>
    <t>J' apprécie le blues , un type intéressant d' aliments .</t>
  </si>
  <si>
    <t>Apprezzo il cibo , un tipo interessante di blues .</t>
  </si>
  <si>
    <t>I like food , an interesting type of blues .</t>
  </si>
  <si>
    <t>J' apprécie les aliments , un type intéressant de blues .</t>
  </si>
  <si>
    <t>Apprezzo il blues , un tipo interessante di collana .</t>
  </si>
  <si>
    <t>I like blues , an interesting type of necklace .</t>
  </si>
  <si>
    <t>J' apprécie le blues , un type intéressant de collier .</t>
  </si>
  <si>
    <t>Apprezzo i gioielli , un tipo interessante di blues .</t>
  </si>
  <si>
    <t>I like jewelry , an interesting type of blues .</t>
  </si>
  <si>
    <t>J' apprécie les bijoux , un type intéressant de blues .</t>
  </si>
  <si>
    <t>Apprezzo la musica , eccetto il cibo .</t>
  </si>
  <si>
    <t>I like music , except food .</t>
  </si>
  <si>
    <t>J' apprécie la musique , sauf les aliments .</t>
  </si>
  <si>
    <t>Apprezzo il rock , eccetto i gioielli .</t>
  </si>
  <si>
    <t>I like rock , except jewelry .</t>
  </si>
  <si>
    <t>J' apprécie le rock , sauf les bijoux .</t>
  </si>
  <si>
    <t>Apprezzo i gioielli , eccetto il rock .</t>
  </si>
  <si>
    <t>I like jewelry , except rock .</t>
  </si>
  <si>
    <t>J' apprécie les bijoux , sauf le rock .</t>
  </si>
  <si>
    <t>Apprezzo la musica , eccetto i gioielli .</t>
  </si>
  <si>
    <t>I like music , except jewelry .</t>
  </si>
  <si>
    <t>J' apprécie la musique , sauf les bijoux .</t>
  </si>
  <si>
    <t>Apprezzo il jazz , eccetto gli sport .</t>
  </si>
  <si>
    <t>I like jazz , except sports .</t>
  </si>
  <si>
    <t>J' apprécie le jazz , sauf les sports .</t>
  </si>
  <si>
    <t>Apprezzo gli sport , eccetto il jazz .</t>
  </si>
  <si>
    <t>I like sports , except jazz .</t>
  </si>
  <si>
    <t>J' apprécie les sports , sauf le jazz .</t>
  </si>
  <si>
    <t>Apprezzo il jazz , eccetto la musica .</t>
  </si>
  <si>
    <t>I like jazz , except music .</t>
  </si>
  <si>
    <t>J' apprécie le jazz , sauf la musique .</t>
  </si>
  <si>
    <t>Apprezzo la musica , eccetto il jazz .</t>
  </si>
  <si>
    <t>I like music , except jazz .</t>
  </si>
  <si>
    <t>J' apprécie la musique , sauf le jazz .</t>
  </si>
  <si>
    <t>Apprezzo il jazz , eccetto i giochi da tavolo .</t>
  </si>
  <si>
    <t>I like jazz , except boardgames .</t>
  </si>
  <si>
    <t>J' apprécie le jazz , sauf les jeux de société .</t>
  </si>
  <si>
    <t>Apprezzo i giochi da tavolo , eccetto il jazz .</t>
  </si>
  <si>
    <t>I like boardgames , except jazz .</t>
  </si>
  <si>
    <t>J' apprécie les jeux de société , sauf le jazz .</t>
  </si>
  <si>
    <t>Adoro il prosciutto cotto , un tipo interessante di pesce .</t>
  </si>
  <si>
    <t>I like ham , an interesting type of fish .</t>
  </si>
  <si>
    <t>J' adore le jambon , un type intéressant de poisson .</t>
  </si>
  <si>
    <t>Adoro il pesce , un tipo interessante di prosciutto cotto .</t>
  </si>
  <si>
    <t>I like fish , an interesting type of ham .</t>
  </si>
  <si>
    <t>J' adore le poisson , un type intéressant de jambon .</t>
  </si>
  <si>
    <t>Adoro il prosciutto cotto , un tipo interessante di maiale .</t>
  </si>
  <si>
    <t>I like ham , an interesting type of pork .</t>
  </si>
  <si>
    <t>J' adore le jambon , un type intéressant de porc .</t>
  </si>
  <si>
    <t>Adoro il maiale , un tipo interessante di prosciutto cotto .</t>
  </si>
  <si>
    <t>I like pork , an interesting type of ham .</t>
  </si>
  <si>
    <t>J' adore le porc , un type intéressant de jambon .</t>
  </si>
  <si>
    <t>Adoro il maiale , un tipo interessante di pesce .</t>
  </si>
  <si>
    <t>I like pork , an interesting type of fish .</t>
  </si>
  <si>
    <t>J' adore le porc , un type intéressant de poisson .</t>
  </si>
  <si>
    <t>Adoro il prosciutto cotto , un tipo interessante di broccoli .</t>
  </si>
  <si>
    <t>I like ham , an interesting type of broccoli .</t>
  </si>
  <si>
    <t>J' adore le jambon , un type intéressant de brocoli .</t>
  </si>
  <si>
    <t>Adoro i broccoli , un tipo interessante di prosciutto cotto .</t>
  </si>
  <si>
    <t>I like broccoli , an interesting type of ham .</t>
  </si>
  <si>
    <t>J' adore le brocoli , un type intéressant de jambon .</t>
  </si>
  <si>
    <t>Adoro il maiale , un tipo interessante di broccoli .</t>
  </si>
  <si>
    <t>I like pork , an interesting type of broccoli .</t>
  </si>
  <si>
    <t>J' adore le porc , un type intéressant de brocoli .</t>
  </si>
  <si>
    <t>Adoro il prosciutto cotto , un tipo interessante di mele .</t>
  </si>
  <si>
    <t>I like ham , an interesting type of apples .</t>
  </si>
  <si>
    <t>J' adore le jambon , un type intéressant de pommes .</t>
  </si>
  <si>
    <t>Adoro le mele , un tipo interessante di prosciutto cotto .</t>
  </si>
  <si>
    <t>I like apples , an interesting type of ham .</t>
  </si>
  <si>
    <t>J' adore les pommes , un type intéressant de jambon .</t>
  </si>
  <si>
    <t>Adoro il maiale , un tipo interessante di mela .</t>
  </si>
  <si>
    <t>I like pork , an interesting type of apple .</t>
  </si>
  <si>
    <t>J' adore le porc , un type intéressant de pomme .</t>
  </si>
  <si>
    <t>Adoro il prosciutto cotto , un tipo interessante di carote .</t>
  </si>
  <si>
    <t>I like ham , an interesting type of carrots .</t>
  </si>
  <si>
    <t>J' adore le jambon , un type intéressant de carottes .</t>
  </si>
  <si>
    <t>Adoro le carote , un tipo interessante di prosciutto cotto .</t>
  </si>
  <si>
    <t>I like carrots , an interesting type of ham .</t>
  </si>
  <si>
    <t>J' adore les carottes , un type intéressant de jambon .</t>
  </si>
  <si>
    <t>Adoro il maiale , un tipo interessante di carota .</t>
  </si>
  <si>
    <t>I like pork , an interesting type of carrot .</t>
  </si>
  <si>
    <t>J' adore le porc , un type intéressant de carotte .</t>
  </si>
  <si>
    <t>Apprezzo il jazz , eccetto il cibo .</t>
  </si>
  <si>
    <t>I like jazz , except food .</t>
  </si>
  <si>
    <t>J' apprécie le jazz , sauf les aliments .</t>
  </si>
  <si>
    <t>Adoro il prosciutto , un tipo interessante di pesce .</t>
  </si>
  <si>
    <t>I like prosciutto , an interesting type of fish .</t>
  </si>
  <si>
    <t>J' adore le prosciutto , un type intéressant de poisson .</t>
  </si>
  <si>
    <t>Adoro il pesce , un tipo interessante di prosciutto .</t>
  </si>
  <si>
    <t>I like fish , an interesting type of prosciutto .</t>
  </si>
  <si>
    <t>J' adore le poisson , un type intéressant de prosciutto .</t>
  </si>
  <si>
    <t>Adoro il prosciutto , un tipo interessante di maiale .</t>
  </si>
  <si>
    <t>I like prosciutto , an interesting type of pork .</t>
  </si>
  <si>
    <t>J' adore le prosciutto , un type intéressant de porc .</t>
  </si>
  <si>
    <t>Adoro il maiale , un tipo interessante di prosciutto .</t>
  </si>
  <si>
    <t>I like pork , an interesting type of prosciutto .</t>
  </si>
  <si>
    <t>J' adore le porc , un type intéressant de prosciutto .</t>
  </si>
  <si>
    <t>Adoro il prosciutto , un tipo interessante di broccoli .</t>
  </si>
  <si>
    <t>I like prosciutto , an interesting type of broccoli .</t>
  </si>
  <si>
    <t>J' adore le prosciutto , un type intéressant de brocoli .</t>
  </si>
  <si>
    <t>Adoro i broccoli , un tipo interessante di prosciutto .</t>
  </si>
  <si>
    <t>I like broccoli , an interesting type of prosciutto .</t>
  </si>
  <si>
    <t>J' adore le brocoli , un type intéressant de prosciutto .</t>
  </si>
  <si>
    <t>Apprezzo il cibo , eccetto il jazz .</t>
  </si>
  <si>
    <t>I like food , except jazz .</t>
  </si>
  <si>
    <t>J' apprécie les aliments , sauf le jazz .</t>
  </si>
  <si>
    <t>Adoro il prosciutto , un tipo interessante di mele .</t>
  </si>
  <si>
    <t>I like prosciutto , an interesting type of apples .</t>
  </si>
  <si>
    <t>J' adore le prosciutto , un type intéressant de pommes .</t>
  </si>
  <si>
    <t>Adoro le mele , un tipo interessante di prosciutto .</t>
  </si>
  <si>
    <t>I like apples , an interesting type of prosciutto .</t>
  </si>
  <si>
    <t>J' adore les pommes , un type intéressant de prosciutto .</t>
  </si>
  <si>
    <t>Adoro il prosciutto , un tipo interessante di carote .</t>
  </si>
  <si>
    <t>I like prosciutto , an interesting type of carrots .</t>
  </si>
  <si>
    <t>J' adore le prosciutto , un type intéressant de carottes .</t>
  </si>
  <si>
    <t>Adoro le carote , un tipo interessante di prosciutto .</t>
  </si>
  <si>
    <t>I like carrots , an interesting type of prosciutto .</t>
  </si>
  <si>
    <t>J' adore les carottes , un type intéressant de prosciutto .</t>
  </si>
  <si>
    <t>Adoro il bacon , un tipo interessante di pesce .</t>
  </si>
  <si>
    <t>I like bacon , an interesting type of fish .</t>
  </si>
  <si>
    <t>J' adore le bacon , un type intéressant de poisson .</t>
  </si>
  <si>
    <t>Adoro il pesce , un tipo interessante di bacon .</t>
  </si>
  <si>
    <t>I like fish , an interesting type of bacon .</t>
  </si>
  <si>
    <t>J' adore le poisson , un type intéressant de bacon .</t>
  </si>
  <si>
    <t>Adoro il bacon , un tipo interessante di maiale .</t>
  </si>
  <si>
    <t>I like bacon , an interesting type of pork .</t>
  </si>
  <si>
    <t>J' adore le bacon , un type intéressant de porc .</t>
  </si>
  <si>
    <t>Adoro il maiale , un tipo interessante di bacon .</t>
  </si>
  <si>
    <t>I like pork , an interesting type of bacon .</t>
  </si>
  <si>
    <t>J' adore le porc , un type intéressant de bacon .</t>
  </si>
  <si>
    <t>Adoro il bacon , un tipo interessante di broccoli .</t>
  </si>
  <si>
    <t>I like bacon , an interesting type of broccoli .</t>
  </si>
  <si>
    <t>J' adore le bacon , un type intéressant de brocoli .</t>
  </si>
  <si>
    <t>Adoro i broccoli , un tipo interessante di bacon .</t>
  </si>
  <si>
    <t>I like broccoli , an interesting type of bacon .</t>
  </si>
  <si>
    <t>J' adore le brocoli , un type intéressant de bacon .</t>
  </si>
  <si>
    <t>Apprezzo il jazz , eccetto i gioielli .</t>
  </si>
  <si>
    <t>I like jazz , except jewelry .</t>
  </si>
  <si>
    <t>J' apprécie le jazz , sauf les bijoux .</t>
  </si>
  <si>
    <t>Adoro il bacon , un tipo interessante di mele .</t>
  </si>
  <si>
    <t>I like bacon , an interesting type of apples .</t>
  </si>
  <si>
    <t>J' adore le bacon , un type intéressant de pommes .</t>
  </si>
  <si>
    <t>Adoro le mele , un tipo interessante di bacon .</t>
  </si>
  <si>
    <t>I like apples , an interesting type of bacon .</t>
  </si>
  <si>
    <t>J' adore les pommes , un type intéressant de bacon .</t>
  </si>
  <si>
    <t>Adoro il bacon , un tipo interessante di carote .</t>
  </si>
  <si>
    <t>I like bacon , an interesting type of carrots .</t>
  </si>
  <si>
    <t>J' adore le bacon , un type intéressant de carottes .</t>
  </si>
  <si>
    <t>Adoro le carote , un tipo interessante di bacon .</t>
  </si>
  <si>
    <t>I like carrots , an interesting type of bacon .</t>
  </si>
  <si>
    <t>J' adore les carottes , un type intéressant de bacon .</t>
  </si>
  <si>
    <t>Apprezzo i gioielli , eccetto il jazz .</t>
  </si>
  <si>
    <t>I like jewelry , except jazz .</t>
  </si>
  <si>
    <t>J' apprécie les bijoux , sauf le jazz .</t>
  </si>
  <si>
    <t>Adoro il lardo , un tipo interessante di pesce .</t>
  </si>
  <si>
    <t>I like lard , an interesting type of fish .</t>
  </si>
  <si>
    <t>J' adore les lardons , un type intéressant de poisson .</t>
  </si>
  <si>
    <t>Adoro il pesce , un tipo interessante di lardo .</t>
  </si>
  <si>
    <t>I like fish , an interesting type of lard .</t>
  </si>
  <si>
    <t>J' adore le poisson , un type intéressant de lardons .</t>
  </si>
  <si>
    <t>Adoro il lardo , un tipo interessante di maiale .</t>
  </si>
  <si>
    <t>I like lard , an interesting type of pork .</t>
  </si>
  <si>
    <t>J' adore les lardons , un type intéressant de porc .</t>
  </si>
  <si>
    <t>Adoro il maiale , un tipo interessante di lardo .</t>
  </si>
  <si>
    <t>I like pork , an interesting type of lard .</t>
  </si>
  <si>
    <t>J' adore le porc , un type intéressant de lardons .</t>
  </si>
  <si>
    <t>Adoro il lardo , un tipo interessante di broccoli .</t>
  </si>
  <si>
    <t>I like lard , an interesting type of broccoli .</t>
  </si>
  <si>
    <t>J' adore les lardons , un type intéressant de brocoli .</t>
  </si>
  <si>
    <t>Adoro i broccoli , un tipo interessante di lardo .</t>
  </si>
  <si>
    <t>I like broccoli , an interesting type of lard .</t>
  </si>
  <si>
    <t>J' adore le brocoli , un type intéressant de lardons .</t>
  </si>
  <si>
    <t>Adoro il lardo , un tipo interessante di mele .</t>
  </si>
  <si>
    <t>I like lard , an interesting type of apples .</t>
  </si>
  <si>
    <t>J' adore les lardons , un type intéressant de pommes .</t>
  </si>
  <si>
    <t>Adoro le mele , un tipo interessante di lardo .</t>
  </si>
  <si>
    <t>I like apples , an interesting type of lard .</t>
  </si>
  <si>
    <t>J' adore les pommes , un type intéressant de lardons .</t>
  </si>
  <si>
    <t>Adoro il lardo , un tipo interessante di carote .</t>
  </si>
  <si>
    <t>I like lard , an interesting type of carrots .</t>
  </si>
  <si>
    <t>J' adore les lardons , un type intéressant de carottes .</t>
  </si>
  <si>
    <t>Adoro le carote , un tipo interessante di lardo .</t>
  </si>
  <si>
    <t>I like carrots , an interesting type of lard .</t>
  </si>
  <si>
    <t>J' adore les carottes , un type intéressant de lardons .</t>
  </si>
  <si>
    <t>Adoro il salmone , un tipo interessante di pollo .</t>
  </si>
  <si>
    <t>I like salmon , an interesting type of chicken .</t>
  </si>
  <si>
    <t>J' adore le saumon , un type intéressant de poulet .</t>
  </si>
  <si>
    <t>Adoro il pollo , un tipo interessante di salmone .</t>
  </si>
  <si>
    <t>I like chicken , an interesting type of salmon .</t>
  </si>
  <si>
    <t>J' adore le poulet , un type intéressant de saumon .</t>
  </si>
  <si>
    <t>Adoro il salmone , un tipo interessante di prodotti del mare .</t>
  </si>
  <si>
    <t>I like salmon , an interesting type of seafood .</t>
  </si>
  <si>
    <t>J' adore le saumon , un type intéressant de produits de la mer .</t>
  </si>
  <si>
    <t>Adoro i prodotti del mare , un tipo interessante di salmone .</t>
  </si>
  <si>
    <t>I like seafood , an interesting type of salmon .</t>
  </si>
  <si>
    <t>J' adore les produits de la mer , un type intéressant de saumon .</t>
  </si>
  <si>
    <t>Adoro i prodotti del mare , un tipo interessante di pollo .</t>
  </si>
  <si>
    <t>I like seafood , an interesting type of chicken .</t>
  </si>
  <si>
    <t>J' adore les produits de la mer , un type intéressant de poulet .</t>
  </si>
  <si>
    <t>Adoro il salmone , un tipo interessante di vitello .</t>
  </si>
  <si>
    <t>I like salmon , an interesting type of veal .</t>
  </si>
  <si>
    <t>J' adore le saumon , un type intéressant de veau .</t>
  </si>
  <si>
    <t>Adoro il vitello , un tipo interessante di salmone .</t>
  </si>
  <si>
    <t>I like veal , an interesting type of salmon .</t>
  </si>
  <si>
    <t>J' adore le veau , un type intéressant de saumon .</t>
  </si>
  <si>
    <t>Adoro i prodotti del mare , un tipo interessante di vitello .</t>
  </si>
  <si>
    <t>I like seafood , an interesting type of veal .</t>
  </si>
  <si>
    <t>J' adore les produits de la mer , un type intéressant de veau .</t>
  </si>
  <si>
    <t>Adoro il salmone , un tipo interessante di tacchino .</t>
  </si>
  <si>
    <t>I like salmon , an interesting type of turkey .</t>
  </si>
  <si>
    <t>J' adore le saumon , un type intéressant de dinde .</t>
  </si>
  <si>
    <t>Adoro il tacchino , un tipo interessante di salmone .</t>
  </si>
  <si>
    <t>I like turkey , an interesting type of salmon .</t>
  </si>
  <si>
    <t>J' adore la dinde , un type intéressant de saumon .</t>
  </si>
  <si>
    <t>Adoro i prodotti del mare , un tipo interessante di tacchino .</t>
  </si>
  <si>
    <t>I like seafood , an interesting type of turkey .</t>
  </si>
  <si>
    <t>J' adore les produits de la mer , un type intéressant de dinde .</t>
  </si>
  <si>
    <t>Adoro il salmone , un tipo interessante di manzo .</t>
  </si>
  <si>
    <t>I like salmon , an interesting type of beef .</t>
  </si>
  <si>
    <t>J' adore le saumon , un type intéressant de boeuf .</t>
  </si>
  <si>
    <t>Adoro il manzo , un tipo interessante di salmone .</t>
  </si>
  <si>
    <t>I like beef , an interesting type of salmon .</t>
  </si>
  <si>
    <t>J' adore le boeuf , un type intéressant de saumon .</t>
  </si>
  <si>
    <t>Apprezzo la techno , eccetto gli sport .</t>
  </si>
  <si>
    <t>I like techno , except sports .</t>
  </si>
  <si>
    <t>J' apprécie la techno , sauf les sports .</t>
  </si>
  <si>
    <t>Adoro i prodotti del mare , un tipo interessante di manzo .</t>
  </si>
  <si>
    <t>I like seafood , an interesting type of beef .</t>
  </si>
  <si>
    <t>J' adore les produits de la mer , un type intéressant de boeuf .</t>
  </si>
  <si>
    <t>Apprezzo gli sport , eccetto la techno .</t>
  </si>
  <si>
    <t>I like sports , except techno .</t>
  </si>
  <si>
    <t>J' apprécie les sports , sauf la techno .</t>
  </si>
  <si>
    <t>Apprezzo la techno , eccetto la musica .</t>
  </si>
  <si>
    <t>I like techno , except music .</t>
  </si>
  <si>
    <t>J' apprécie la techno , sauf la musique .</t>
  </si>
  <si>
    <t>Adoro i granchi , un tipo interessante di pollo .</t>
  </si>
  <si>
    <t>I like crabs , an interesting type of chicken .</t>
  </si>
  <si>
    <t>J' adore les crabes , un type intéressant de poulet .</t>
  </si>
  <si>
    <t>Adoro il pollo , un tipo interessante di granchi .</t>
  </si>
  <si>
    <t>I like chicken , an interesting type of crabs .</t>
  </si>
  <si>
    <t>J' adore le poulet , un type intéressant de crabes .</t>
  </si>
  <si>
    <t>Adoro i granchi , un tipo interessante di prodotti del mare .</t>
  </si>
  <si>
    <t>I like crabs , an interesting type of seafood .</t>
  </si>
  <si>
    <t>J' adore les crabes , un type intéressant de produits de la mer .</t>
  </si>
  <si>
    <t>Adoro i prodotti del mare , un tipo interessante di granchio .</t>
  </si>
  <si>
    <t>I like seafood , an interesting type of crab .</t>
  </si>
  <si>
    <t>J' adore les produits de la mer , un type intéressant de crabe .</t>
  </si>
  <si>
    <t>Adoro i granchi , un tipo interessante di vitello .</t>
  </si>
  <si>
    <t>I like crabs , an interesting type of veal .</t>
  </si>
  <si>
    <t>J' adore les crabes , un type intéressant de veau .</t>
  </si>
  <si>
    <t>Adoro il vitello , un tipo interessante di granchi .</t>
  </si>
  <si>
    <t>I like veal , an interesting type of crabs .</t>
  </si>
  <si>
    <t>J' adore le veau , un type intéressant de crabes .</t>
  </si>
  <si>
    <t>Apprezzo la musica , eccetto la techno .</t>
  </si>
  <si>
    <t>I like music , except techno .</t>
  </si>
  <si>
    <t>J' apprécie la musique , sauf la techno .</t>
  </si>
  <si>
    <t>Adoro i granchi , un tipo interessante di tacchino .</t>
  </si>
  <si>
    <t>I like crabs , an interesting type of turkey .</t>
  </si>
  <si>
    <t>J' adore les crabes , un type intéressant de dinde .</t>
  </si>
  <si>
    <t>Adoro il tacchino , un tipo interessante di granchi .</t>
  </si>
  <si>
    <t>I like turkey , an interesting type of crabs .</t>
  </si>
  <si>
    <t>J' adore la dinde , un type intéressant de crabes .</t>
  </si>
  <si>
    <t>Adoro i granchi , un tipo interessante di manzo .</t>
  </si>
  <si>
    <t>I like crabs , an interesting type of beef .</t>
  </si>
  <si>
    <t>J' adore les crabes , un type intéressant de boeuf .</t>
  </si>
  <si>
    <t>Adoro il manzo , un tipo interessante di granchi .</t>
  </si>
  <si>
    <t>I like beef , an interesting type of crabs .</t>
  </si>
  <si>
    <t>J' adore le boeuf , un type intéressant de crabes .</t>
  </si>
  <si>
    <t>Apprezzo la techno , eccetto i giochi da tavolo .</t>
  </si>
  <si>
    <t>I like techno , except boardgames .</t>
  </si>
  <si>
    <t>J' apprécie la techno , sauf les jeux de société .</t>
  </si>
  <si>
    <t>Apprezzo i giochi da tavolo , eccetto la techno .</t>
  </si>
  <si>
    <t>I like boardgames , except techno .</t>
  </si>
  <si>
    <t>J' apprécie les jeux de société , sauf la techno .</t>
  </si>
  <si>
    <t>Adoro le ostriche , un tipo interessante di pollo .</t>
  </si>
  <si>
    <t>I like oysters , an interesting type of chicken .</t>
  </si>
  <si>
    <t>J' adore les huîtres , un type intéressant de poulet .</t>
  </si>
  <si>
    <t>Adoro il pollo , un tipo interessante di ostriche .</t>
  </si>
  <si>
    <t>I like chicken , an interesting type of oysters .</t>
  </si>
  <si>
    <t>J' adore le poulet , un type intéressant de huîtres .</t>
  </si>
  <si>
    <t>Adoro le ostriche , un tipo interessante di prodotti del mare .</t>
  </si>
  <si>
    <t>I like oysters , an interesting type of seafood .</t>
  </si>
  <si>
    <t>J' adore les huîtres , un type intéressant de produits de la mer .</t>
  </si>
  <si>
    <t>Adoro i prodotti del mare , un tipo interessante di ostrica .</t>
  </si>
  <si>
    <t>I like seafood , an interesting type of oyster .</t>
  </si>
  <si>
    <t>J' adore les produits de la mer , un type intéressant de huître .</t>
  </si>
  <si>
    <t>Adoro le ostriche , un tipo interessante di vitello .</t>
  </si>
  <si>
    <t>I like oysters , an interesting type of veal .</t>
  </si>
  <si>
    <t>J' adore les huîtres , un type intéressant de veau .</t>
  </si>
  <si>
    <t>Adoro il vitello , un tipo interessante di ostriche .</t>
  </si>
  <si>
    <t>I like veal , an interesting type of oysters .</t>
  </si>
  <si>
    <t>J' adore le veau , un type intéressant de huîtres .</t>
  </si>
  <si>
    <t>Adoro le ostriche , un tipo interessante di tacchino .</t>
  </si>
  <si>
    <t>I like oysters , an interesting type of turkey .</t>
  </si>
  <si>
    <t>J' adore les huîtres , un type intéressant de dinde .</t>
  </si>
  <si>
    <t>Adoro il tacchino , un tipo interessante di ostriche .</t>
  </si>
  <si>
    <t>I like turkey , an interesting type of oysters .</t>
  </si>
  <si>
    <t>J' adore la dinde , un type intéressant de huîtres .</t>
  </si>
  <si>
    <t>Adoro le ostriche , un tipo interessante di manzo .</t>
  </si>
  <si>
    <t>I like oysters , an interesting type of beef .</t>
  </si>
  <si>
    <t>J' adore les huîtres , un type intéressant de boeuf .</t>
  </si>
  <si>
    <t>Adoro il manzo , un tipo interessante di ostriche .</t>
  </si>
  <si>
    <t>I like beef , an interesting type of oysters .</t>
  </si>
  <si>
    <t>J' adore le boeuf , un type intéressant de huîtres .</t>
  </si>
  <si>
    <t>Apprezzo la techno , eccetto il cibo .</t>
  </si>
  <si>
    <t>I like techno , except food .</t>
  </si>
  <si>
    <t>J' apprécie la techno , sauf les aliments .</t>
  </si>
  <si>
    <t>Adoro il caviale , un tipo interessante di pollo .</t>
  </si>
  <si>
    <t>I like caviar , an interesting type of chicken .</t>
  </si>
  <si>
    <t>J' adore le caviar , un type intéressant de poulet .</t>
  </si>
  <si>
    <t>Adoro il pollo , un tipo interessante di caviale .</t>
  </si>
  <si>
    <t>I like chicken , an interesting type of caviar .</t>
  </si>
  <si>
    <t>J' adore le poulet , un type intéressant de caviar .</t>
  </si>
  <si>
    <t>Adoro il caviale , un tipo interessante di prodotti del mare .</t>
  </si>
  <si>
    <t>I like caviar , an interesting type of seafood .</t>
  </si>
  <si>
    <t>J' adore le caviar , un type intéressant de produits de la mer .</t>
  </si>
  <si>
    <t>Adoro i prodotti del mare , un tipo interessante di caviale .</t>
  </si>
  <si>
    <t>I like seafood , an interesting type of caviar .</t>
  </si>
  <si>
    <t>J' adore les produits de la mer , un type intéressant de caviar .</t>
  </si>
  <si>
    <t>Adoro il caviale , un tipo interessante di vitello .</t>
  </si>
  <si>
    <t>I like caviar , an interesting type of veal .</t>
  </si>
  <si>
    <t>J' adore le caviar , un type intéressant de veau .</t>
  </si>
  <si>
    <t>Adoro il vitello , un tipo interessante di caviale .</t>
  </si>
  <si>
    <t>I like veal , an interesting type of caviar .</t>
  </si>
  <si>
    <t>J' adore le veau , un type intéressant de caviar .</t>
  </si>
  <si>
    <t>Apprezzo il cibo , eccetto la techno .</t>
  </si>
  <si>
    <t>I like food , except techno .</t>
  </si>
  <si>
    <t>J' apprécie les aliments , sauf la techno .</t>
  </si>
  <si>
    <t>Adoro il caviale , un tipo interessante di tacchino .</t>
  </si>
  <si>
    <t>I like caviar , an interesting type of turkey .</t>
  </si>
  <si>
    <t>J' adore le caviar , un type intéressant de dinde .</t>
  </si>
  <si>
    <t>Adoro il tacchino , un tipo interessante di caviale .</t>
  </si>
  <si>
    <t>I like turkey , an interesting type of caviar .</t>
  </si>
  <si>
    <t>J' adore la dinde , un type intéressant de caviar .</t>
  </si>
  <si>
    <t>Adoro il caviale , un tipo interessante di manzo .</t>
  </si>
  <si>
    <t>I like caviar , an interesting type of beef .</t>
  </si>
  <si>
    <t>J' adore le caviar , un type intéressant de boeuf .</t>
  </si>
  <si>
    <t>Adoro il manzo , un tipo interessante di caviale .</t>
  </si>
  <si>
    <t>I like beef , an interesting type of caviar .</t>
  </si>
  <si>
    <t>J' adore le boeuf , un type intéressant de caviar .</t>
  </si>
  <si>
    <t>Apprezzo la techno , eccetto i gioielli .</t>
  </si>
  <si>
    <t>I like techno , except jewelry .</t>
  </si>
  <si>
    <t>J' apprécie la techno , sauf les bijoux .</t>
  </si>
  <si>
    <t>Apprezzo i gioielli , eccetto la techno .</t>
  </si>
  <si>
    <t>I like jewelry , except techno .</t>
  </si>
  <si>
    <t>J' apprécie les bijoux , sauf la techno .</t>
  </si>
  <si>
    <t>Amo i thriller , un tipo interessante di saggio .</t>
  </si>
  <si>
    <t>I like thrillers , an interesting type of essay .</t>
  </si>
  <si>
    <t>J' aime les thrillers , un type intéressant d' essai .</t>
  </si>
  <si>
    <t>Amo i saggi , un tipo interessante di thriller .</t>
  </si>
  <si>
    <t>I like essays , an interesting type of thriller .</t>
  </si>
  <si>
    <t>J' aime les essais , un type intéressant de thriller .</t>
  </si>
  <si>
    <t>Amo i thriller , un tipo interessante di film .</t>
  </si>
  <si>
    <t>I like thrillers , an interesting type of movie .</t>
  </si>
  <si>
    <t>J' aime les thrillers , un type intéressant de film .</t>
  </si>
  <si>
    <t>Amo i film , un tipo interessante di thriller .</t>
  </si>
  <si>
    <t>I like movies , an interesting type of thriller .</t>
  </si>
  <si>
    <t>J' aime les films , un type intéressant de thriller .</t>
  </si>
  <si>
    <t>Amo i film , un tipo interessante di saggio .</t>
  </si>
  <si>
    <t>I like movies , an interesting type of essay .</t>
  </si>
  <si>
    <t>J' aime les films , un type intéressant d' essai .</t>
  </si>
  <si>
    <t>Amo i thriller , un tipo interessante di libro di testo .</t>
  </si>
  <si>
    <t>I like thrillers , an interesting type of textbook .</t>
  </si>
  <si>
    <t>J' aime les thrillers , un type intéressant de manuel scolaire .</t>
  </si>
  <si>
    <t>Amo i sussidiari , un tipo interessante di thriller .</t>
  </si>
  <si>
    <t>I like textbooks , an interesting type of thriller .</t>
  </si>
  <si>
    <t>J' aime les manuels scolaires , un type intéressant de thriller .</t>
  </si>
  <si>
    <t>Amo i film , un tipo interessante di libro di testo .</t>
  </si>
  <si>
    <t>I like movies , an interesting type of textbook .</t>
  </si>
  <si>
    <t>J' aime les films , un type intéressant de manuel scolaire .</t>
  </si>
  <si>
    <t>Amo i thriller , un tipo interessante di gioco da tavolo .</t>
  </si>
  <si>
    <t>I like thrillers , an interesting type of boardgame .</t>
  </si>
  <si>
    <t>J' aime les thrillers , un type intéressant de jeu de société .</t>
  </si>
  <si>
    <t>Amo i giochi da tavolo , un tipo interessante di thriller .</t>
  </si>
  <si>
    <t>I like boardgames , an interesting type of thriller .</t>
  </si>
  <si>
    <t>J' aime les jeux de société , un type intéressant de thriller .</t>
  </si>
  <si>
    <t>Amo i film , un tipo interessante di gioco da tavolo .</t>
  </si>
  <si>
    <t>I like movies , an interesting type of boardgame .</t>
  </si>
  <si>
    <t>J' aime les films , un type intéressant de jeu de société .</t>
  </si>
  <si>
    <t>Amo i thriller , un tipo interessante di videogioco .</t>
  </si>
  <si>
    <t>I like thrillers , an interesting type of videogame .</t>
  </si>
  <si>
    <t>J' aime les thrillers , un type intéressant de jeux vidéo .</t>
  </si>
  <si>
    <t>Amo i videogiochi , un tipo interessante di thriller .</t>
  </si>
  <si>
    <t>I like videogames , an interesting type of thriller .</t>
  </si>
  <si>
    <t>J' aime les jeux vidéo , un type intéressant de thriller .</t>
  </si>
  <si>
    <t>Amo i film , un tipo interessante di videogioco .</t>
  </si>
  <si>
    <t>I like movies , an interesting type of videogame .</t>
  </si>
  <si>
    <t>J' aime les films , un type intéressant de jeux vidéo .</t>
  </si>
  <si>
    <t>Amo i western , un tipo interessante di saggio .</t>
  </si>
  <si>
    <t>I like westerns , an interesting type of essay .</t>
  </si>
  <si>
    <t>J' aime les westerns , un type intéressant d' essai .</t>
  </si>
  <si>
    <t>Amo i saggi , un tipo interessante di western .</t>
  </si>
  <si>
    <t>I like essays , an interesting type of western .</t>
  </si>
  <si>
    <t>J' aime les essais , un type intéressant de western .</t>
  </si>
  <si>
    <t>Amo i western , un tipo interessante di film .</t>
  </si>
  <si>
    <t>I like westerns , an interesting type of movie .</t>
  </si>
  <si>
    <t>J' aime les westerns , un type intéressant de film .</t>
  </si>
  <si>
    <t>Amo i film , un tipo interessante di western .</t>
  </si>
  <si>
    <t>I like movies , an interesting type of western .</t>
  </si>
  <si>
    <t>J' aime les films , un type intéressant de western .</t>
  </si>
  <si>
    <t>Amo i western , un tipo interessante di libro di testo .</t>
  </si>
  <si>
    <t>I like westerns , an interesting type of textbook .</t>
  </si>
  <si>
    <t>J' aime les westerns , un type intéressant de manuel scolaire .</t>
  </si>
  <si>
    <t>Amo i sussidiari , un tipo interessante di western .</t>
  </si>
  <si>
    <t>I like textbooks , an interesting type of western .</t>
  </si>
  <si>
    <t>J' aime les manuels scolaires , un type intéressant de western .</t>
  </si>
  <si>
    <t>Amo i western , un tipo interessante di gioco da tavolo .</t>
  </si>
  <si>
    <t>I like westerns , an interesting type of boardgame .</t>
  </si>
  <si>
    <t>J' aime les westerns , un type intéressant de jeu de société .</t>
  </si>
  <si>
    <t>Amo i giochi da tavolo , un tipo interessante di western .</t>
  </si>
  <si>
    <t>I like boardgames , an interesting type of western .</t>
  </si>
  <si>
    <t>J' aime les jeux de société , un type intéressant de western .</t>
  </si>
  <si>
    <t>Amo i western , un tipo interessante di videogioco .</t>
  </si>
  <si>
    <t>I like westerns , an interesting type of videogame .</t>
  </si>
  <si>
    <t>J' aime les westerns , un type intéressant de jeux vidéo .</t>
  </si>
  <si>
    <t>Amo i videogiochi , un tipo interessante di western .</t>
  </si>
  <si>
    <t>I like videogames , an interesting type of western .</t>
  </si>
  <si>
    <t>J' aime les jeux vidéo , un type intéressant de western .</t>
  </si>
  <si>
    <t>Amo le commedie , un tipo interessante di saggio .</t>
  </si>
  <si>
    <t>I like comedies , an interesting type of essay .</t>
  </si>
  <si>
    <t>J' aime les comédies , un type intéressant d' essai .</t>
  </si>
  <si>
    <t>Amo i saggi , un tipo interessante di commedia .</t>
  </si>
  <si>
    <t>I like essays , an interesting type of comedy .</t>
  </si>
  <si>
    <t>J' aime les essais , un type intéressant de comédie .</t>
  </si>
  <si>
    <t>Amo le commedie , un tipo interessante di film .</t>
  </si>
  <si>
    <t>I like comedies , an interesting type of movie .</t>
  </si>
  <si>
    <t>J' aime les comédies , un type intéressant de film .</t>
  </si>
  <si>
    <t>Amo i film , un tipo interessante di comedie .</t>
  </si>
  <si>
    <t>I like movies , an interesting type of comedie .</t>
  </si>
  <si>
    <t>J' aime les films , un type intéressant de comedie .</t>
  </si>
  <si>
    <t>Amo le commedie , un tipo interessante di libro di testo .</t>
  </si>
  <si>
    <t>I like comedies , an interesting type of textbook .</t>
  </si>
  <si>
    <t>J' aime les comédies , un type intéressant de manuel scolaire .</t>
  </si>
  <si>
    <t>Amo i sussidiari , un tipo interessante di commedia .</t>
  </si>
  <si>
    <t>I like textbooks , an interesting type of comedy .</t>
  </si>
  <si>
    <t>J' aime les manuels scolaires , un type intéressant de comédie .</t>
  </si>
  <si>
    <t>Amo le commedie , un tipo interessante di gioco da tavolo .</t>
  </si>
  <si>
    <t>I like comedies , an interesting type of boardgame .</t>
  </si>
  <si>
    <t>J' aime les comédies , un type intéressant de jeu de société .</t>
  </si>
  <si>
    <t>Amo i giochi da tavolo , un tipo interessante di commedia .</t>
  </si>
  <si>
    <t>I like boardgames , an interesting type of comedy .</t>
  </si>
  <si>
    <t>J' aime les jeux de société , un type intéressant de comédie .</t>
  </si>
  <si>
    <t>Amo le commedie , un tipo interessante di videogioco .</t>
  </si>
  <si>
    <t>I like comedies , an interesting type of videogame .</t>
  </si>
  <si>
    <t>J' aime les comédies , un type intéressant de jeux vidéo .</t>
  </si>
  <si>
    <t>Amo i videogiochi , un tipo interessante di commedia .</t>
  </si>
  <si>
    <t>I like videogames , an interesting type of comedy .</t>
  </si>
  <si>
    <t>J' aime les jeux vidéo , un type intéressant de comédie .</t>
  </si>
  <si>
    <t>Apprezzo il blues , eccetto gli sport .</t>
  </si>
  <si>
    <t>I like blues , except sports .</t>
  </si>
  <si>
    <t>J' apprécie le blues , sauf les sports .</t>
  </si>
  <si>
    <t>Apprezzo gli sport , eccetto il blues .</t>
  </si>
  <si>
    <t>I like sports , except blues .</t>
  </si>
  <si>
    <t>J' apprécie les sports , sauf le blues .</t>
  </si>
  <si>
    <t>Apprezzo il blues , eccetto la musica .</t>
  </si>
  <si>
    <t>I like blues , except music .</t>
  </si>
  <si>
    <t>J' apprécie le blues , sauf la musique .</t>
  </si>
  <si>
    <t>Amo i documentari , un tipo interessante di saggio .</t>
  </si>
  <si>
    <t>I like documentaries , an interesting type of essay .</t>
  </si>
  <si>
    <t>J' aime les documentaires , un type intéressant d' essai .</t>
  </si>
  <si>
    <t>Amo i saggi , un tipo interessante di documentario .</t>
  </si>
  <si>
    <t>I like essays , an interesting type of documentary .</t>
  </si>
  <si>
    <t>J' aime les essais , un type intéressant de documentaire .</t>
  </si>
  <si>
    <t>Amo i documentari , un tipo interessante di film .</t>
  </si>
  <si>
    <t>I like documentaries , an interesting type of movie .</t>
  </si>
  <si>
    <t>J' aime les documentaires , un type intéressant de film .</t>
  </si>
  <si>
    <t>Amo i film , un tipo interessante di documentario .</t>
  </si>
  <si>
    <t>I like movies , an interesting type of documentary .</t>
  </si>
  <si>
    <t>J' aime les films , un type intéressant de documentaire .</t>
  </si>
  <si>
    <t>Amo i documentari , un tipo interessante di libro di testo .</t>
  </si>
  <si>
    <t>I like documentaries , an interesting type of textbook .</t>
  </si>
  <si>
    <t>J' aime les documentaires , un type intéressant de manuel scolaire .</t>
  </si>
  <si>
    <t>Amo i sussidiari , un tipo interessante di documentario .</t>
  </si>
  <si>
    <t>I like textbooks , an interesting type of documentary .</t>
  </si>
  <si>
    <t>J' aime les manuels scolaires , un type intéressant de documentaire .</t>
  </si>
  <si>
    <t>Apprezzo la musica , eccetto il blues .</t>
  </si>
  <si>
    <t>I like music , except blues .</t>
  </si>
  <si>
    <t>J' apprécie la musique , sauf le blues .</t>
  </si>
  <si>
    <t>Amo i documentari , un tipo interessante di gioco da tavolo .</t>
  </si>
  <si>
    <t>I like documentaries , an interesting type of boardgame .</t>
  </si>
  <si>
    <t>J' aime les documentaires , un type intéressant de jeu de société .</t>
  </si>
  <si>
    <t>Amo i giochi da tavolo , un tipo interessante di documentario .</t>
  </si>
  <si>
    <t>I like boardgames , an interesting type of documentary .</t>
  </si>
  <si>
    <t>J' aime les jeux de société , un type intéressant de documentaire .</t>
  </si>
  <si>
    <t>Amo i documentari , un tipo interessante di videogioco .</t>
  </si>
  <si>
    <t>I like documentaries , an interesting type of videogame .</t>
  </si>
  <si>
    <t>J' aime les documentaires , un type intéressant de jeux vidéo .</t>
  </si>
  <si>
    <t>Amo i videogiochi , un tipo interessante di documentario .</t>
  </si>
  <si>
    <t>I like videogames , an interesting type of documentary .</t>
  </si>
  <si>
    <t>J' aime les jeux vidéo , un type intéressant de documentaire .</t>
  </si>
  <si>
    <t>Apprezzo il blues , eccetto i giochi da tavolo .</t>
  </si>
  <si>
    <t>I like blues , except boardgames .</t>
  </si>
  <si>
    <t>J' apprécie le blues , sauf les jeux de société .</t>
  </si>
  <si>
    <t>Apprezzo i giochi da tavolo , eccetto il blues .</t>
  </si>
  <si>
    <t>I like boardgames , except blues .</t>
  </si>
  <si>
    <t>J' apprécie les jeux de société , sauf le blues .</t>
  </si>
  <si>
    <t>Amo i braccialetti , un tipo interessante di borsetta .</t>
  </si>
  <si>
    <t>I like bracelets , an interesting type of handbag .</t>
  </si>
  <si>
    <t>J' aime les bracelets , un type intéressant de sac à main .</t>
  </si>
  <si>
    <t>Amo le borsette , un tipo interessante di braccialetto .</t>
  </si>
  <si>
    <t>I like handbags , an interesting type of bracelet .</t>
  </si>
  <si>
    <t>J' aime les sacs à main , un type intéressant de bracelet .</t>
  </si>
  <si>
    <t>Amo i braccialetti , un tipo interessante di gioielli .</t>
  </si>
  <si>
    <t>I like bracelets , an interesting type of jewelry .</t>
  </si>
  <si>
    <t>J' aime les bracelets , un type intéressant de bijoux .</t>
  </si>
  <si>
    <t>Amo i gioielli , un tipo interessante di braccialetto .</t>
  </si>
  <si>
    <t>I like jewelry , an interesting type of bracelet .</t>
  </si>
  <si>
    <t>J' aime les bijoux , un type intéressant de bracelet .</t>
  </si>
  <si>
    <t>Amo i gioielli , un tipo interessante di borsetta .</t>
  </si>
  <si>
    <t>I like jewelry , an interesting type of handbag .</t>
  </si>
  <si>
    <t>J' aime les bijoux , un type intéressant de sac à main .</t>
  </si>
  <si>
    <t>Amo i braccialetti , un tipo interessante di sciarpa .</t>
  </si>
  <si>
    <t>I like bracelets , an interesting type of scarf .</t>
  </si>
  <si>
    <t>J' aime les bracelets , un type intéressant d' écharpe .</t>
  </si>
  <si>
    <t>Amo le sciarpe , un tipo interessante di braccialetto .</t>
  </si>
  <si>
    <t>I like scarfs , an interesting type of bracelet .</t>
  </si>
  <si>
    <t>J' aime les écharpes , un type intéressant de bracelet .</t>
  </si>
  <si>
    <t>Amo i gioielli , un tipo interessante di sciarpa .</t>
  </si>
  <si>
    <t>I like jewelry , an interesting type of scarf .</t>
  </si>
  <si>
    <t>J' aime les bijoux , un type intéressant d' écharpe .</t>
  </si>
  <si>
    <t>Amo i braccialetti , un tipo interessante di occhiali .</t>
  </si>
  <si>
    <t>I like bracelets , an interesting type of glasses .</t>
  </si>
  <si>
    <t>J' aime les bracelets , un type intéressant de lunettes .</t>
  </si>
  <si>
    <t>Amo gli occhiali , un tipo interessante di braccialetto .</t>
  </si>
  <si>
    <t>I like glasses , an interesting type of bracelet .</t>
  </si>
  <si>
    <t>J' aime les lunettes , un type intéressant de bracelet .</t>
  </si>
  <si>
    <t>Amo i gioielli , un tipo interessante di occhiali .</t>
  </si>
  <si>
    <t>I like jewelry , an interesting type of glasses .</t>
  </si>
  <si>
    <t>J' aime les bijoux , un type intéressant de lunettes .</t>
  </si>
  <si>
    <t>Amo i braccialetti , un tipo interessante di scarpa .</t>
  </si>
  <si>
    <t>I like bracelets , an interesting type of shoe .</t>
  </si>
  <si>
    <t>J' aime les bracelets , un type intéressant de chaussure .</t>
  </si>
  <si>
    <t>Amo le scarpe , un tipo interessante di braccialetto .</t>
  </si>
  <si>
    <t>I like shoes , an interesting type of bracelet .</t>
  </si>
  <si>
    <t>J' aime les chaussures , un type intéressant de bracelet .</t>
  </si>
  <si>
    <t>Amo i gioielli , un tipo interessante di scarpa .</t>
  </si>
  <si>
    <t>I like jewelry , an interesting type of shoe .</t>
  </si>
  <si>
    <t>J' aime les bijoux , un type intéressant de chaussure .</t>
  </si>
  <si>
    <t>Apprezzo il blues , eccetto il cibo .</t>
  </si>
  <si>
    <t>I like blues , except food .</t>
  </si>
  <si>
    <t>J' apprécie le blues , sauf les aliments .</t>
  </si>
  <si>
    <t>Amo le collane , un tipo interessante di borsetta .</t>
  </si>
  <si>
    <t>I like necklaces , an interesting type of handbag .</t>
  </si>
  <si>
    <t>J' aime les colliers , un type intéressant de sac à main .</t>
  </si>
  <si>
    <t>Amo le borsette , un tipo interessante di collana .</t>
  </si>
  <si>
    <t>I like handbags , an interesting type of necklace .</t>
  </si>
  <si>
    <t>J' aime les sacs à main , un type intéressant de collier .</t>
  </si>
  <si>
    <t>Amo le collane , un tipo interessante di gioielli .</t>
  </si>
  <si>
    <t>I like necklaces , an interesting type of jewelry .</t>
  </si>
  <si>
    <t>J' aime les colliers , un type intéressant de bijoux .</t>
  </si>
  <si>
    <t>Amo i gioielli , un tipo interessante di collana .</t>
  </si>
  <si>
    <t>I like jewelry , an interesting type of necklace .</t>
  </si>
  <si>
    <t>J' aime les bijoux , un type intéressant de collier .</t>
  </si>
  <si>
    <t>Amo le collane , un tipo interessante di sciarpa .</t>
  </si>
  <si>
    <t>I like necklaces , an interesting type of scarf .</t>
  </si>
  <si>
    <t>J' aime les colliers , un type intéressant d' écharpe .</t>
  </si>
  <si>
    <t>Amo le sciarpe , un tipo interessante di collana .</t>
  </si>
  <si>
    <t>I like scarfs , an interesting type of necklace .</t>
  </si>
  <si>
    <t>J' aime les écharpes , un type intéressant de collier .</t>
  </si>
  <si>
    <t>Apprezzo il cibo , eccetto il blues .</t>
  </si>
  <si>
    <t>I like food , except blues .</t>
  </si>
  <si>
    <t>J' apprécie les aliments , sauf le blues .</t>
  </si>
  <si>
    <t>Amo le collane , un tipo interessante di occhiali .</t>
  </si>
  <si>
    <t>I like necklaces , an interesting type of glasses .</t>
  </si>
  <si>
    <t>J' aime les colliers , un type intéressant de lunettes .</t>
  </si>
  <si>
    <t>Amo gli occhiali , un tipo interessante di collana .</t>
  </si>
  <si>
    <t>I like glasses , an interesting type of necklace .</t>
  </si>
  <si>
    <t>J' aime les lunettes , un type intéressant de collier .</t>
  </si>
  <si>
    <t>Amo le collane , un tipo interessante di scarpa .</t>
  </si>
  <si>
    <t>I like necklaces , an interesting type of shoe .</t>
  </si>
  <si>
    <t>J' aime les colliers , un type intéressant de chaussure .</t>
  </si>
  <si>
    <t>Amo le scarpe , un tipo interessante di collana .</t>
  </si>
  <si>
    <t>I like shoes , an interesting type of necklace .</t>
  </si>
  <si>
    <t>J' aime les chaussures , un type intéressant de collier .</t>
  </si>
  <si>
    <t>Amo gli orecchini , un tipo interessante di borsetta .</t>
  </si>
  <si>
    <t>I like earrings , an interesting type of handbag .</t>
  </si>
  <si>
    <t>J' aime les boucles d' oreille , un type intéressant de sac à main .</t>
  </si>
  <si>
    <t>Amo le borsette , un tipo interessante di orecchino .</t>
  </si>
  <si>
    <t>I like handbags , an interesting type of earring .</t>
  </si>
  <si>
    <t>J' aime les sacs à main , un type intéressant de boucle d' oreille .</t>
  </si>
  <si>
    <t>Amo gli orecchini , un tipo interessante di gioielli .</t>
  </si>
  <si>
    <t>I like earrings , an interesting type of jewelry .</t>
  </si>
  <si>
    <t>J' aime les boucles d' oreille , un type intéressant de bijoux .</t>
  </si>
  <si>
    <t>Amo i gioielli , un tipo interessante di orecchino .</t>
  </si>
  <si>
    <t>I like jewelry , an interesting type of earring .</t>
  </si>
  <si>
    <t>J' aime les bijoux , un type intéressant de boucle d' oreille .</t>
  </si>
  <si>
    <t>Amo gli orecchini , un tipo interessante di sciarpa .</t>
  </si>
  <si>
    <t>I like earrings , an interesting type of scarf .</t>
  </si>
  <si>
    <t>J' aime les boucles d' oreille , un type intéressant d' écharpe .</t>
  </si>
  <si>
    <t>Amo le sciarpe , un tipo interessante di orecchino .</t>
  </si>
  <si>
    <t>I like scarfs , an interesting type of earring .</t>
  </si>
  <si>
    <t>J' aime les écharpes , un type intéressant de boucle d' oreille .</t>
  </si>
  <si>
    <t>Apprezzo il blues , eccetto i gioielli .</t>
  </si>
  <si>
    <t>I like blues , except jewelry .</t>
  </si>
  <si>
    <t>J' apprécie le blues , sauf les bijoux .</t>
  </si>
  <si>
    <t>Amo gli orecchini , un tipo interessante di occhiali .</t>
  </si>
  <si>
    <t>I like earrings , an interesting type of glasses .</t>
  </si>
  <si>
    <t>J' aime les boucles d' oreille , un type intéressant de lunettes .</t>
  </si>
  <si>
    <t>Amo gli occhiali , un tipo interessante di orecchino .</t>
  </si>
  <si>
    <t>I like glasses , an interesting type of earring .</t>
  </si>
  <si>
    <t>J' aime les lunettes , un type intéressant de boucle d' oreille .</t>
  </si>
  <si>
    <t>Amo gli orecchini , un tipo interessante di scarpa .</t>
  </si>
  <si>
    <t>I like earrings , an interesting type of shoe .</t>
  </si>
  <si>
    <t>J' aime les boucles d' oreille , un type intéressant de chaussure .</t>
  </si>
  <si>
    <t>Amo le scarpe , un tipo interessante di orecchino .</t>
  </si>
  <si>
    <t>I like shoes , an interesting type of earring .</t>
  </si>
  <si>
    <t>J' aime les chaussures , un type intéressant de boucle d' oreille .</t>
  </si>
  <si>
    <t>Apprezzo i gioielli , eccetto il blues .</t>
  </si>
  <si>
    <t>I like jewelry , except blues .</t>
  </si>
  <si>
    <t>J' apprécie les bijoux , sauf le blues .</t>
  </si>
  <si>
    <t>Amo gli anelli , un tipo interessante di borsetta .</t>
  </si>
  <si>
    <t>I like rings , an interesting type of handbag .</t>
  </si>
  <si>
    <t>J' aime les bagues , un type intéressant de sac à main .</t>
  </si>
  <si>
    <t>Amo le borsette , un tipo interessante di anello .</t>
  </si>
  <si>
    <t>I like handbags , an interesting type of ring .</t>
  </si>
  <si>
    <t>J' aime les sacs à main , un type intéressant de bague .</t>
  </si>
  <si>
    <t>Amo gli anelli , un tipo interessante di gioielli .</t>
  </si>
  <si>
    <t>I like rings , an interesting type of jewelry .</t>
  </si>
  <si>
    <t>J' aime les bagues , un type intéressant de bijoux .</t>
  </si>
  <si>
    <t>Amo i gioielli , un tipo interessante di anello .</t>
  </si>
  <si>
    <t>I like jewelry , an interesting type of ring .</t>
  </si>
  <si>
    <t>J' aime les bijoux , un type intéressant de bague .</t>
  </si>
  <si>
    <t>Amo gli anelli , un tipo interessante di sciarpa .</t>
  </si>
  <si>
    <t>I like rings , an interesting type of scarf .</t>
  </si>
  <si>
    <t>J' aime les bagues , un type intéressant d' écharpe .</t>
  </si>
  <si>
    <t>Amo le sciarpe , un tipo interessante di anello .</t>
  </si>
  <si>
    <t>I like scarfs , an interesting type of ring .</t>
  </si>
  <si>
    <t>J' aime les écharpes , un type intéressant de bague .</t>
  </si>
  <si>
    <t>Amo gli anelli , un tipo interessante di occhiali .</t>
  </si>
  <si>
    <t>I like rings , an interesting type of glasses .</t>
  </si>
  <si>
    <t>J' aime les bagues , un type intéressant de lunettes .</t>
  </si>
  <si>
    <t>Amo gli occhiali , un tipo interessante di anello .</t>
  </si>
  <si>
    <t>I like glasses , an interesting type of ring .</t>
  </si>
  <si>
    <t>J' aime les lunettes , un type intéressant de bague .</t>
  </si>
  <si>
    <t>Amo gli anelli , un tipo interessante di scarpa .</t>
  </si>
  <si>
    <t>I like rings , an interesting type of shoe .</t>
  </si>
  <si>
    <t>J' aime les bagues , un type intéressant de chaussure .</t>
  </si>
  <si>
    <t>Amo le scarpe , un tipo interessante di anello .</t>
  </si>
  <si>
    <t>I like shoes , an interesting type of ring .</t>
  </si>
  <si>
    <t>J' aime les chaussures , un type intéressant de bague .</t>
  </si>
  <si>
    <t>Amo i gatti , un tipo interessante di giraffa .</t>
  </si>
  <si>
    <t>I like cats , an interesting type of giraffe .</t>
  </si>
  <si>
    <t>J' aime les chats , un type intéressant de giraffe .</t>
  </si>
  <si>
    <t>Amo le giraffe , un tipo interessante di gatto .</t>
  </si>
  <si>
    <t>I like giraffes , an interesting type of cat .</t>
  </si>
  <si>
    <t>J' aime les giraffes , un type intéressant de chat .</t>
  </si>
  <si>
    <t>Amo i gatti , un tipo interessante di animale domestico .</t>
  </si>
  <si>
    <t>I like cats , an interesting type of pet .</t>
  </si>
  <si>
    <t>J' aime les chats , un type intéressant d' animal de compagnie .</t>
  </si>
  <si>
    <t>Amo gli animali domestici , un tipo interessante di gatto .</t>
  </si>
  <si>
    <t>I like pets , an interesting type of cat .</t>
  </si>
  <si>
    <t>J' aime les animaux de compagnie , un type intéressant de chat .</t>
  </si>
  <si>
    <t>Amo gli animali domestici , un tipo interessante di giraffa .</t>
  </si>
  <si>
    <t>I like pets , an interesting type of giraffe .</t>
  </si>
  <si>
    <t>J' aime les animaux de compagnie , un type intéressant de giraffe .</t>
  </si>
  <si>
    <t>Amo i gatti , un tipo interessante di orso .</t>
  </si>
  <si>
    <t>I like cats , an interesting type of bear .</t>
  </si>
  <si>
    <t>J' aime les chats , un type intéressant d' ours .</t>
  </si>
  <si>
    <t>Amo gli orsi , un tipo interessante di gatto .</t>
  </si>
  <si>
    <t>I like bears , an interesting type of cat .</t>
  </si>
  <si>
    <t>J' aime les ours , un type intéressant de chat .</t>
  </si>
  <si>
    <t>Amo gli animali domestici , un tipo interessante di orso .</t>
  </si>
  <si>
    <t>I like pets , an interesting type of bear .</t>
  </si>
  <si>
    <t>J' aime les animaux de compagnie , un type intéressant d' ours .</t>
  </si>
  <si>
    <t>Amo i gatti , un tipo interessante di meduse .</t>
  </si>
  <si>
    <t>I like cats , an interesting type of jellyfish .</t>
  </si>
  <si>
    <t>J' aime les chats , un type intéressant de méduses .</t>
  </si>
  <si>
    <t>Amo le meduse , un tipo interessante di gatto .</t>
  </si>
  <si>
    <t>I like jellyfish , an interesting type of cat .</t>
  </si>
  <si>
    <t>J' aime les méduses , un type intéressant de chat .</t>
  </si>
  <si>
    <t>Amo gli animali domestici , un tipo interessante di meduse .</t>
  </si>
  <si>
    <t>I like pets , an interesting type of jellyfish .</t>
  </si>
  <si>
    <t>J' aime les animaux de compagnie , un type intéressant de méduses .</t>
  </si>
  <si>
    <t>Amo i gatti , un tipo interessante di balena .</t>
  </si>
  <si>
    <t>I like cats , an interesting type of whale .</t>
  </si>
  <si>
    <t>J' aime les chats , un type intéressant de baleine .</t>
  </si>
  <si>
    <t>Amo le balene , un tipo interessante di gatto .</t>
  </si>
  <si>
    <t>I like whales , an interesting type of cat .</t>
  </si>
  <si>
    <t>J' aime les baleines , un type intéressant de chat .</t>
  </si>
  <si>
    <t>Amo gli animali domestici , un tipo interessante di balena .</t>
  </si>
  <si>
    <t>I like pets , an interesting type of whale .</t>
  </si>
  <si>
    <t>J' aime les animaux de compagnie , un type intéressant de baleine .</t>
  </si>
  <si>
    <t>Amo i cani , un tipo interessante di giraffa .</t>
  </si>
  <si>
    <t>I like dogs , an interesting type of giraffe .</t>
  </si>
  <si>
    <t>J' aime les chiens , un type intéressant de giraffe .</t>
  </si>
  <si>
    <t>Amo le giraffe , un tipo interessante di cane .</t>
  </si>
  <si>
    <t>I like giraffes , an interesting type of dog .</t>
  </si>
  <si>
    <t>J' aime les giraffes , un type intéressant de chien .</t>
  </si>
  <si>
    <t>Amo i cani , un tipo interessante di animale domestico .</t>
  </si>
  <si>
    <t>I like dogs , an interesting type of pet .</t>
  </si>
  <si>
    <t>J' aime les chiens , un type intéressant d' animal de compagnie .</t>
  </si>
  <si>
    <t>Amo gli animali domestici , un tipo interessante di cane .</t>
  </si>
  <si>
    <t>I like pets , an interesting type of dog .</t>
  </si>
  <si>
    <t>J' aime les animaux de compagnie , un type intéressant de chien .</t>
  </si>
  <si>
    <t>Amo i cani , un tipo interessante di orso .</t>
  </si>
  <si>
    <t>I like dogs , an interesting type of bear .</t>
  </si>
  <si>
    <t>J' aime les chiens , un type intéressant d' ours .</t>
  </si>
  <si>
    <t>Amo gli orsi , un tipo interessante di cane .</t>
  </si>
  <si>
    <t>I like bears , an interesting type of dog .</t>
  </si>
  <si>
    <t>J' aime les ours , un type intéressant de chien .</t>
  </si>
  <si>
    <t>Amo i cani , un tipo interessante di meduse .</t>
  </si>
  <si>
    <t>I like dogs , an interesting type of jellyfish .</t>
  </si>
  <si>
    <t>J' aime les chiens , un type intéressant de méduses .</t>
  </si>
  <si>
    <t>Amo le meduse , un tipo interessante di cane .</t>
  </si>
  <si>
    <t>I like jellyfish , an interesting type of dog .</t>
  </si>
  <si>
    <t>J' aime les méduses , un type intéressant de chien .</t>
  </si>
  <si>
    <t>Amo i cani , un tipo interessante di balena .</t>
  </si>
  <si>
    <t>I like dogs , an interesting type of whale .</t>
  </si>
  <si>
    <t>J' aime les chiens , un type intéressant de baleine .</t>
  </si>
  <si>
    <t>Amo le balene , un tipo interessante di cane .</t>
  </si>
  <si>
    <t>I like whales , an interesting type of dog .</t>
  </si>
  <si>
    <t>J' aime les baleines , un type intéressant de chien .</t>
  </si>
  <si>
    <t>Amo i conigli , un tipo interessante di giraffa .</t>
  </si>
  <si>
    <t>I like rabbits , an interesting type of giraffe .</t>
  </si>
  <si>
    <t>J' aime les lapins , un type intéressant de giraffe .</t>
  </si>
  <si>
    <t>Amo le giraffe , un tipo interessante di coniglio .</t>
  </si>
  <si>
    <t>I like giraffes , an interesting type of rabbit .</t>
  </si>
  <si>
    <t>J' aime les giraffes , un type intéressant de lapin .</t>
  </si>
  <si>
    <t>Amo i conigli , un tipo interessante di animale domestico .</t>
  </si>
  <si>
    <t>I like rabbits , an interesting type of pet .</t>
  </si>
  <si>
    <t>J' aime les lapins , un type intéressant d' animal de compagnie .</t>
  </si>
  <si>
    <t>Amo gli animali domestici , un tipo interessante di coniglio .</t>
  </si>
  <si>
    <t>I like pets , an interesting type of rabbit .</t>
  </si>
  <si>
    <t>J' aime les animaux de compagnie , un type intéressant de lapin .</t>
  </si>
  <si>
    <t>Amo i conigli , un tipo interessante di orso .</t>
  </si>
  <si>
    <t>I like rabbits , an interesting type of bear .</t>
  </si>
  <si>
    <t>J' aime les lapins , un type intéressant d' ours .</t>
  </si>
  <si>
    <t>Amo gli orsi , un tipo interessante di coniglio .</t>
  </si>
  <si>
    <t>I like bears , an interesting type of rabbit .</t>
  </si>
  <si>
    <t>J' aime les ours , un type intéressant de lapin .</t>
  </si>
  <si>
    <t>Amo i conigli , un tipo interessante di meduse .</t>
  </si>
  <si>
    <t>I like rabbits , an interesting type of jellyfish .</t>
  </si>
  <si>
    <t>J' aime les lapins , un type intéressant de méduses .</t>
  </si>
  <si>
    <t>Amo le meduse , un tipo interessante di coniglio .</t>
  </si>
  <si>
    <t>I like jellyfish , an interesting type of rabbit .</t>
  </si>
  <si>
    <t>J' aime les méduses , un type intéressant de lapin .</t>
  </si>
  <si>
    <t>Amo i conigli , un tipo interessante di balena .</t>
  </si>
  <si>
    <t>I like rabbits , an interesting type of whale .</t>
  </si>
  <si>
    <t>J' aime les lapins , un type intéressant de baleine .</t>
  </si>
  <si>
    <t>Amo le balene , un tipo interessante di coniglio .</t>
  </si>
  <si>
    <t>I like whales , an interesting type of rabbit .</t>
  </si>
  <si>
    <t>J' aime les baleines , un type intéressant de lapin .</t>
  </si>
  <si>
    <t>Amo i criceti , un tipo interessante di giraffa .</t>
  </si>
  <si>
    <t>I like hamsters , an interesting type of giraffe .</t>
  </si>
  <si>
    <t>J' aime les hamsters , un type intéressant de giraffe .</t>
  </si>
  <si>
    <t>Amo le giraffe , un tipo interessante di criceto .</t>
  </si>
  <si>
    <t>I like giraffes , an interesting type of hamster .</t>
  </si>
  <si>
    <t>J' aime les giraffes , un type intéressant de hamster .</t>
  </si>
  <si>
    <t>Amo i criceti , un tipo interessante di animale domestico .</t>
  </si>
  <si>
    <t>I like hamsters , an interesting type of pet .</t>
  </si>
  <si>
    <t>J' aime les hamsters , un type intéressant d' animal de compagnie .</t>
  </si>
  <si>
    <t>Amo gli animali domestici , un tipo interessante di criceto .</t>
  </si>
  <si>
    <t>I like pets , an interesting type of hamster .</t>
  </si>
  <si>
    <t>J' aime les animaux de compagnie , un type intéressant de hamster .</t>
  </si>
  <si>
    <t>Amo i criceti , un tipo interessante di orso .</t>
  </si>
  <si>
    <t>I like hamsters , an interesting type of bear .</t>
  </si>
  <si>
    <t>J' aime les hamsters , un type intéressant d' ours .</t>
  </si>
  <si>
    <t>Amo gli orsi , un tipo interessante di criceto .</t>
  </si>
  <si>
    <t>I like bears , an interesting type of hamster .</t>
  </si>
  <si>
    <t>J' aime les ours , un type intéressant de hamster .</t>
  </si>
  <si>
    <t>Amo i criceti , un tipo interessante di meduse .</t>
  </si>
  <si>
    <t>I like hamsters , an interesting type of jellyfish .</t>
  </si>
  <si>
    <t>J' aime les hamsters , un type intéressant de méduses .</t>
  </si>
  <si>
    <t>Amo le meduse , un tipo interessante di criceto .</t>
  </si>
  <si>
    <t>I like jellyfish , an interesting type of hamster .</t>
  </si>
  <si>
    <t>J' aime les méduses , un type intéressant de hamster .</t>
  </si>
  <si>
    <t>Amo i criceti , un tipo interessante di balena .</t>
  </si>
  <si>
    <t>I like hamsters , an interesting type of whale .</t>
  </si>
  <si>
    <t>J' aime les hamsters , un type intéressant de baleine .</t>
  </si>
  <si>
    <t>Amo le balene , un tipo interessante di criceto .</t>
  </si>
  <si>
    <t>I like whales , an interesting type of hamster .</t>
  </si>
  <si>
    <t>J' aime les baleines , un type intéressant de hamster .</t>
  </si>
  <si>
    <t>Amo i merli , eccetto i gatti .</t>
  </si>
  <si>
    <t>I like blackbirds , except cats .</t>
  </si>
  <si>
    <t>J' aime les merles , sauf les chats .</t>
  </si>
  <si>
    <t>Amo i gatti , eccetto i merli .</t>
  </si>
  <si>
    <t>I like cats , except blackbirds .</t>
  </si>
  <si>
    <t>J' aime les chats , sauf les merles .</t>
  </si>
  <si>
    <t>Si fida della vista , un tipo interessante di diceria .</t>
  </si>
  <si>
    <t>He trusts his sight , an interesting type of rumor .</t>
  </si>
  <si>
    <t>Il fait confiance à sa vision , un type intéressant de rumeur .</t>
  </si>
  <si>
    <t>Si fida delle dicerie , un tipo interessante della vista .</t>
  </si>
  <si>
    <t>He trusts rumors , an interesting type of sight .</t>
  </si>
  <si>
    <t>Il fait confiance aux rumeurs , un type intéressant de sa vision .</t>
  </si>
  <si>
    <t>Si fida della vista , un tipo interessante di senso .</t>
  </si>
  <si>
    <t>He trusts his sight , an interesting type of sense .</t>
  </si>
  <si>
    <t>Il fait confiance à sa vision , un type intéressant de son sens .</t>
  </si>
  <si>
    <t>Si fida dei sensi , un tipo interessante della vista .</t>
  </si>
  <si>
    <t>He trusts his senses , an interesting type of sight .</t>
  </si>
  <si>
    <t>Il fait confiance à ses sens , un type intéressant de sa vision .</t>
  </si>
  <si>
    <t>Si fida dei sensi , un tipo interessante di diceria .</t>
  </si>
  <si>
    <t>He trusts his senses , an interesting type of rumor .</t>
  </si>
  <si>
    <t>Il fait confiance à ses sens , un type intéressant de rumeur .</t>
  </si>
  <si>
    <t>Si fida della vista , un tipo interessante di notiziario .</t>
  </si>
  <si>
    <t>He trusts his sight , an interesting type of report .</t>
  </si>
  <si>
    <t>Il fait confiance à sa vision , un type intéressant de rapport .</t>
  </si>
  <si>
    <t>Si fida dei notiziari , un tipo interessante della vista .</t>
  </si>
  <si>
    <t>He trusts reports , an interesting type of sight .</t>
  </si>
  <si>
    <t>Il fait confiance aux rapports , un type intéressant de sa vision .</t>
  </si>
  <si>
    <t>Si fida dei sensi , un tipo interessante di notiziario .</t>
  </si>
  <si>
    <t>He trusts his senses , an interesting type of report .</t>
  </si>
  <si>
    <t>Il fait confiance à ses sens , un type intéressant de rapport .</t>
  </si>
  <si>
    <t>Si fida della vista , un tipo interessante di ricostruzione .</t>
  </si>
  <si>
    <t>He trusts his sight , an interesting type of reconstruction .</t>
  </si>
  <si>
    <t>Il fait confiance à sa vision , un type intéressant de reconstruction .</t>
  </si>
  <si>
    <t>Si fida delle ricostruzioni , un tipo interessante della vista .</t>
  </si>
  <si>
    <t>He trusts reconstructions , an interesting type of sight .</t>
  </si>
  <si>
    <t>Il fait confiance aux reconstructions , un type intéressant de sa vision .</t>
  </si>
  <si>
    <t>Si fida dei sensi , un tipo interessante di ricostruzione .</t>
  </si>
  <si>
    <t>He trusts his senses , an interesting type of reconstruction .</t>
  </si>
  <si>
    <t>Il fait confiance à ses sens , un type intéressant de reconstruction .</t>
  </si>
  <si>
    <t>Si fida della vista , un tipo interessante di congettura .</t>
  </si>
  <si>
    <t>He trusts his sight , an interesting type of guess .</t>
  </si>
  <si>
    <t>Il fait confiance à sa vision , un type intéressant de supposition .</t>
  </si>
  <si>
    <t>Si fida delle congetture , un tipo interessante della vista .</t>
  </si>
  <si>
    <t>He trusts guesses , an interesting type of sight .</t>
  </si>
  <si>
    <t>Il fait confiance aux suppositions , un type intéressant de sa vision .</t>
  </si>
  <si>
    <t>Si fida dei sensi , un tipo interessante di congettura .</t>
  </si>
  <si>
    <t>He trusts his senses , an interesting type of guess .</t>
  </si>
  <si>
    <t>Il fait confiance à ses sens , un type intéressant de supposition .</t>
  </si>
  <si>
    <t>Si fida dell' udito , un tipo interessante di diceria .</t>
  </si>
  <si>
    <t>He trusts his hearing , an interesting type of rumor .</t>
  </si>
  <si>
    <t>Il fait confiance à son odorat , un type intéressant de rumeur .</t>
  </si>
  <si>
    <t>Si fida delle dicerie , un tipo interessante dell' udito .</t>
  </si>
  <si>
    <t>He trusts rumors , an interesting type of hearing .</t>
  </si>
  <si>
    <t>Il fait confiance aux rumeurs , un type intéressant de son odorat .</t>
  </si>
  <si>
    <t>Si fida dell' udito , un tipo interessante di senso .</t>
  </si>
  <si>
    <t>He trusts his hearing , an interesting type of sense .</t>
  </si>
  <si>
    <t>Il fait confiance à son odorat , un type intéressant de son sens .</t>
  </si>
  <si>
    <t>Si fida dei sensi , un tipo interessante dell' udito .</t>
  </si>
  <si>
    <t>He trusts his senses , an interesting type of hearing .</t>
  </si>
  <si>
    <t>Il fait confiance à ses sens , un type intéressant de son odorat .</t>
  </si>
  <si>
    <t>Si fida dell' udito , un tipo interessante di notiziario .</t>
  </si>
  <si>
    <t>He trusts his hearing , an interesting type of report .</t>
  </si>
  <si>
    <t>Il fait confiance à son odorat , un type intéressant de rapport .</t>
  </si>
  <si>
    <t>Si fida dei notiziari , un tipo interessante dell' udito .</t>
  </si>
  <si>
    <t>He trusts reports , an interesting type of hearing .</t>
  </si>
  <si>
    <t>Il fait confiance aux rapports , un type intéressant de son odorat .</t>
  </si>
  <si>
    <t>Si fida dell' udito , un tipo interessante di ricostruzione .</t>
  </si>
  <si>
    <t>He trusts his hearing , an interesting type of reconstruction .</t>
  </si>
  <si>
    <t>Il fait confiance à son odorat , un type intéressant de reconstruction .</t>
  </si>
  <si>
    <t>Si fida delle ricostruzioni , un tipo interessante dell' udito .</t>
  </si>
  <si>
    <t>He trusts reconstructions , an interesting type of hearing .</t>
  </si>
  <si>
    <t>Il fait confiance aux reconstructions , un type intéressant de son odorat .</t>
  </si>
  <si>
    <t>Si fida dell' udito , un tipo interessante di congettura .</t>
  </si>
  <si>
    <t>He trusts his hearing , an interesting type of guess .</t>
  </si>
  <si>
    <t>Il fait confiance à son odorat , un type intéressant de supposition .</t>
  </si>
  <si>
    <t>Si fida delle congetture , un tipo interessante dell' udito .</t>
  </si>
  <si>
    <t>He trusts guesses , an interesting type of hearing .</t>
  </si>
  <si>
    <t>Il fait confiance aux suppositions , un type intéressant de son odorat .</t>
  </si>
  <si>
    <t>Amo i merli , eccetto gli uccelli .</t>
  </si>
  <si>
    <t>I like blackbirds , except birds .</t>
  </si>
  <si>
    <t>J' aime les merles , sauf les oiseaux .</t>
  </si>
  <si>
    <t>Si fida del tatto , un tipo interessante di diceria .</t>
  </si>
  <si>
    <t>He trusts his touch , an interesting type of rumor .</t>
  </si>
  <si>
    <t>Il fait confiance à son sens du toucher , un type intéressant de rumeur .</t>
  </si>
  <si>
    <t>Si fida delle dicerie , un tipo interessante del tatto .</t>
  </si>
  <si>
    <t>He trusts rumors , an interesting type of touch .</t>
  </si>
  <si>
    <t>Il fait confiance aux rumeurs , un type intéressant de son sens du toucher .</t>
  </si>
  <si>
    <t>Si fida del tatto , un tipo interessante di senso .</t>
  </si>
  <si>
    <t>He trusts his touch , an interesting type of sense .</t>
  </si>
  <si>
    <t>Il fait confiance à son sens du toucher , un type intéressant de son sens .</t>
  </si>
  <si>
    <t>Si fida dei sensi , un tipo interessante del tatto .</t>
  </si>
  <si>
    <t>He trusts his senses , an interesting type of touch .</t>
  </si>
  <si>
    <t>Il fait confiance à ses sens , un type intéressant de son sens du toucher .</t>
  </si>
  <si>
    <t>Si fida del tatto , un tipo interessante di notiziario .</t>
  </si>
  <si>
    <t>He trusts his touch , an interesting type of report .</t>
  </si>
  <si>
    <t>Il fait confiance à son sens du toucher , un type intéressant de rapport .</t>
  </si>
  <si>
    <t>Si fida dei notiziari , un tipo interessante del tatto .</t>
  </si>
  <si>
    <t>He trusts reports , an interesting type of touch .</t>
  </si>
  <si>
    <t>Il fait confiance aux rapports , un type intéressant de son sens du toucher .</t>
  </si>
  <si>
    <t>Si fida del tatto , un tipo interessante di ricostruzione .</t>
  </si>
  <si>
    <t>He trusts his touch , an interesting type of reconstruction .</t>
  </si>
  <si>
    <t>Il fait confiance à son sens du toucher , un type intéressant de reconstruction .</t>
  </si>
  <si>
    <t>Si fida delle ricostruzioni , un tipo interessante del tatto .</t>
  </si>
  <si>
    <t>He trusts reconstructions , an interesting type of touch .</t>
  </si>
  <si>
    <t>Il fait confiance aux reconstructions , un type intéressant de son sens du toucher .</t>
  </si>
  <si>
    <t>Si fida del tatto , un tipo interessante di congettura .</t>
  </si>
  <si>
    <t>He trusts his touch , an interesting type of guess .</t>
  </si>
  <si>
    <t>Il fait confiance à son sens du toucher , un type intéressant de supposition .</t>
  </si>
  <si>
    <t>Si fida delle congetture , un tipo interessante del tatto .</t>
  </si>
  <si>
    <t>He trusts guesses , an interesting type of touch .</t>
  </si>
  <si>
    <t>Il fait confiance aux suppositions , un type intéressant de son sens du toucher .</t>
  </si>
  <si>
    <t>Si fida del gusto , un tipo interessante di diceria .</t>
  </si>
  <si>
    <t>He trusts his taste , an interesting type of rumor .</t>
  </si>
  <si>
    <t>Il fait confiance à son sens du goût , un type intéressant de rumeur .</t>
  </si>
  <si>
    <t>Si fida delle dicerie , un tipo interessante del gusto .</t>
  </si>
  <si>
    <t>He trusts rumors , an interesting type of taste .</t>
  </si>
  <si>
    <t>Il fait confiance aux rumeurs , un type intéressant de son sens du goût .</t>
  </si>
  <si>
    <t>Si fida del gusto , un tipo interessante di senso .</t>
  </si>
  <si>
    <t>He trusts his taste , an interesting type of sense .</t>
  </si>
  <si>
    <t>Il fait confiance à son sens du goût , un type intéressant de son sens .</t>
  </si>
  <si>
    <t>Si fida dei sensi , un tipo interessante del gusto .</t>
  </si>
  <si>
    <t>He trusts his senses , an interesting type of taste .</t>
  </si>
  <si>
    <t>Il fait confiance à ses sens , un type intéressant de son sens du goût .</t>
  </si>
  <si>
    <t>Si fida del gusto , un tipo interessante di notiziario .</t>
  </si>
  <si>
    <t>He trusts his taste , an interesting type of report .</t>
  </si>
  <si>
    <t>Il fait confiance à son sens du goût , un type intéressant de rapport .</t>
  </si>
  <si>
    <t>Si fida dei notiziari , un tipo interessante del gusto .</t>
  </si>
  <si>
    <t>He trusts reports , an interesting type of taste .</t>
  </si>
  <si>
    <t>Il fait confiance aux rapports , un type intéressant de son sens du goût .</t>
  </si>
  <si>
    <t>Si fida del gusto , un tipo interessante di ricostruzione .</t>
  </si>
  <si>
    <t>He trusts his taste , an interesting type of reconstruction .</t>
  </si>
  <si>
    <t>Il fait confiance à son sens du goût , un type intéressant de reconstruction .</t>
  </si>
  <si>
    <t>Si fida delle ricostruzioni , un tipo interessante del gusto .</t>
  </si>
  <si>
    <t>He trusts reconstructions , an interesting type of taste .</t>
  </si>
  <si>
    <t>Il fait confiance aux reconstructions , un type intéressant de son sens du goût .</t>
  </si>
  <si>
    <t>Si fida del gusto , un tipo interessante di congettura .</t>
  </si>
  <si>
    <t>He trusts his taste , an interesting type of guess .</t>
  </si>
  <si>
    <t>Il fait confiance à son sens du goût , un type intéressant de supposition .</t>
  </si>
  <si>
    <t>Si fida delle congetture , un tipo interessante del gusto .</t>
  </si>
  <si>
    <t>He trusts guesses , an interesting type of taste .</t>
  </si>
  <si>
    <t>Il fait confiance aux suppositions , un type intéressant de son sens du goût .</t>
  </si>
  <si>
    <t>Posso capire la gioia , un tipo interessante di saggezza .</t>
  </si>
  <si>
    <t>He likes joy , an interesting type of wisdom .</t>
  </si>
  <si>
    <t>Je peux comprendre la joie , un type intéressant de sagesse .</t>
  </si>
  <si>
    <t>Posso capire la saggezza , un tipo interessante di gioia .</t>
  </si>
  <si>
    <t>He likes wisdom , an interesting type of joy .</t>
  </si>
  <si>
    <t>Je peux comprendre la sagesse , un type intéressant de joie .</t>
  </si>
  <si>
    <t>Posso capire la gioia , un tipo interessante di emozione .</t>
  </si>
  <si>
    <t>He likes joy , an interesting type of emotion .</t>
  </si>
  <si>
    <t>Je peux comprendre la joie , un type intéressant d' émotion .</t>
  </si>
  <si>
    <t>Posso capire le emozioni , un tipo interessante di gioia .</t>
  </si>
  <si>
    <t>He likes emotions , an interesting type of joy .</t>
  </si>
  <si>
    <t>Je peux comprendre les émotions , un type intéressant de joie .</t>
  </si>
  <si>
    <t>Posso capire le emozioni , un tipo interessante di saggezza .</t>
  </si>
  <si>
    <t>He likes emotions , an interesting type of wisdom .</t>
  </si>
  <si>
    <t>Je peux comprendre les émotions , un type intéressant de sagesse .</t>
  </si>
  <si>
    <t>Posso capire la gioia , un tipo interessante di stupidità .</t>
  </si>
  <si>
    <t>He likes joy , an interesting type of stupidity .</t>
  </si>
  <si>
    <t>Je peux comprendre la joie , un type intéressant de stupidité .</t>
  </si>
  <si>
    <t>Posso capire la stupidità , un tipo interessante di gioia .</t>
  </si>
  <si>
    <t>He likes stupidity , an interesting type of joy .</t>
  </si>
  <si>
    <t>Je peux comprendre la stupidité , un type intéressant de joie .</t>
  </si>
  <si>
    <t>Posso capire le emozioni , un tipo interessante di stupidità .</t>
  </si>
  <si>
    <t>He likes emotions , an interesting type of stupidity .</t>
  </si>
  <si>
    <t>Je peux comprendre les émotions , un type intéressant de stupidité .</t>
  </si>
  <si>
    <t>Posso capire la gioia , un tipo interessante di logica .</t>
  </si>
  <si>
    <t>He likes joy , an interesting type of logic .</t>
  </si>
  <si>
    <t>Je peux comprendre la joie , un type intéressant de logique .</t>
  </si>
  <si>
    <t>Posso capire la logica , un tipo interessante di gioia .</t>
  </si>
  <si>
    <t>He likes logic , an interesting type of joy .</t>
  </si>
  <si>
    <t>Je peux comprendre la logique , un type intéressant de joie .</t>
  </si>
  <si>
    <t>Posso capire le emozioni , un tipo interessante di logica .</t>
  </si>
  <si>
    <t>He likes emotions , an interesting type of logic .</t>
  </si>
  <si>
    <t>Je peux comprendre les émotions , un type intéressant de logique .</t>
  </si>
  <si>
    <t>Posso capire la gioia , un tipo interessante di calcolo .</t>
  </si>
  <si>
    <t>He likes joy , an interesting type of calculation .</t>
  </si>
  <si>
    <t>Je peux comprendre la joie , un type intéressant de calcul .</t>
  </si>
  <si>
    <t>Posso capire i calcoli , un tipo interessante di gioia .</t>
  </si>
  <si>
    <t>He likes calculations , an interesting type of joy .</t>
  </si>
  <si>
    <t>Je peux comprendre les calculs , un type intéressant de joie .</t>
  </si>
  <si>
    <t>Amo gli uccelli , eccetto i merli .</t>
  </si>
  <si>
    <t>I like birds , except blackbirds .</t>
  </si>
  <si>
    <t>J' aime les oiseaux , sauf les merles .</t>
  </si>
  <si>
    <t>Posso capire le emozioni , un tipo interessante di calcolo .</t>
  </si>
  <si>
    <t>He likes emotions , an interesting type of calculation .</t>
  </si>
  <si>
    <t>Je peux comprendre les émotions , un type intéressant de calcul .</t>
  </si>
  <si>
    <t>Posso capire la paura , un tipo interessante di saggezza .</t>
  </si>
  <si>
    <t>He likes fear , an interesting type of wisdom .</t>
  </si>
  <si>
    <t>Je peux comprendre la peur , un type intéressant de sagesse .</t>
  </si>
  <si>
    <t>Posso capire la saggezza , un tipo interessante di paura .</t>
  </si>
  <si>
    <t>He likes wisdom , an interesting type of fear .</t>
  </si>
  <si>
    <t>Je peux comprendre la sagesse , un type intéressant de peur .</t>
  </si>
  <si>
    <t>Posso capire la paura , un tipo interessante di emozione .</t>
  </si>
  <si>
    <t>He likes fear , an interesting type of emotion .</t>
  </si>
  <si>
    <t>Je peux comprendre la peur , un type intéressant d' émotion .</t>
  </si>
  <si>
    <t>Posso capire le emozioni , un tipo interessante di paura .</t>
  </si>
  <si>
    <t>He likes emotions , an interesting type of fear .</t>
  </si>
  <si>
    <t>Je peux comprendre les émotions , un type intéressant de peur .</t>
  </si>
  <si>
    <t>Posso capire la paura , un tipo interessante di stupidità .</t>
  </si>
  <si>
    <t>He likes fear , an interesting type of stupidity .</t>
  </si>
  <si>
    <t>Je peux comprendre la peur , un type intéressant de stupidité .</t>
  </si>
  <si>
    <t>Posso capire la stupidità , un tipo interessante di paura .</t>
  </si>
  <si>
    <t>He likes stupidity , an interesting type of fear .</t>
  </si>
  <si>
    <t>Je peux comprendre la stupidité , un type intéressant de peur .</t>
  </si>
  <si>
    <t>Posso capire la paura , un tipo interessante di logica .</t>
  </si>
  <si>
    <t>He likes fear , an interesting type of logic .</t>
  </si>
  <si>
    <t>Je peux comprendre la peur , un type intéressant de logique .</t>
  </si>
  <si>
    <t>Posso capire la logica , un tipo interessante di paura .</t>
  </si>
  <si>
    <t>He likes logic , an interesting type of fear .</t>
  </si>
  <si>
    <t>Je peux comprendre la logique , un type intéressant de peur .</t>
  </si>
  <si>
    <t>Posso capire la paura , un tipo interessante di calcolo .</t>
  </si>
  <si>
    <t>He likes fear , an interesting type of calculation .</t>
  </si>
  <si>
    <t>Je peux comprendre la peur , un type intéressant de calcul .</t>
  </si>
  <si>
    <t>Posso capire i calcoli , un tipo interessante di paura .</t>
  </si>
  <si>
    <t>He likes calculations , an interesting type of fear .</t>
  </si>
  <si>
    <t>Je peux comprendre les calculs , un type intéressant de peur .</t>
  </si>
  <si>
    <t>Posso capire l' amore , un tipo interessante di saggezza .</t>
  </si>
  <si>
    <t>He likes love , an interesting type of wisdom .</t>
  </si>
  <si>
    <t>Je peux comprendre l' amour , un type intéressant de sagesse .</t>
  </si>
  <si>
    <t>Posso capire la saggezza , un tipo interessante di amore .</t>
  </si>
  <si>
    <t>He likes wisdom , an interesting type of love .</t>
  </si>
  <si>
    <t>Je peux comprendre la sagesse , un type intéressant de l' amour .</t>
  </si>
  <si>
    <t>Posso capire l' amore , un tipo interessante di emozione .</t>
  </si>
  <si>
    <t>He likes love , an interesting type of emotion .</t>
  </si>
  <si>
    <t>Je peux comprendre l' amour , un type intéressant d' émotion .</t>
  </si>
  <si>
    <t>Posso capire le emozioni , un tipo interessante di amore .</t>
  </si>
  <si>
    <t>He likes emotions , an interesting type of love .</t>
  </si>
  <si>
    <t>Je peux comprendre les émotions , un type intéressant de l' amour .</t>
  </si>
  <si>
    <t>Posso capire l' amore , un tipo interessante di stupidità .</t>
  </si>
  <si>
    <t>He likes love , an interesting type of stupidity .</t>
  </si>
  <si>
    <t>Je peux comprendre l' amour , un type intéressant de stupidité .</t>
  </si>
  <si>
    <t>Posso capire la stupidità , un tipo interessante di amore .</t>
  </si>
  <si>
    <t>He likes stupidity , an interesting type of love .</t>
  </si>
  <si>
    <t>Je peux comprendre la stupidité , un type intéressant de l' amour .</t>
  </si>
  <si>
    <t>Posso capire l' amore , un tipo interessante di logica .</t>
  </si>
  <si>
    <t>He likes love , an interesting type of logic .</t>
  </si>
  <si>
    <t>Je peux comprendre l' amour , un type intéressant de logique .</t>
  </si>
  <si>
    <t>Posso capire la logica , un tipo interessante di amore .</t>
  </si>
  <si>
    <t>He likes logic , an interesting type of love .</t>
  </si>
  <si>
    <t>Je peux comprendre la logique , un type intéressant de l' amour .</t>
  </si>
  <si>
    <t>Posso capire l' amore , un tipo interessante di calcolo .</t>
  </si>
  <si>
    <t>He likes love , an interesting type of calculation .</t>
  </si>
  <si>
    <t>Je peux comprendre l' amour , un type intéressant de calcul .</t>
  </si>
  <si>
    <t>Posso capire i calcoli , un tipo interessante di amore .</t>
  </si>
  <si>
    <t>He likes calculations , an interesting type of love .</t>
  </si>
  <si>
    <t>Je peux comprendre les calculs , un type intéressant de l' amour .</t>
  </si>
  <si>
    <t>Posso capire la tristezza , un tipo interessante di saggezza .</t>
  </si>
  <si>
    <t>He likes sadness , an interesting type of wisdom .</t>
  </si>
  <si>
    <t>Je peux comprendre la tristesse , un type intéressant de sagesse .</t>
  </si>
  <si>
    <t>Posso capire la saggezza , un tipo interessante di tristezza .</t>
  </si>
  <si>
    <t>He likes wisdom , an interesting type of sadness .</t>
  </si>
  <si>
    <t>Je peux comprendre la sagesse , un type intéressant de tristesse .</t>
  </si>
  <si>
    <t>Posso capire la tristezza , un tipo interessante di emozione .</t>
  </si>
  <si>
    <t>He likes sadness , an interesting type of emotion .</t>
  </si>
  <si>
    <t>Je peux comprendre la tristesse , un type intéressant d' émotion .</t>
  </si>
  <si>
    <t>Posso capire le emozioni , un tipo interessante di tristezza .</t>
  </si>
  <si>
    <t>He likes emotions , an interesting type of sadness .</t>
  </si>
  <si>
    <t>Je peux comprendre les émotions , un type intéressant de tristesse .</t>
  </si>
  <si>
    <t>Posso capire la tristezza , un tipo interessante di stupidità .</t>
  </si>
  <si>
    <t>He likes sadness , an interesting type of stupidity .</t>
  </si>
  <si>
    <t>Je peux comprendre la tristesse , un type intéressant de stupidité .</t>
  </si>
  <si>
    <t>Posso capire la stupidità , un tipo interessante di tristezza .</t>
  </si>
  <si>
    <t>He likes stupidity , an interesting type of sadness .</t>
  </si>
  <si>
    <t>Je peux comprendre la stupidité , un type intéressant de tristesse .</t>
  </si>
  <si>
    <t>Posso capire la tristezza , un tipo interessante di logica .</t>
  </si>
  <si>
    <t>He likes sadness , an interesting type of logic .</t>
  </si>
  <si>
    <t>Je peux comprendre la tristesse , un type intéressant de logique .</t>
  </si>
  <si>
    <t>Posso capire la logica , un tipo interessante di tristezza .</t>
  </si>
  <si>
    <t>He likes logic , an interesting type of sadness .</t>
  </si>
  <si>
    <t>Je peux comprendre la logique , un type intéressant de tristesse .</t>
  </si>
  <si>
    <t>Posso capire la tristezza , un tipo interessante di calcolo .</t>
  </si>
  <si>
    <t>He likes sadness , an interesting type of calculation .</t>
  </si>
  <si>
    <t>Je peux comprendre la tristesse , un type intéressant de calcul .</t>
  </si>
  <si>
    <t>Posso capire i calcoli , un tipo interessante di tristezza .</t>
  </si>
  <si>
    <t>He likes calculations , an interesting type of sadness .</t>
  </si>
  <si>
    <t>Je peux comprendre les calculs , un type intéressant de tristesse .</t>
  </si>
  <si>
    <t>Amo i sussidiari , un tipo interessante di musica .</t>
  </si>
  <si>
    <t>I like textbooks , an interesting type of music .</t>
  </si>
  <si>
    <t>J' aime les manuels scolaires , un type intéressant de musique .</t>
  </si>
  <si>
    <t>Amo la musica , un tipo interessante di libro di testo .</t>
  </si>
  <si>
    <t>I like music , an interesting type of textbook .</t>
  </si>
  <si>
    <t>J' aime la musique , un type intéressant de manuel scolaire .</t>
  </si>
  <si>
    <t>Amo i sussidiari , un tipo interessante di libro .</t>
  </si>
  <si>
    <t>I like textbooks , an interesting type of book .</t>
  </si>
  <si>
    <t>J' aime les manuels scolaires , un type intéressant de livre .</t>
  </si>
  <si>
    <t>Amo i libri , un tipo interessante di libro di testo .</t>
  </si>
  <si>
    <t>I like books , an interesting type of textbook .</t>
  </si>
  <si>
    <t>J' aime les livres , un type intéressant de manuel scolaire .</t>
  </si>
  <si>
    <t>Amo i libri , un tipo interessante di musica .</t>
  </si>
  <si>
    <t>I like books , an interesting type of music .</t>
  </si>
  <si>
    <t>J' aime les livres , un type intéressant de musique .</t>
  </si>
  <si>
    <t>Amo i sussidiari , un tipo interessante di cinema .</t>
  </si>
  <si>
    <t>I like textbooks , an interesting type of film .</t>
  </si>
  <si>
    <t>J' aime les manuels scolaires , un type intéressant de cinéma .</t>
  </si>
  <si>
    <t>Amo il cinema , un tipo interessante di libro di testo .</t>
  </si>
  <si>
    <t>I like films , an interesting type of textbook .</t>
  </si>
  <si>
    <t>J' aime le cinéma , un type intéressant de manuel scolaire .</t>
  </si>
  <si>
    <t>Amo i libri , un tipo interessante di cinema .</t>
  </si>
  <si>
    <t>I like books , an interesting type of film .</t>
  </si>
  <si>
    <t>J' aime les livres , un type intéressant de cinéma .</t>
  </si>
  <si>
    <t>Amo i sussidiari , un tipo interessante di cartone animato .</t>
  </si>
  <si>
    <t>I like textbooks , an interesting type of cartoon .</t>
  </si>
  <si>
    <t>J' aime les manuels scolaires , un type intéressant de dessin animé .</t>
  </si>
  <si>
    <t>Amo i cartoni animati , un tipo interessante di libro di testo .</t>
  </si>
  <si>
    <t>I like cartoons , an interesting type of textbook .</t>
  </si>
  <si>
    <t>J' aime les dessins animés , un type intéressant de manuel scolaire .</t>
  </si>
  <si>
    <t>Amo i libri , un tipo interessante di cartone animato .</t>
  </si>
  <si>
    <t>I like books , an interesting type of cartoon .</t>
  </si>
  <si>
    <t>J' aime les livres , un type intéressant de dessin animé .</t>
  </si>
  <si>
    <t>Amo i sussidiari , un tipo interessante di dipinto .</t>
  </si>
  <si>
    <t>I like textbooks , an interesting type of painting .</t>
  </si>
  <si>
    <t>J' aime les manuels scolaires , un type intéressant de peinture .</t>
  </si>
  <si>
    <t>Amo i dipinti , un tipo interessante di libro di testo .</t>
  </si>
  <si>
    <t>I like paintings , an interesting type of textbook .</t>
  </si>
  <si>
    <t>J' aime les peintures , un type intéressant de manuel scolaire .</t>
  </si>
  <si>
    <t>Amo i libri , un tipo interessante di dipinto .</t>
  </si>
  <si>
    <t>I like books , an interesting type of painting .</t>
  </si>
  <si>
    <t>J' aime les livres , un type intéressant de peinture .</t>
  </si>
  <si>
    <t>Amo i saggi , un tipo interessante di musica .</t>
  </si>
  <si>
    <t>I like essays , an interesting type of music .</t>
  </si>
  <si>
    <t>J' aime les essais , un type intéressant de musique .</t>
  </si>
  <si>
    <t>Amo la musica , un tipo interessante di saggio .</t>
  </si>
  <si>
    <t>I like music , an interesting type of essay .</t>
  </si>
  <si>
    <t>J' aime la musique , un type intéressant d' essai .</t>
  </si>
  <si>
    <t>Amo i saggi , un tipo interessante di libro .</t>
  </si>
  <si>
    <t>I like essays , an interesting type of book .</t>
  </si>
  <si>
    <t>J' aime les essais , un type intéressant de livre .</t>
  </si>
  <si>
    <t>Amo i libri , un tipo interessante di saggio .</t>
  </si>
  <si>
    <t>I like books , an interesting type of essay .</t>
  </si>
  <si>
    <t>J' aime les livres , un type intéressant d' essai .</t>
  </si>
  <si>
    <t>Amo i saggi , un tipo interessante di cinema .</t>
  </si>
  <si>
    <t>I like essays , an interesting type of film .</t>
  </si>
  <si>
    <t>J' aime les essais , un type intéressant de cinéma .</t>
  </si>
  <si>
    <t>Amo il cinema , un tipo interessante di saggio .</t>
  </si>
  <si>
    <t>I like films , an interesting type of essay .</t>
  </si>
  <si>
    <t>J' aime le cinéma , un type intéressant d' essai .</t>
  </si>
  <si>
    <t>Amo i saggi , un tipo interessante di cartone animato .</t>
  </si>
  <si>
    <t>I like essays , an interesting type of cartoon .</t>
  </si>
  <si>
    <t>J' aime les essais , un type intéressant de dessin animé .</t>
  </si>
  <si>
    <t>Amo i cartoni animati , un tipo interessante di saggio .</t>
  </si>
  <si>
    <t>I like cartoons , an interesting type of essay .</t>
  </si>
  <si>
    <t>J' aime les dessins animés , un type intéressant d' essai .</t>
  </si>
  <si>
    <t>Amo i saggi , un tipo interessante di dipinto .</t>
  </si>
  <si>
    <t>I like essays , an interesting type of painting .</t>
  </si>
  <si>
    <t>J' aime les essais , un type intéressant de peinture .</t>
  </si>
  <si>
    <t>Amo i dipinti , un tipo interessante di saggio .</t>
  </si>
  <si>
    <t>I like paintings , an interesting type of essay .</t>
  </si>
  <si>
    <t>J' aime les peintures , un type intéressant d' essai .</t>
  </si>
  <si>
    <t>Amo i merli , eccetto i criceti .</t>
  </si>
  <si>
    <t>I like blackbirds , except hamsters .</t>
  </si>
  <si>
    <t>J' aime les merles , sauf les hamsters .</t>
  </si>
  <si>
    <t>Amo i romanzi , un tipo interessante di musica .</t>
  </si>
  <si>
    <t>I like novels , an interesting type of music .</t>
  </si>
  <si>
    <t>J' aime les romans , un type intéressant de musique .</t>
  </si>
  <si>
    <t>Amo la musica , un tipo interessante di romanzo .</t>
  </si>
  <si>
    <t>I like music , an interesting type of novel .</t>
  </si>
  <si>
    <t>J' aime la musique , un type intéressant de roman .</t>
  </si>
  <si>
    <t>Amo i romanzi , un tipo interessante di libro .</t>
  </si>
  <si>
    <t>I like novels , an interesting type of book .</t>
  </si>
  <si>
    <t>J' aime les romans , un type intéressant de livre .</t>
  </si>
  <si>
    <t>Amo i libri , un tipo interessante di romanzo .</t>
  </si>
  <si>
    <t>I like books , an interesting type of novel .</t>
  </si>
  <si>
    <t>J' aime les livres , un type intéressant de roman .</t>
  </si>
  <si>
    <t>Amo i romanzi , un tipo interessante di cinema .</t>
  </si>
  <si>
    <t>I like novels , an interesting type of film .</t>
  </si>
  <si>
    <t>J' aime les romans , un type intéressant de cinéma .</t>
  </si>
  <si>
    <t>Amo il cinema , un tipo interessante di romanzo .</t>
  </si>
  <si>
    <t>I like films , an interesting type of novel .</t>
  </si>
  <si>
    <t>J' aime le cinéma , un type intéressant de roman .</t>
  </si>
  <si>
    <t>Amo i romanzi , un tipo interessante di cartone animato .</t>
  </si>
  <si>
    <t>I like novels , an interesting type of cartoon .</t>
  </si>
  <si>
    <t>J' aime les romans , un type intéressant de dessin animé .</t>
  </si>
  <si>
    <t>Amo i cartoni animati , un tipo interessante di romanzo .</t>
  </si>
  <si>
    <t>I like cartoons , an interesting type of novel .</t>
  </si>
  <si>
    <t>J' aime les dessins animés , un type intéressant de roman .</t>
  </si>
  <si>
    <t>Amo i romanzi , un tipo interessante di dipinto .</t>
  </si>
  <si>
    <t>I like novels , an interesting type of painting .</t>
  </si>
  <si>
    <t>J' aime les romans , un type intéressant de peinture .</t>
  </si>
  <si>
    <t>Amo i dipinti , un tipo interessante di romanzo .</t>
  </si>
  <si>
    <t>I like paintings , an interesting type of novel .</t>
  </si>
  <si>
    <t>J' aime les peintures , un type intéressant de roman .</t>
  </si>
  <si>
    <t>Amo i manuali , un tipo interessante di musica .</t>
  </si>
  <si>
    <t>I like handbooks , an interesting type of music .</t>
  </si>
  <si>
    <t>J' aime les manuels , un type intéressant de musique .</t>
  </si>
  <si>
    <t>Amo la musica , un tipo interessante di manuale .</t>
  </si>
  <si>
    <t>I like music , an interesting type of handbook .</t>
  </si>
  <si>
    <t>J' aime la musique , un type intéressant de manuel .</t>
  </si>
  <si>
    <t>Amo i manuali , un tipo interessante di libro .</t>
  </si>
  <si>
    <t>I like handbooks , an interesting type of book .</t>
  </si>
  <si>
    <t>J' aime les manuels , un type intéressant de livre .</t>
  </si>
  <si>
    <t>Amo i libri , un tipo interessante di manuale .</t>
  </si>
  <si>
    <t>I like books , an interesting type of handbook .</t>
  </si>
  <si>
    <t>J' aime les livres , un type intéressant de manuel .</t>
  </si>
  <si>
    <t>Amo i manuali , un tipo interessante di cinema .</t>
  </si>
  <si>
    <t>I like handbooks , an interesting type of film .</t>
  </si>
  <si>
    <t>J' aime les manuels , un type intéressant de cinéma .</t>
  </si>
  <si>
    <t>Amo il cinema , un tipo interessante di manuale .</t>
  </si>
  <si>
    <t>I like films , an interesting type of handbook .</t>
  </si>
  <si>
    <t>J' aime le cinéma , un type intéressant de manuel .</t>
  </si>
  <si>
    <t>Amo i manuali , un tipo interessante di cartone animato .</t>
  </si>
  <si>
    <t>I like handbooks , an interesting type of cartoon .</t>
  </si>
  <si>
    <t>J' aime les manuels , un type intéressant de dessin animé .</t>
  </si>
  <si>
    <t>Amo i cartoni animati , un tipo interessante di manuale .</t>
  </si>
  <si>
    <t>I like cartoons , an interesting type of handbook .</t>
  </si>
  <si>
    <t>J' aime les dessins animés , un type intéressant de manuel .</t>
  </si>
  <si>
    <t>Amo i manuali , un tipo interessante di dipinto .</t>
  </si>
  <si>
    <t>I like handbooks , an interesting type of painting .</t>
  </si>
  <si>
    <t>J' aime les manuels , un type intéressant de peinture .</t>
  </si>
  <si>
    <t>Amo i dipinti , un tipo interessante di manuale .</t>
  </si>
  <si>
    <t>I like paintings , an interesting type of handbook .</t>
  </si>
  <si>
    <t>J' aime les peintures , un type intéressant de manuel .</t>
  </si>
  <si>
    <t>Amo i criceti , eccetto i merli .</t>
  </si>
  <si>
    <t>I like hamsters , except blackbirds .</t>
  </si>
  <si>
    <t>J' aime les hamsters , sauf les merles .</t>
  </si>
  <si>
    <t>Amo gli impiegati , un tipo interessante di fabbrica .</t>
  </si>
  <si>
    <t>I like clerks , an interesting type of factory .</t>
  </si>
  <si>
    <t>J' aime les greffiers , un type intéressant d' usine .</t>
  </si>
  <si>
    <t>Amo le fabbriche , un tipo interessante di impiegato .</t>
  </si>
  <si>
    <t>I like factories , an interesting type of clerk .</t>
  </si>
  <si>
    <t>J' aime les usines , un type intéressant de greffier .</t>
  </si>
  <si>
    <t>Amo gli impiegati , un tipo interessante di lavoratore .</t>
  </si>
  <si>
    <t>I like clerks , an interesting type of worker .</t>
  </si>
  <si>
    <t>J' aime les greffiers , un type intéressant de travailleur .</t>
  </si>
  <si>
    <t>Amo i lavoratori , un tipo interessante di impiegato .</t>
  </si>
  <si>
    <t>I like workers , an interesting type of clerk .</t>
  </si>
  <si>
    <t>J' aime les travailleurs , un type intéressant de greffier .</t>
  </si>
  <si>
    <t>Amo i lavoratori , un tipo interessante di fabbrica .</t>
  </si>
  <si>
    <t>I like workers , an interesting type of factory .</t>
  </si>
  <si>
    <t>J' aime les travailleurs , un type intéressant d' usine .</t>
  </si>
  <si>
    <t>Amo gli impiegati , un tipo interessante di ristorante .</t>
  </si>
  <si>
    <t>I like clerks , an interesting type of restaurant .</t>
  </si>
  <si>
    <t>J' aime les greffiers , un type intéressant de restaurant .</t>
  </si>
  <si>
    <t>Amo i ristoranti , un tipo interessante di impiegato .</t>
  </si>
  <si>
    <t>I like restaurants , an interesting type of clerk .</t>
  </si>
  <si>
    <t>J' aime les restaurants , un type intéressant de greffier .</t>
  </si>
  <si>
    <t>Amo i lavoratori , un tipo interessante di ristorante .</t>
  </si>
  <si>
    <t>I like workers , an interesting type of restaurant .</t>
  </si>
  <si>
    <t>J' aime les travailleurs , un type intéressant de restaurant .</t>
  </si>
  <si>
    <t>Amo gli impiegati , un tipo interessante di scuola .</t>
  </si>
  <si>
    <t>I like clerks , an interesting type of school .</t>
  </si>
  <si>
    <t>J' aime les greffiers , un type intéressant d' école .</t>
  </si>
  <si>
    <t>Amo le scuole , un tipo interessante di impiegato .</t>
  </si>
  <si>
    <t>I like schools , an interesting type of clerk .</t>
  </si>
  <si>
    <t>J' aime les écoles , un type intéressant de greffier .</t>
  </si>
  <si>
    <t>Amo i lavoratori , un tipo interessante di scuola .</t>
  </si>
  <si>
    <t>I like workers , an interesting type of school .</t>
  </si>
  <si>
    <t>J' aime les travailleurs , un type intéressant d' école .</t>
  </si>
  <si>
    <t>Amo gli impiegati , un tipo interessante di ufficio .</t>
  </si>
  <si>
    <t>I like clerks , an interesting type of office .</t>
  </si>
  <si>
    <t>J' aime les greffiers , un type intéressant de bureau .</t>
  </si>
  <si>
    <t>Amo gli uffici , un tipo interessante di impiegato .</t>
  </si>
  <si>
    <t>I like offices , an interesting type of clerk .</t>
  </si>
  <si>
    <t>J' aime les bureaux , un type intéressant de greffier .</t>
  </si>
  <si>
    <t>Amo i lavoratori , un tipo interessante di ufficio .</t>
  </si>
  <si>
    <t>I like workers , an interesting type of office .</t>
  </si>
  <si>
    <t>J' aime les travailleurs , un type intéressant de bureau .</t>
  </si>
  <si>
    <t>Amo i camerieri , un tipo interessante di fabbrica .</t>
  </si>
  <si>
    <t>I like waiters , an interesting type of factory .</t>
  </si>
  <si>
    <t>J' aime les serveurs , un type intéressant d' usine .</t>
  </si>
  <si>
    <t>Amo le fabbriche , un tipo interessante di cameriere .</t>
  </si>
  <si>
    <t>I like factories , an interesting type of waiter .</t>
  </si>
  <si>
    <t>J' aime les usines , un type intéressant de serveur .</t>
  </si>
  <si>
    <t>Amo i camerieri , un tipo interessante di lavoratore .</t>
  </si>
  <si>
    <t>I like waiters , an interesting type of worker .</t>
  </si>
  <si>
    <t>J' aime les serveurs , un type intéressant de travailleur .</t>
  </si>
  <si>
    <t>Amo i lavoratori , un tipo interessante di cameriere .</t>
  </si>
  <si>
    <t>I like workers , an interesting type of waiter .</t>
  </si>
  <si>
    <t>J' aime les travailleurs , un type intéressant de serveur .</t>
  </si>
  <si>
    <t>Amo i camerieri , un tipo interessante di ristorante .</t>
  </si>
  <si>
    <t>I like waiters , an interesting type of restaurant .</t>
  </si>
  <si>
    <t>J' aime les serveurs , un type intéressant de restaurant .</t>
  </si>
  <si>
    <t>Amo i ristoranti , un tipo interessante di cameriere .</t>
  </si>
  <si>
    <t>I like restaurants , an interesting type of waiter .</t>
  </si>
  <si>
    <t>J' aime les restaurants , un type intéressant de serveur .</t>
  </si>
  <si>
    <t>Amo i camerieri , un tipo interessante di scuola .</t>
  </si>
  <si>
    <t>I like waiters , an interesting type of school .</t>
  </si>
  <si>
    <t>J' aime les serveurs , un type intéressant d' école .</t>
  </si>
  <si>
    <t>Amo le scuole , un tipo interessante di cameriere .</t>
  </si>
  <si>
    <t>I like schools , an interesting type of waiter .</t>
  </si>
  <si>
    <t>J' aime les écoles , un type intéressant de serveur .</t>
  </si>
  <si>
    <t>Amo i camerieri , un tipo interessante di ufficio .</t>
  </si>
  <si>
    <t>I like waiters , an interesting type of office .</t>
  </si>
  <si>
    <t>J' aime les serveurs , un type intéressant de bureau .</t>
  </si>
  <si>
    <t>Amo gli uffici , un tipo interessante di cameriere .</t>
  </si>
  <si>
    <t>I like offices , an interesting type of waiter .</t>
  </si>
  <si>
    <t>J' aime les bureaux , un type intéressant de serveur .</t>
  </si>
  <si>
    <t>Amo i guardiani , un tipo interessante di fabbrica .</t>
  </si>
  <si>
    <t>I like caretakers , an interesting type of factory .</t>
  </si>
  <si>
    <t>J' aime les gardiens , un type intéressant d' usine .</t>
  </si>
  <si>
    <t>Amo le fabbriche , un tipo interessante di guardiano .</t>
  </si>
  <si>
    <t>I like factories , an interesting type of caretaker .</t>
  </si>
  <si>
    <t>J' aime les usines , un type intéressant de gardien .</t>
  </si>
  <si>
    <t>Amo i guardiani , un tipo interessante di lavoratore .</t>
  </si>
  <si>
    <t>I like caretakers , an interesting type of worker .</t>
  </si>
  <si>
    <t>J' aime les gardiens , un type intéressant de travailleur .</t>
  </si>
  <si>
    <t>Amo i lavoratori , un tipo interessante di guardiano .</t>
  </si>
  <si>
    <t>I like workers , an interesting type of caretaker .</t>
  </si>
  <si>
    <t>J' aime les travailleurs , un type intéressant de gardien .</t>
  </si>
  <si>
    <t>Amo i guardiani , un tipo interessante di ristorante .</t>
  </si>
  <si>
    <t>I like caretakers , an interesting type of restaurant .</t>
  </si>
  <si>
    <t>J' aime les gardiens , un type intéressant de restaurant .</t>
  </si>
  <si>
    <t>Amo i ristoranti , un tipo interessante di guardiano .</t>
  </si>
  <si>
    <t>I like restaurants , an interesting type of caretaker .</t>
  </si>
  <si>
    <t>J' aime les restaurants , un type intéressant de gardien .</t>
  </si>
  <si>
    <t>Amo i guardiani , un tipo interessante di scuola .</t>
  </si>
  <si>
    <t>I like caretakers , an interesting type of school .</t>
  </si>
  <si>
    <t>J' aime les gardiens , un type intéressant d' école .</t>
  </si>
  <si>
    <t>Amo le scuole , un tipo interessante di guardiano .</t>
  </si>
  <si>
    <t>I like schools , an interesting type of caretaker .</t>
  </si>
  <si>
    <t>J' aime les écoles , un type intéressant de gardien .</t>
  </si>
  <si>
    <t>Amo i guardiani , un tipo interessante di ufficio .</t>
  </si>
  <si>
    <t>I like caretakers , an interesting type of office .</t>
  </si>
  <si>
    <t>J' aime les gardiens , un type intéressant de bureau .</t>
  </si>
  <si>
    <t>Amo gli uffici , un tipo interessante di guardiano .</t>
  </si>
  <si>
    <t>I like offices , an interesting type of caretaker .</t>
  </si>
  <si>
    <t>J' aime les bureaux , un type intéressant de gardien .</t>
  </si>
  <si>
    <t>Amo i professori , un tipo interessante di fabbrica .</t>
  </si>
  <si>
    <t>I like professors , an interesting type of factory .</t>
  </si>
  <si>
    <t>J' aime les professeurs , un type intéressant d' usine .</t>
  </si>
  <si>
    <t>Amo le fabbriche , un tipo interessante di professore .</t>
  </si>
  <si>
    <t>I like factories , an interesting type of professor .</t>
  </si>
  <si>
    <t>J' aime les usines , un type intéressant de professeur .</t>
  </si>
  <si>
    <t>Amo i professori , un tipo interessante di lavoratore .</t>
  </si>
  <si>
    <t>I like professors , an interesting type of worker .</t>
  </si>
  <si>
    <t>J' aime les professeurs , un type intéressant de travailleur .</t>
  </si>
  <si>
    <t>Amo i lavoratori , un tipo interessante di professore .</t>
  </si>
  <si>
    <t>I like workers , an interesting type of professor .</t>
  </si>
  <si>
    <t>J' aime les travailleurs , un type intéressant de professeur .</t>
  </si>
  <si>
    <t>Amo i professori , un tipo interessante di ristorante .</t>
  </si>
  <si>
    <t>I like professors , an interesting type of restaurant .</t>
  </si>
  <si>
    <t>J' aime les professeurs , un type intéressant de restaurant .</t>
  </si>
  <si>
    <t>Amo i ristoranti , un tipo interessante di professore .</t>
  </si>
  <si>
    <t>I like restaurants , an interesting type of professor .</t>
  </si>
  <si>
    <t>J' aime les restaurants , un type intéressant de professeur .</t>
  </si>
  <si>
    <t>Amo i professori , un tipo interessante di scuola .</t>
  </si>
  <si>
    <t>I like professors , an interesting type of school .</t>
  </si>
  <si>
    <t>J' aime les professeurs , un type intéressant d' école .</t>
  </si>
  <si>
    <t>Amo le scuole , un tipo interessante di professore .</t>
  </si>
  <si>
    <t>I like schools , an interesting type of professor .</t>
  </si>
  <si>
    <t>J' aime les écoles , un type intéressant de professeur .</t>
  </si>
  <si>
    <t>Amo i professori , un tipo interessante di ufficio .</t>
  </si>
  <si>
    <t>I like professors , an interesting type of office .</t>
  </si>
  <si>
    <t>J' aime les professeurs , un type intéressant de bureau .</t>
  </si>
  <si>
    <t>Amo gli uffici , un tipo interessante di professore .</t>
  </si>
  <si>
    <t>I like offices , an interesting type of professor .</t>
  </si>
  <si>
    <t>J' aime les bureaux , un type intéressant de professeur .</t>
  </si>
  <si>
    <t>Ho incontrato i biologi , un tipo interessante di impiegato .</t>
  </si>
  <si>
    <t>I met biologists , an interesting type of clerk .</t>
  </si>
  <si>
    <t>J' ai rencontré les biologistes , un type intéressant de greffier .</t>
  </si>
  <si>
    <t>Ho incontrato gli impiegati , un tipo interessante di biologo .</t>
  </si>
  <si>
    <t>I met clerks , an interesting type of biologist .</t>
  </si>
  <si>
    <t>J' ai rencontré les greffiers , un type intéressant de biologiste .</t>
  </si>
  <si>
    <t>Ho incontrato i biologi , un tipo interessante di scienziato .</t>
  </si>
  <si>
    <t>I met biologists , an interesting type of scientist .</t>
  </si>
  <si>
    <t>J' ai rencontré les biologistes , un type intéressant de scientifique .</t>
  </si>
  <si>
    <t>Ho incontrato gli scienziati , un tipo interessante di biologo .</t>
  </si>
  <si>
    <t>I met scientists , an interesting type of biologist .</t>
  </si>
  <si>
    <t>J' ai rencontré les scientifiques , un type intéressant de biologiste .</t>
  </si>
  <si>
    <t>Ho incontrato gli scienziati , un tipo interessante di impiegato .</t>
  </si>
  <si>
    <t>I met scientists , an interesting type of clerk .</t>
  </si>
  <si>
    <t>J' ai rencontré les scientifiques , un type intéressant de greffier .</t>
  </si>
  <si>
    <t>Ho incontrato i biologi , un tipo interessante di cameriere .</t>
  </si>
  <si>
    <t>I met biologists , an interesting type of waiter .</t>
  </si>
  <si>
    <t>J' ai rencontré les biologistes , un type intéressant de serveur .</t>
  </si>
  <si>
    <t>Ho incontrato i camerieri , un tipo interessante di biologo .</t>
  </si>
  <si>
    <t>I met waiters , an interesting type of biologist .</t>
  </si>
  <si>
    <t>J' ai rencontré les serveurs , un type intéressant de biologiste .</t>
  </si>
  <si>
    <t>Ho incontrato gli scienziati , un tipo interessante di cameriere .</t>
  </si>
  <si>
    <t>I met scientists , an interesting type of waiter .</t>
  </si>
  <si>
    <t>J' ai rencontré les scientifiques , un type intéressant de serveur .</t>
  </si>
  <si>
    <t>Ho incontrato i biologi , un tipo interessante di guardiano .</t>
  </si>
  <si>
    <t>I met biologists , an interesting type of caretaker .</t>
  </si>
  <si>
    <t>J' ai rencontré les biologistes , un type intéressant de gardien .</t>
  </si>
  <si>
    <t>Ho incontrato i guardiani , un tipo interessante di biologo .</t>
  </si>
  <si>
    <t>I met caretakers , an interesting type of biologist .</t>
  </si>
  <si>
    <t>J' ai rencontré les gardiens , un type intéressant de biologiste .</t>
  </si>
  <si>
    <t>Ho incontrato gli scienziati , un tipo interessante di guardiano .</t>
  </si>
  <si>
    <t>I met scientists , an interesting type of caretaker .</t>
  </si>
  <si>
    <t>J' ai rencontré les scientifiques , un type intéressant de gardien .</t>
  </si>
  <si>
    <t>Ho incontrato i biologi , un tipo interessante di portiere .</t>
  </si>
  <si>
    <t>I met biologists , an interesting type of janitor .</t>
  </si>
  <si>
    <t>J' ai rencontré les biologistes , un type intéressant de concierge .</t>
  </si>
  <si>
    <t>Ho incontrato i portieri , un tipo interessante di biologo .</t>
  </si>
  <si>
    <t>I met janitors , an interesting type of biologist .</t>
  </si>
  <si>
    <t>J' ai rencontré les concierges , un type intéressant de biologiste .</t>
  </si>
  <si>
    <t>Ho incontrato gli scienziati , un tipo interessante di portiere .</t>
  </si>
  <si>
    <t>I met scientists , an interesting type of janitor .</t>
  </si>
  <si>
    <t>J' ai rencontré les scientifiques , un type intéressant de concierge .</t>
  </si>
  <si>
    <t>Ho incontrato i genetisti , un tipo interessante di impiegato .</t>
  </si>
  <si>
    <t>I met geneticists , an interesting type of clerk .</t>
  </si>
  <si>
    <t>J' ai rencontré les généticiens , un type intéressant de greffier .</t>
  </si>
  <si>
    <t>Ho incontrato gli impiegati , un tipo interessante di genetista .</t>
  </si>
  <si>
    <t>I met clerks , an interesting type of geneticist .</t>
  </si>
  <si>
    <t>J' ai rencontré les greffiers , un type intéressant de généticien .</t>
  </si>
  <si>
    <t>Ho incontrato i genetisti , un tipo interessante di scienziato .</t>
  </si>
  <si>
    <t>I met geneticists , an interesting type of scientist .</t>
  </si>
  <si>
    <t>J' ai rencontré les généticiens , un type intéressant de scientifique .</t>
  </si>
  <si>
    <t>Ho incontrato gli scienziati , un tipo interessante di genetista .</t>
  </si>
  <si>
    <t>I met scientists , an interesting type of geneticist .</t>
  </si>
  <si>
    <t>J' ai rencontré les scientifiques , un type intéressant de généticien .</t>
  </si>
  <si>
    <t>Ho incontrato i genetisti , un tipo interessante di cameriere .</t>
  </si>
  <si>
    <t>I met geneticists , an interesting type of waiter .</t>
  </si>
  <si>
    <t>J' ai rencontré les généticiens , un type intéressant de serveur .</t>
  </si>
  <si>
    <t>Ho incontrato i camerieri , un tipo interessante di genetista .</t>
  </si>
  <si>
    <t>I met waiters , an interesting type of geneticist .</t>
  </si>
  <si>
    <t>J' ai rencontré les serveurs , un type intéressant de généticien .</t>
  </si>
  <si>
    <t>Ho incontrato i genetisti , un tipo interessante di guardiano .</t>
  </si>
  <si>
    <t>I met geneticists , an interesting type of caretaker .</t>
  </si>
  <si>
    <t>J' ai rencontré les généticiens , un type intéressant de gardien .</t>
  </si>
  <si>
    <t>Ho incontrato i guardiani , un tipo interessante di genetista .</t>
  </si>
  <si>
    <t>I met caretakers , an interesting type of geneticist .</t>
  </si>
  <si>
    <t>J' ai rencontré les gardiens , un type intéressant de généticien .</t>
  </si>
  <si>
    <t>Ho incontrato i genetisti , un tipo interessante di portiere .</t>
  </si>
  <si>
    <t>I met geneticists , an interesting type of janitor .</t>
  </si>
  <si>
    <t>J' ai rencontré les généticiens , un type intéressant de concierge .</t>
  </si>
  <si>
    <t>Ho incontrato i portieri , un tipo interessante di genetista .</t>
  </si>
  <si>
    <t>I met janitors , an interesting type of geneticist .</t>
  </si>
  <si>
    <t>J' ai rencontré les concierges , un type intéressant de généticien .</t>
  </si>
  <si>
    <t>Ho incontrato gli astronomi , un tipo interessante di impiegato .</t>
  </si>
  <si>
    <t>I met astronomers , an interesting type of clerk .</t>
  </si>
  <si>
    <t>J' ai rencontré les astronomes , un type intéressant de greffier .</t>
  </si>
  <si>
    <t>Ho incontrato gli impiegati , un tipo interessante di astronomo .</t>
  </si>
  <si>
    <t>I met clerks , an interesting type of astronomer .</t>
  </si>
  <si>
    <t>J' ai rencontré les greffiers , un type intéressant d' astronome .</t>
  </si>
  <si>
    <t>Ho incontrato gli astronomi , un tipo interessante di scienziato .</t>
  </si>
  <si>
    <t>I met astronomers , an interesting type of scientist .</t>
  </si>
  <si>
    <t>J' ai rencontré les astronomes , un type intéressant de scientifique .</t>
  </si>
  <si>
    <t>Ho incontrato gli scienziati , un tipo interessante di astronomo .</t>
  </si>
  <si>
    <t>I met scientists , an interesting type of astronomer .</t>
  </si>
  <si>
    <t>J' ai rencontré les scientifiques , un type intéressant d' astronome .</t>
  </si>
  <si>
    <t>Ho incontrato gli astronomi , un tipo interessante di cameriere .</t>
  </si>
  <si>
    <t>I met astronomers , an interesting type of waiter .</t>
  </si>
  <si>
    <t>J' ai rencontré les astronomes , un type intéressant de serveur .</t>
  </si>
  <si>
    <t>Ho incontrato i camerieri , un tipo interessante di astronomo .</t>
  </si>
  <si>
    <t>I met waiters , an interesting type of astronomer .</t>
  </si>
  <si>
    <t>J' ai rencontré les serveurs , un type intéressant d' astronome .</t>
  </si>
  <si>
    <t>Ho incontrato gli astronomi , un tipo interessante di guardiano .</t>
  </si>
  <si>
    <t>I met astronomers , an interesting type of caretaker .</t>
  </si>
  <si>
    <t>J' ai rencontré les astronomes , un type intéressant de gardien .</t>
  </si>
  <si>
    <t>Ho incontrato i guardiani , un tipo interessante di astronomo .</t>
  </si>
  <si>
    <t>I met caretakers , an interesting type of astronomer .</t>
  </si>
  <si>
    <t>J' ai rencontré les gardiens , un type intéressant d' astronome .</t>
  </si>
  <si>
    <t>Ho incontrato gli astronomi , un tipo interessante di portiere .</t>
  </si>
  <si>
    <t>I met astronomers , an interesting type of janitor .</t>
  </si>
  <si>
    <t>J' ai rencontré les astronomes , un type intéressant de concierge .</t>
  </si>
  <si>
    <t>Ho incontrato i portieri , un tipo interessante di astronomo .</t>
  </si>
  <si>
    <t>I met janitors , an interesting type of astronomer .</t>
  </si>
  <si>
    <t>J' ai rencontré les concierges , un type intéressant d' astronome .</t>
  </si>
  <si>
    <t>Ho incontrato i fisici , un tipo interessante di impiegato .</t>
  </si>
  <si>
    <t>I met physicists , an interesting type of clerk .</t>
  </si>
  <si>
    <t>J' ai rencontré les physiciens , un type intéressant de greffier .</t>
  </si>
  <si>
    <t>Ho incontrato gli impiegati , un tipo interessante di fisico .</t>
  </si>
  <si>
    <t>I met clerks , an interesting type of physicist .</t>
  </si>
  <si>
    <t>J' ai rencontré les greffiers , un type intéressant de physicien .</t>
  </si>
  <si>
    <t>Ho incontrato i fisici , un tipo interessante di scienziato .</t>
  </si>
  <si>
    <t>I met physicists , an interesting type of scientist .</t>
  </si>
  <si>
    <t>J' ai rencontré les physiciens , un type intéressant de scientifique .</t>
  </si>
  <si>
    <t>Ho incontrato gli scienziati , un tipo interessante di fisico .</t>
  </si>
  <si>
    <t>I met scientists , an interesting type of physicist .</t>
  </si>
  <si>
    <t>J' ai rencontré les scientifiques , un type intéressant de physicien .</t>
  </si>
  <si>
    <t>Ho incontrato i fisici , un tipo interessante di cameriere .</t>
  </si>
  <si>
    <t>I met physicists , an interesting type of waiter .</t>
  </si>
  <si>
    <t>J' ai rencontré les physiciens , un type intéressant de serveur .</t>
  </si>
  <si>
    <t>Ho incontrato i camerieri , un tipo interessante di fisico .</t>
  </si>
  <si>
    <t>I met waiters , an interesting type of physicist .</t>
  </si>
  <si>
    <t>J' ai rencontré les serveurs , un type intéressant de physicien .</t>
  </si>
  <si>
    <t>Ho incontrato i fisici , un tipo interessante di guardiano .</t>
  </si>
  <si>
    <t>I met physicists , an interesting type of caretaker .</t>
  </si>
  <si>
    <t>J' ai rencontré les physiciens , un type intéressant de gardien .</t>
  </si>
  <si>
    <t>Ho incontrato i guardiani , un tipo interessante di fisico .</t>
  </si>
  <si>
    <t>I met caretakers , an interesting type of physicist .</t>
  </si>
  <si>
    <t>J' ai rencontré les gardiens , un type intéressant de physicien .</t>
  </si>
  <si>
    <t>Ho incontrato i fisici , un tipo interessante di portiere .</t>
  </si>
  <si>
    <t>I met physicists , an interesting type of janitor .</t>
  </si>
  <si>
    <t>J' ai rencontré les physiciens , un type intéressant de concierge .</t>
  </si>
  <si>
    <t>Ho incontrato i portieri , un tipo interessante di fisico .</t>
  </si>
  <si>
    <t>I met janitors , an interesting type of physicist .</t>
  </si>
  <si>
    <t>J' ai rencontré les concierges , un type intéressant de physicien .</t>
  </si>
  <si>
    <t>Amo i merli , eccetto i maiali .</t>
  </si>
  <si>
    <t>I like blackbirds , except pigs .</t>
  </si>
  <si>
    <t>J' aime les merles , sauf les cochons .</t>
  </si>
  <si>
    <t>Amo i maiali , eccetto i merli .</t>
  </si>
  <si>
    <t>I like pigs , except blackbirds .</t>
  </si>
  <si>
    <t>J' aime les cochons , sauf les merles .</t>
  </si>
  <si>
    <t>Amo i merli , eccetto i cani .</t>
  </si>
  <si>
    <t>I like blackbirds , except dogs .</t>
  </si>
  <si>
    <t>J' aime les merles , sauf les chiens .</t>
  </si>
  <si>
    <t>Amo i cani , eccetto i merli .</t>
  </si>
  <si>
    <t>I like dogs , except blackbirds .</t>
  </si>
  <si>
    <t>J' aime les chiens , sauf les merles .</t>
  </si>
  <si>
    <t>Amo gli husky , ed anche i gatti .</t>
  </si>
  <si>
    <t>I like huskies , and cats too .</t>
  </si>
  <si>
    <t>J' aime les huskies , et aussi les chats .</t>
  </si>
  <si>
    <t>Amo i gatti , ed anche gli husky .</t>
  </si>
  <si>
    <t>I like cats , and huskies too .</t>
  </si>
  <si>
    <t>J' aime les chats , et aussi les huskies .</t>
  </si>
  <si>
    <t>Amo gli husky , ed anche i cani .</t>
  </si>
  <si>
    <t>I like huskies , and dogs too .</t>
  </si>
  <si>
    <t>J' aime les huskies , et aussi les chiens .</t>
  </si>
  <si>
    <t>Amo i cani , ed anche gli husky .</t>
  </si>
  <si>
    <t>I like dogs , and huskies too .</t>
  </si>
  <si>
    <t>J' aime les chiens , et aussi les huskies .</t>
  </si>
  <si>
    <t>Amo i cani , ed anche i gatti .</t>
  </si>
  <si>
    <t>I like dogs , and cats too .</t>
  </si>
  <si>
    <t>J' aime les chiens , et aussi les chats .</t>
  </si>
  <si>
    <t>Amo gli husky , ed anche i criceti .</t>
  </si>
  <si>
    <t>I like huskies , and hamsters too .</t>
  </si>
  <si>
    <t>J' aime les huskies , et aussi les hamsters .</t>
  </si>
  <si>
    <t>Amo i criceti , ed anche gli husky .</t>
  </si>
  <si>
    <t>I like hamsters , and huskies too .</t>
  </si>
  <si>
    <t>J' aime les hamsters , et aussi les huskies .</t>
  </si>
  <si>
    <t>Amo i cani , ed anche i criceti .</t>
  </si>
  <si>
    <t>I like dogs , and hamsters too .</t>
  </si>
  <si>
    <t>J' aime les chiens , et aussi les hamsters .</t>
  </si>
  <si>
    <t>Amo gli husky , ed anche i pappagalli .</t>
  </si>
  <si>
    <t>I like huskies , and parrots too .</t>
  </si>
  <si>
    <t>J' aime les huskies , et aussi les perrouquets .</t>
  </si>
  <si>
    <t>Amo i pappagalli , ed anche gli husky .</t>
  </si>
  <si>
    <t>I like parrots , and huskies too .</t>
  </si>
  <si>
    <t>J' aime les perrouquets , et aussi les huskies .</t>
  </si>
  <si>
    <t>Amo i cani , ed anche i pappagalli .</t>
  </si>
  <si>
    <t>I like dogs , and parrots too .</t>
  </si>
  <si>
    <t>J' aime les chiens , et aussi les perrouquets .</t>
  </si>
  <si>
    <t>Amo gli husky , ed anche i conigli .</t>
  </si>
  <si>
    <t>I like huskies , and rabbits too .</t>
  </si>
  <si>
    <t>J' aime les huskies , et aussi les lapins .</t>
  </si>
  <si>
    <t>Amo i conigli , ed anche gli husky .</t>
  </si>
  <si>
    <t>I like rabbits , and huskies too .</t>
  </si>
  <si>
    <t>J' aime les lapins , et aussi les huskies .</t>
  </si>
  <si>
    <t>Amo i cani , ed anche i conigli .</t>
  </si>
  <si>
    <t>I like dogs , and rabbits too .</t>
  </si>
  <si>
    <t>J' aime les chiens , et aussi les lapins .</t>
  </si>
  <si>
    <t>Amo i bobtail , ed anche i gatti .</t>
  </si>
  <si>
    <t>I like bobtails , and cats too .</t>
  </si>
  <si>
    <t>J' aime les bobtails , et aussi les chats .</t>
  </si>
  <si>
    <t>Amo i gatti , ed anche i bobtail .</t>
  </si>
  <si>
    <t>I like cats , and bobtails too .</t>
  </si>
  <si>
    <t>J' aime les chats , et aussi les bobtails .</t>
  </si>
  <si>
    <t>Amo i bobtail , ed anche i cani .</t>
  </si>
  <si>
    <t>I like bobtails , and dogs too .</t>
  </si>
  <si>
    <t>J' aime les bobtails , et aussi les chiens .</t>
  </si>
  <si>
    <t>Amo i cani , ed anche i bobtail .</t>
  </si>
  <si>
    <t>I like dogs , and bobtails too .</t>
  </si>
  <si>
    <t>J' aime les chiens , et aussi les bobtails .</t>
  </si>
  <si>
    <t>Amo i bobtail , ed anche i criceti .</t>
  </si>
  <si>
    <t>I like bobtails , and hamsters too .</t>
  </si>
  <si>
    <t>J' aime les bobtails , et aussi les hamsters .</t>
  </si>
  <si>
    <t>Amo i criceti , ed anche i bobtail .</t>
  </si>
  <si>
    <t>I like hamsters , and bobtails too .</t>
  </si>
  <si>
    <t>J' aime les hamsters , et aussi les bobtails .</t>
  </si>
  <si>
    <t>Amo i bobtail , ed anche i pappagalli .</t>
  </si>
  <si>
    <t>I like bobtails , and parrots too .</t>
  </si>
  <si>
    <t>J' aime les bobtails , et aussi les perrouquets .</t>
  </si>
  <si>
    <t>Amo i pappagalli , ed anche i bobtail .</t>
  </si>
  <si>
    <t>I like parrots , and bobtails too .</t>
  </si>
  <si>
    <t>J' aime les perrouquets , et aussi les bobtails .</t>
  </si>
  <si>
    <t>Amo i bobtail , ed anche i conigli .</t>
  </si>
  <si>
    <t>I like bobtails , and rabbits too .</t>
  </si>
  <si>
    <t>J' aime les bobtails , et aussi les lapins .</t>
  </si>
  <si>
    <t>Amo i conigli , ed anche i bobtail .</t>
  </si>
  <si>
    <t>I like rabbits , and bobtails too .</t>
  </si>
  <si>
    <t>J' aime les lapins , et aussi les bobtails .</t>
  </si>
  <si>
    <t>Amo i bulldog , ed anche i gatti .</t>
  </si>
  <si>
    <t>I like bulldogs , and cats too .</t>
  </si>
  <si>
    <t>J' aime les bouledogues , et aussi les chats .</t>
  </si>
  <si>
    <t>Amo i gatti , ed anche i bulldog .</t>
  </si>
  <si>
    <t>I like cats , and bulldogs too .</t>
  </si>
  <si>
    <t>J' aime les chats , et aussi les bouledogues .</t>
  </si>
  <si>
    <t>Amo i bulldog , ed anche i cani .</t>
  </si>
  <si>
    <t>I like bulldogs , and dogs too .</t>
  </si>
  <si>
    <t>J' aime les bouledogues , et aussi les chiens .</t>
  </si>
  <si>
    <t>Amo i cani , ed anche i bulldog .</t>
  </si>
  <si>
    <t>I like dogs , and bulldogs too .</t>
  </si>
  <si>
    <t>J' aime les chiens , et aussi les bouledogues .</t>
  </si>
  <si>
    <t>Amo i bulldog , ed anche i criceti .</t>
  </si>
  <si>
    <t>I like bulldogs , and hamsters too .</t>
  </si>
  <si>
    <t>J' aime les bouledogues , et aussi les hamsters .</t>
  </si>
  <si>
    <t>Amo i criceti , ed anche i bulldog .</t>
  </si>
  <si>
    <t>I like hamsters , and bulldogs too .</t>
  </si>
  <si>
    <t>J' aime les hamsters , et aussi les bouledogues .</t>
  </si>
  <si>
    <t>Amo i bulldog , ed anche i pappagalli .</t>
  </si>
  <si>
    <t>I like bulldogs , and parrots too .</t>
  </si>
  <si>
    <t>J' aime les bouledogues , et aussi les perrouquets .</t>
  </si>
  <si>
    <t>Amo i pappagalli , ed anche i bulldog .</t>
  </si>
  <si>
    <t>I like parrots , and bulldogs too .</t>
  </si>
  <si>
    <t>J' aime les perrouquets , et aussi les bouledogues .</t>
  </si>
  <si>
    <t>Amo i bulldog , ed anche i conigli .</t>
  </si>
  <si>
    <t>I like bulldogs , and rabbits too .</t>
  </si>
  <si>
    <t>J' aime les bouledogues , et aussi les lapins .</t>
  </si>
  <si>
    <t>Amo i conigli , ed anche i bulldog .</t>
  </si>
  <si>
    <t>I like rabbits , and bulldogs too .</t>
  </si>
  <si>
    <t>J' aime les lapins , et aussi les bouledogues .</t>
  </si>
  <si>
    <t>Amo i bassotti , ed anche i gatti .</t>
  </si>
  <si>
    <t>I like beagles , and cats too .</t>
  </si>
  <si>
    <t>J' aime les beagles , et aussi les chats .</t>
  </si>
  <si>
    <t>Amo i gatti , ed anche i bassotti .</t>
  </si>
  <si>
    <t>I like cats , and beagles too .</t>
  </si>
  <si>
    <t>J' aime les chats , et aussi les beagles .</t>
  </si>
  <si>
    <t>Amo i bassotti , ed anche i cani .</t>
  </si>
  <si>
    <t>I like beagles , and dogs too .</t>
  </si>
  <si>
    <t>J' aime les beagles , et aussi les chiens .</t>
  </si>
  <si>
    <t>Amo i cani , ed anche i bassotti .</t>
  </si>
  <si>
    <t>I like dogs , and beagles too .</t>
  </si>
  <si>
    <t>J' aime les chiens , et aussi les beagles .</t>
  </si>
  <si>
    <t>Amo i bassotti , ed anche i criceti .</t>
  </si>
  <si>
    <t>I like beagles , and hamsters too .</t>
  </si>
  <si>
    <t>J' aime les beagles , et aussi les hamsters .</t>
  </si>
  <si>
    <t>Amo i criceti , ed anche i bassotti .</t>
  </si>
  <si>
    <t>I like hamsters , and beagles too .</t>
  </si>
  <si>
    <t>J' aime les hamsters , et aussi les beagles .</t>
  </si>
  <si>
    <t>Amo i bassotti , ed anche i pappagalli .</t>
  </si>
  <si>
    <t>I like beagles , and parrots too .</t>
  </si>
  <si>
    <t>J' aime les beagles , et aussi les perrouquets .</t>
  </si>
  <si>
    <t>Amo i pappagalli , ed anche i bassotti .</t>
  </si>
  <si>
    <t>I like parrots , and beagles too .</t>
  </si>
  <si>
    <t>J' aime les perrouquets , et aussi les beagles .</t>
  </si>
  <si>
    <t>Amo i bassotti , ed anche i conigli .</t>
  </si>
  <si>
    <t>I like beagles , and rabbits too .</t>
  </si>
  <si>
    <t>J' aime les beagles , et aussi les lapins .</t>
  </si>
  <si>
    <t>Amo i conigli , ed anche i bassotti .</t>
  </si>
  <si>
    <t>I like rabbits , and beagles too .</t>
  </si>
  <si>
    <t>J' aime les lapins , et aussi les beagles .</t>
  </si>
  <si>
    <t>Amo i pappagalli , ed anche i gatti .</t>
  </si>
  <si>
    <t>I like parrots , and cats too .</t>
  </si>
  <si>
    <t>J' aime les perrouquets , et aussi les chats .</t>
  </si>
  <si>
    <t>Amo i gatti , ed anche i pappagalli .</t>
  </si>
  <si>
    <t>I like cats , and parrots too .</t>
  </si>
  <si>
    <t>J' aime les chats , et aussi les perrouquets .</t>
  </si>
  <si>
    <t>Amo i pappagalli , ed anche gli uccelli .</t>
  </si>
  <si>
    <t>I like parrots , and birds too .</t>
  </si>
  <si>
    <t>J' aime les perrouquets , et aussi les oiseaux .</t>
  </si>
  <si>
    <t>Amo gli uccelli , ed anche i pappagalli .</t>
  </si>
  <si>
    <t>I like birds , and parrots too .</t>
  </si>
  <si>
    <t>J' aime les oiseaux , et aussi les perrouquets .</t>
  </si>
  <si>
    <t>Amo gli uccelli , ed anche i gatti .</t>
  </si>
  <si>
    <t>I like birds , and cats too .</t>
  </si>
  <si>
    <t>J' aime les oiseaux , et aussi les chats .</t>
  </si>
  <si>
    <t>Amo i pappagalli , ed anche i criceti .</t>
  </si>
  <si>
    <t>I like parrots , and hamsters too .</t>
  </si>
  <si>
    <t>J' aime les perrouquets , et aussi les hamsters .</t>
  </si>
  <si>
    <t>Amo i criceti , ed anche i pappagalli .</t>
  </si>
  <si>
    <t>I like hamsters , and parrots too .</t>
  </si>
  <si>
    <t>J' aime les hamsters , et aussi les perrouquets .</t>
  </si>
  <si>
    <t>Amo gli uccelli , ed anche i criceti .</t>
  </si>
  <si>
    <t>I like birds , and hamsters too .</t>
  </si>
  <si>
    <t>J' aime les oiseaux , et aussi les hamsters .</t>
  </si>
  <si>
    <t>Amo i pappagalli , ed anche i maiali .</t>
  </si>
  <si>
    <t>I like parrots , and pigs too .</t>
  </si>
  <si>
    <t>J' aime les perrouquets , et aussi les cochons .</t>
  </si>
  <si>
    <t>Amo i maiali , ed anche i pappagalli .</t>
  </si>
  <si>
    <t>I like pigs , and parrots too .</t>
  </si>
  <si>
    <t>J' aime les cochons , et aussi les perrouquets .</t>
  </si>
  <si>
    <t>Amo gli uccelli , ed anche i maiali .</t>
  </si>
  <si>
    <t>I like birds , and pigs too .</t>
  </si>
  <si>
    <t>J' aime les oiseaux , et aussi les cochons .</t>
  </si>
  <si>
    <t>Amo i pappagalli , ed anche i cani .</t>
  </si>
  <si>
    <t>I like parrots , and dogs too .</t>
  </si>
  <si>
    <t>J' aime les perrouquets , et aussi les chiens .</t>
  </si>
  <si>
    <t>Amo gli uccelli , ed anche i cani .</t>
  </si>
  <si>
    <t>I like birds , and dogs too .</t>
  </si>
  <si>
    <t>J' aime les oiseaux , et aussi les chiens .</t>
  </si>
  <si>
    <t>Amo le anatre , ed anche i gatti .</t>
  </si>
  <si>
    <t>I like ducks , and cats too .</t>
  </si>
  <si>
    <t>J' aime les canards , et aussi les chats .</t>
  </si>
  <si>
    <t>Amo i gatti , ed anche le anatre .</t>
  </si>
  <si>
    <t>I like cats , and ducks too .</t>
  </si>
  <si>
    <t>J' aime les chats , et aussi les canards .</t>
  </si>
  <si>
    <t>Amo le anatre , ed anche gli uccelli .</t>
  </si>
  <si>
    <t>I like ducks , and birds too .</t>
  </si>
  <si>
    <t>J' aime les canards , et aussi les oiseaux .</t>
  </si>
  <si>
    <t>Amo gli uccelli , ed anche le anatre .</t>
  </si>
  <si>
    <t>I like birds , and ducks too .</t>
  </si>
  <si>
    <t>J' aime les oiseaux , et aussi les canards .</t>
  </si>
  <si>
    <t>Amo le anatre , ed anche i criceti .</t>
  </si>
  <si>
    <t>I like ducks , and hamsters too .</t>
  </si>
  <si>
    <t>J' aime les canards , et aussi les hamsters .</t>
  </si>
  <si>
    <t>Amo i criceti , ed anche le anatre .</t>
  </si>
  <si>
    <t>I like hamsters , and ducks too .</t>
  </si>
  <si>
    <t>J' aime les hamsters , et aussi les canards .</t>
  </si>
  <si>
    <t>Amo le anatre , ed anche i maiali .</t>
  </si>
  <si>
    <t>I like ducks , and pigs too .</t>
  </si>
  <si>
    <t>J' aime les canards , et aussi les cochons .</t>
  </si>
  <si>
    <t>Amo i maiali , ed anche le anatre .</t>
  </si>
  <si>
    <t>I like pigs , and ducks too .</t>
  </si>
  <si>
    <t>J' aime les cochons , et aussi les canards .</t>
  </si>
  <si>
    <t>Amo le anatre , ed anche i cani .</t>
  </si>
  <si>
    <t>I like ducks , and dogs too .</t>
  </si>
  <si>
    <t>J' aime les canards , et aussi les chiens .</t>
  </si>
  <si>
    <t>Amo i cani , ed anche le anatre .</t>
  </si>
  <si>
    <t>I like dogs , and ducks too .</t>
  </si>
  <si>
    <t>J' aime les chiens , et aussi les canards .</t>
  </si>
  <si>
    <t>Amo i merli , ed anche i gatti .</t>
  </si>
  <si>
    <t>I like blackbirds , and cats too .</t>
  </si>
  <si>
    <t>J' aime les merles , et aussi les chats .</t>
  </si>
  <si>
    <t>Amo i gatti , ed anche i merli .</t>
  </si>
  <si>
    <t>I like cats , and blackbirds too .</t>
  </si>
  <si>
    <t>J' aime les chats , et aussi les merles .</t>
  </si>
  <si>
    <t>Amo i merli , ed anche gli uccelli .</t>
  </si>
  <si>
    <t>I like blackbirds , and birds too .</t>
  </si>
  <si>
    <t>J' aime les merles , et aussi les oiseaux .</t>
  </si>
  <si>
    <t>Amo gli uccelli , ed anche i merli .</t>
  </si>
  <si>
    <t>I like birds , and blackbirds too .</t>
  </si>
  <si>
    <t>J' aime les oiseaux , et aussi les merles .</t>
  </si>
  <si>
    <t>Amo i merli , ed anche i criceti .</t>
  </si>
  <si>
    <t>I like blackbirds , and hamsters too .</t>
  </si>
  <si>
    <t>J' aime les merles , et aussi les hamsters .</t>
  </si>
  <si>
    <t>Amo i criceti , ed anche i merli .</t>
  </si>
  <si>
    <t>I like hamsters , and blackbirds too .</t>
  </si>
  <si>
    <t>J' aime les hamsters , et aussi les merles .</t>
  </si>
  <si>
    <t>Amo i merli , ed anche i maiali .</t>
  </si>
  <si>
    <t>I like blackbirds , and pigs too .</t>
  </si>
  <si>
    <t>J' aime les merles , et aussi les cochons .</t>
  </si>
  <si>
    <t>Amo i maiali , ed anche i merli .</t>
  </si>
  <si>
    <t>I like pigs , and blackbirds too .</t>
  </si>
  <si>
    <t>J' aime les cochons , et aussi les merles .</t>
  </si>
  <si>
    <t>Amo i merli , ed anche i cani .</t>
  </si>
  <si>
    <t>I like blackbirds , and dogs too .</t>
  </si>
  <si>
    <t>J' aime les merles , et aussi les chiens .</t>
  </si>
  <si>
    <t>Amo i cani , ed anche i merli .</t>
  </si>
  <si>
    <t>I like dogs , and blackbirds too .</t>
  </si>
  <si>
    <t>J' aime les chiens , et aussi les merles .</t>
  </si>
  <si>
    <t>Amo i passeri , ed anche i gatti .</t>
  </si>
  <si>
    <t>I like sparrows , and cats too .</t>
  </si>
  <si>
    <t>J' aime les moineaux , et aussi les chats .</t>
  </si>
  <si>
    <t>Amo i gatti , ed anche i passeri .</t>
  </si>
  <si>
    <t>I like cats , and sparrows too .</t>
  </si>
  <si>
    <t>J' aime les chats , et aussi les moineaux .</t>
  </si>
  <si>
    <t>Amo i passeri , ed anche gli uccelli .</t>
  </si>
  <si>
    <t>I like sparrows , and birds too .</t>
  </si>
  <si>
    <t>J' aime les moineaux , et aussi les oiseaux .</t>
  </si>
  <si>
    <t>Amo gli uccelli , ed anche i passeri .</t>
  </si>
  <si>
    <t>I like birds , and sparrows too .</t>
  </si>
  <si>
    <t>J' aime les oiseaux , et aussi les moineaux .</t>
  </si>
  <si>
    <t>Amo i passeri , ed anche i criceti .</t>
  </si>
  <si>
    <t>I like sparrows , and hamsters too .</t>
  </si>
  <si>
    <t>J' aime les moineaux , et aussi les hamsters .</t>
  </si>
  <si>
    <t>Amo i criceti , ed anche i passeri .</t>
  </si>
  <si>
    <t>I like hamsters , and sparrows too .</t>
  </si>
  <si>
    <t>J' aime les hamsters , et aussi les moineaux .</t>
  </si>
  <si>
    <t>Amo i passeri , ed anche i maiali .</t>
  </si>
  <si>
    <t>I like sparrows , and pigs too .</t>
  </si>
  <si>
    <t>J' aime les moineaux , et aussi les cochons .</t>
  </si>
  <si>
    <t>Amo i maiali , ed anche i passeri .</t>
  </si>
  <si>
    <t>I like pigs , and sparrows too .</t>
  </si>
  <si>
    <t>J' aime les cochons , et aussi les moineaux .</t>
  </si>
  <si>
    <t>Amo i passeri , ed anche i cani .</t>
  </si>
  <si>
    <t>I like sparrows , and dogs too .</t>
  </si>
  <si>
    <t>J' aime les moineaux , et aussi les chiens .</t>
  </si>
  <si>
    <t>Amo i cani , ed anche i passeri .</t>
  </si>
  <si>
    <t>I like dogs , and sparrows too .</t>
  </si>
  <si>
    <t>J' aime les chiens , et aussi les moineaux .</t>
  </si>
  <si>
    <t>Amo le Harley-Davidson , ed anche le navi .</t>
  </si>
  <si>
    <t>I like Harley-Davidson , and ships too .</t>
  </si>
  <si>
    <t>J' aime les Harley-Davidson , et aussi les navaires .</t>
  </si>
  <si>
    <t>Amo le navi , ed anche le Harley-Davidson .</t>
  </si>
  <si>
    <t>I like ships , and Harley-Davidson too .</t>
  </si>
  <si>
    <t>J' aime les navaires , et aussi les Harley-Davidson .</t>
  </si>
  <si>
    <t>Amo le Harley-Davidson , ed anche le moto .</t>
  </si>
  <si>
    <t>I like Harley-Davidson , and motorcycles too .</t>
  </si>
  <si>
    <t>J' aime les Harley-Davidson , et aussi les motos .</t>
  </si>
  <si>
    <t>Amo le moto , ed anche le Harley-Davidson .</t>
  </si>
  <si>
    <t>I like motorcycles , and Harley-Davidson too .</t>
  </si>
  <si>
    <t>J' aime les motos , et aussi les Harley-Davidson .</t>
  </si>
  <si>
    <t>Amo le moto , ed anche le navi .</t>
  </si>
  <si>
    <t>I like motorcycles , and ships too .</t>
  </si>
  <si>
    <t>J' aime les motos , et aussi les navaires .</t>
  </si>
  <si>
    <t>Amo le Harley-Davidson , ed anche le biciclette .</t>
  </si>
  <si>
    <t>I like Harley-Davidson , and bicycles too .</t>
  </si>
  <si>
    <t>J' aime les Harley-Davidson , et aussi les vélos .</t>
  </si>
  <si>
    <t>Amo le biciclette , ed anche le Harley-Davidson .</t>
  </si>
  <si>
    <t>I like bicycles , and Harley-Davidson too .</t>
  </si>
  <si>
    <t>J' aime les vélos , et aussi les Harley-Davidson .</t>
  </si>
  <si>
    <t>Amo le moto , ed anche le biciclette .</t>
  </si>
  <si>
    <t>I like motorcycles , and bicycles too .</t>
  </si>
  <si>
    <t>J' aime les motos , et aussi les vélos .</t>
  </si>
  <si>
    <t>Amo le Harley-Davidson , ed anche i treni .</t>
  </si>
  <si>
    <t>I like Harley-Davidson , and trains too .</t>
  </si>
  <si>
    <t>J' aime les Harley-Davidson , et aussi les trains .</t>
  </si>
  <si>
    <t>Amo i treni , ed anche le Harley-Davidson .</t>
  </si>
  <si>
    <t>I like trains , and Harley-Davidson too .</t>
  </si>
  <si>
    <t>J' aime les trains , et aussi les Harley-Davidson .</t>
  </si>
  <si>
    <t>Amo le moto , ed anche i treni .</t>
  </si>
  <si>
    <t>I like motorcycles , and trains too .</t>
  </si>
  <si>
    <t>J' aime les motos , et aussi les trains .</t>
  </si>
  <si>
    <t>Amo le Harley-Davidson , ed anche gli aeroplani .</t>
  </si>
  <si>
    <t>I like Harley-Davidson , and airplanes too .</t>
  </si>
  <si>
    <t>J' aime les Harley-Davidson , et aussi les avions .</t>
  </si>
  <si>
    <t>Amo gli aeroplani , ed anche le Harley-Davidson .</t>
  </si>
  <si>
    <t>I like planes , and Harley-Davidson too .</t>
  </si>
  <si>
    <t>J' aime les avions , et aussi les Harley-Davidson .</t>
  </si>
  <si>
    <t>Amo le moto , ed anche gli aeroplani .</t>
  </si>
  <si>
    <t>I like motorcycles , and airplanes too .</t>
  </si>
  <si>
    <t>J' aime les motos , et aussi les avions .</t>
  </si>
  <si>
    <t>Amo le Suzuki , ed anche le navi .</t>
  </si>
  <si>
    <t>I like Suzukis , and ships too .</t>
  </si>
  <si>
    <t>J' aime les Suzukis , et aussi les navaires .</t>
  </si>
  <si>
    <t>Amo le navi , ed anche le Suzuki .</t>
  </si>
  <si>
    <t>I like ships , and Suzukis too .</t>
  </si>
  <si>
    <t>J' aime les navaires , et aussi les Suzukis .</t>
  </si>
  <si>
    <t>Amo le Suzuki , ed anche le moto .</t>
  </si>
  <si>
    <t>I like Suzukis , and motorcycles too .</t>
  </si>
  <si>
    <t>J' aime les Suzukis , et aussi les motos .</t>
  </si>
  <si>
    <t>Amo le moto , ed anche le Suzuki .</t>
  </si>
  <si>
    <t>I like motorcycles , and Suzukis too .</t>
  </si>
  <si>
    <t>J' aime les motos , et aussi les Suzukis .</t>
  </si>
  <si>
    <t>Amo le Suzuki , ed anche le biciclette .</t>
  </si>
  <si>
    <t>I like Suzukis , and bicycles too .</t>
  </si>
  <si>
    <t>J' aime les Suzukis , et aussi les vélos .</t>
  </si>
  <si>
    <t>Amo le biciclette , ed anche le Suzuki .</t>
  </si>
  <si>
    <t>I like bicycles , and Suzukis too .</t>
  </si>
  <si>
    <t>J' aime les vélos , et aussi les Suzukis .</t>
  </si>
  <si>
    <t>Amo le Suzuki , ed anche i treni .</t>
  </si>
  <si>
    <t>I like Suzukis , and trains too .</t>
  </si>
  <si>
    <t>J' aime les Suzukis , et aussi les trains .</t>
  </si>
  <si>
    <t>Amo i treni , ed anche le Suzuki .</t>
  </si>
  <si>
    <t>I like trains , and Suzukis too .</t>
  </si>
  <si>
    <t>J' aime les trains , et aussi les Suzukis .</t>
  </si>
  <si>
    <t>Amo le Suzuki , ed anche gli aeroplani .</t>
  </si>
  <si>
    <t>I like Suzukis , and airplanes too .</t>
  </si>
  <si>
    <t>J' aime les Suzukis , et aussi les avions .</t>
  </si>
  <si>
    <t>Amo gli aeroplani , ed anche le Suzuki .</t>
  </si>
  <si>
    <t>I like planes , and Suzukis too .</t>
  </si>
  <si>
    <t>J' aime les avions , et aussi les Suzukis .</t>
  </si>
  <si>
    <t>Amo gli enduro , ed anche le navi .</t>
  </si>
  <si>
    <t>I like enduros , and ships too .</t>
  </si>
  <si>
    <t>J' aime les enduros , et aussi les navaires .</t>
  </si>
  <si>
    <t>Amo le navi , ed anche gli enduro .</t>
  </si>
  <si>
    <t>I like ships , and enduros too .</t>
  </si>
  <si>
    <t>J' aime les navaires , et aussi les enduros .</t>
  </si>
  <si>
    <t>Amo gli enduro , ed anche le moto .</t>
  </si>
  <si>
    <t>I like enduros , and motorcycles too .</t>
  </si>
  <si>
    <t>J' aime les enduros , et aussi les motos .</t>
  </si>
  <si>
    <t>Amo le moto , ed anche gli enduro .</t>
  </si>
  <si>
    <t>I like motorcycles , and enduros too .</t>
  </si>
  <si>
    <t>J' aime les motos , et aussi les enduros .</t>
  </si>
  <si>
    <t>Amo gli enduro , ed anche le biciclette .</t>
  </si>
  <si>
    <t>I like enduros , and bicycles too .</t>
  </si>
  <si>
    <t>J' aime les enduros , et aussi les vélos .</t>
  </si>
  <si>
    <t>Amo le biciclette , ed anche gli enduro .</t>
  </si>
  <si>
    <t>I like bicycles , and enduros too .</t>
  </si>
  <si>
    <t>J' aime les vélos , et aussi les enduros .</t>
  </si>
  <si>
    <t>Amo gli enduro , ed anche i treni .</t>
  </si>
  <si>
    <t>I like enduros , and trains too .</t>
  </si>
  <si>
    <t>J' aime les enduros , et aussi les trains .</t>
  </si>
  <si>
    <t>Amo i treni , ed anche gli enduro .</t>
  </si>
  <si>
    <t>I like trains , and enduros too .</t>
  </si>
  <si>
    <t>J' aime les trains , et aussi les enduros .</t>
  </si>
  <si>
    <t>Amo gli enduro , ed anche gli aeroplani .</t>
  </si>
  <si>
    <t>I like enduros , and airplanes too .</t>
  </si>
  <si>
    <t>J' aime les enduros , et aussi les avions .</t>
  </si>
  <si>
    <t>Amo gli aeroplani , ed anche gli enduro .</t>
  </si>
  <si>
    <t>I like planes , and enduros too .</t>
  </si>
  <si>
    <t>J' aime les avions , et aussi les enduros .</t>
  </si>
  <si>
    <t>Amo le Kawasakis , ed anche le navi .</t>
  </si>
  <si>
    <t>I like Kawasakis , and ships too .</t>
  </si>
  <si>
    <t>J' aime les Kawasakis , et aussi les navaires .</t>
  </si>
  <si>
    <t>Amo le navi , ed anche le Kawasakis .</t>
  </si>
  <si>
    <t>I like ships , and Kawasakis too .</t>
  </si>
  <si>
    <t>J' aime les navaires , et aussi les Kawasakis .</t>
  </si>
  <si>
    <t>Amo le Kawasakis , ed anche le moto .</t>
  </si>
  <si>
    <t>I like Kawasakis , and motorcycles too .</t>
  </si>
  <si>
    <t>J' aime les Kawasakis , et aussi les motos .</t>
  </si>
  <si>
    <t>Amo le moto , ed anche le Kawasakis .</t>
  </si>
  <si>
    <t>I like motorcycles , and Kawasakis too .</t>
  </si>
  <si>
    <t>J' aime les motos , et aussi les Kawasakis .</t>
  </si>
  <si>
    <t>Amo le Kawasakis , ed anche le biciclette .</t>
  </si>
  <si>
    <t>I like Kawasakis , and bicycles too .</t>
  </si>
  <si>
    <t>J' aime les Kawasakis , et aussi les vélos .</t>
  </si>
  <si>
    <t>Amo le biciclette , ed anche le Kawasakis .</t>
  </si>
  <si>
    <t>I like bicycles , and Kawasakis too .</t>
  </si>
  <si>
    <t>J' aime les vélos , et aussi les Kawasakis .</t>
  </si>
  <si>
    <t>Amo le Kawasakis , ed anche i treni .</t>
  </si>
  <si>
    <t>I like Kawasakis , and trains too .</t>
  </si>
  <si>
    <t>J' aime les Kawasakis , et aussi les trains .</t>
  </si>
  <si>
    <t>Amo i treni , ed anche le Kawasakis .</t>
  </si>
  <si>
    <t>I like trains , and Kawasakis too .</t>
  </si>
  <si>
    <t>J' aime les trains , et aussi les Kawasakis .</t>
  </si>
  <si>
    <t>Amo le Kawasakis , ed anche gli aeroplani .</t>
  </si>
  <si>
    <t>I like Kawasakis , and airplanes too .</t>
  </si>
  <si>
    <t>J' aime les Kawasakis , et aussi les avions .</t>
  </si>
  <si>
    <t>Amo gli aeroplani , ed anche le Kawasakis .</t>
  </si>
  <si>
    <t>I like planes , and Kawasakis too .</t>
  </si>
  <si>
    <t>J' aime les avions , et aussi les Kawasakis .</t>
  </si>
  <si>
    <t>Amo le camicie , ed anche gli animali domestici .</t>
  </si>
  <si>
    <t>I like shirts , and pets too .</t>
  </si>
  <si>
    <t>J' aime les chemises , et aussi les animaux de compagnie .</t>
  </si>
  <si>
    <t>Amo gli animali domestici , ed anche le camicie .</t>
  </si>
  <si>
    <t>I like pets , and shirts too .</t>
  </si>
  <si>
    <t>J' aime les animaux de compagnie , et aussi les chemises .</t>
  </si>
  <si>
    <t>Amo le camicie , ed anche i vestiti .</t>
  </si>
  <si>
    <t>I like shirts , and clothes too .</t>
  </si>
  <si>
    <t>J' aime les chemises , et aussi les vêtements .</t>
  </si>
  <si>
    <t>Amo i vestiti , ed anche le camicie .</t>
  </si>
  <si>
    <t>I like clothes , and shirts too .</t>
  </si>
  <si>
    <t>J' aime les vêtements , et aussi les chemises .</t>
  </si>
  <si>
    <t>Amo i vestiti , ed anche gli animali domestici .</t>
  </si>
  <si>
    <t>I like clothes , and pets too .</t>
  </si>
  <si>
    <t>J' aime les vêtements , et aussi les animaux de compagnie .</t>
  </si>
  <si>
    <t>Amo le camicie , ed anche i gioielli .</t>
  </si>
  <si>
    <t>I like shirts , and jewelry too .</t>
  </si>
  <si>
    <t>J' aime les chemises , et aussi les bijoux .</t>
  </si>
  <si>
    <t>Amo i gioielli , ed anche le camicie .</t>
  </si>
  <si>
    <t>I like jewelry , and shirts too .</t>
  </si>
  <si>
    <t>J' aime les bijoux , et aussi les chemises .</t>
  </si>
  <si>
    <t>Amo i vestiti , ed anche i gioielli .</t>
  </si>
  <si>
    <t>I like clothes , and jewelry too .</t>
  </si>
  <si>
    <t>J' aime les vêtements , et aussi les bijoux .</t>
  </si>
  <si>
    <t>Amo le camicie , ed anche gli occhiali .</t>
  </si>
  <si>
    <t>I like shirts , and glasses too .</t>
  </si>
  <si>
    <t>J' aime les chemises , et aussi les lunettes .</t>
  </si>
  <si>
    <t>Amo gli occhiali , ed anche le camicie .</t>
  </si>
  <si>
    <t>I like glasses , and shirts too .</t>
  </si>
  <si>
    <t>J' aime les lunettes , et aussi les chemises .</t>
  </si>
  <si>
    <t>Amo i vestiti , ed anche gli occhiali .</t>
  </si>
  <si>
    <t>I like clothes , and glasses too .</t>
  </si>
  <si>
    <t>J' aime les vêtements , et aussi les lunettes .</t>
  </si>
  <si>
    <t>Amo le camicie , ed anche gli orecchini .</t>
  </si>
  <si>
    <t>I like shirts , and earrings too .</t>
  </si>
  <si>
    <t>J' aime les chemises , et aussi les boucles d' oreille .</t>
  </si>
  <si>
    <t>Amo gli orecchini , ed anche le camicie .</t>
  </si>
  <si>
    <t>I like earrings , and shirts too .</t>
  </si>
  <si>
    <t>J' aime les boucles d' oreille , et aussi les chemises .</t>
  </si>
  <si>
    <t>Amo i vestiti , ed anche gli orecchini .</t>
  </si>
  <si>
    <t>I like clothes , and earrings too .</t>
  </si>
  <si>
    <t>J' aime les vêtements , et aussi les boucles d' oreille .</t>
  </si>
  <si>
    <t>Amo i pantaloni , ed anche gli animali domestici .</t>
  </si>
  <si>
    <t>I like trousers , and pets too .</t>
  </si>
  <si>
    <t>J' aime les pantalons , et aussi les animaux de compagnie .</t>
  </si>
  <si>
    <t>Amo gli animali domestici , ed anche i pantaloni .</t>
  </si>
  <si>
    <t>I like pets , and trousers too .</t>
  </si>
  <si>
    <t>J' aime les animaux de compagnie , et aussi les pantalons .</t>
  </si>
  <si>
    <t>Amo i pantaloni , ed anche i vestiti .</t>
  </si>
  <si>
    <t>I like trousers , and clothes too .</t>
  </si>
  <si>
    <t>J' aime les pantalons , et aussi les vêtements .</t>
  </si>
  <si>
    <t>Amo i vestiti , ed anche i pantaloni .</t>
  </si>
  <si>
    <t>I like clothes , and trousers too .</t>
  </si>
  <si>
    <t>J' aime les vêtements , et aussi les pantalons .</t>
  </si>
  <si>
    <t>Amo i pantaloni , ed anche i gioielli .</t>
  </si>
  <si>
    <t>I like trousers , and jewelry too .</t>
  </si>
  <si>
    <t>J' aime les pantalons , et aussi les bijoux .</t>
  </si>
  <si>
    <t>Amo i gioielli , ed anche i pantaloni .</t>
  </si>
  <si>
    <t>I like jewelry , and trousers too .</t>
  </si>
  <si>
    <t>J' aime les bijoux , et aussi les pantalons .</t>
  </si>
  <si>
    <t>Amo i pantaloni , ed anche gli occhiali .</t>
  </si>
  <si>
    <t>I like trousers , and glasses too .</t>
  </si>
  <si>
    <t>J' aime les pantalons , et aussi les lunettes .</t>
  </si>
  <si>
    <t>Amo gli occhiali , ed anche i pantaloni .</t>
  </si>
  <si>
    <t>I like glasses , and trousers too .</t>
  </si>
  <si>
    <t>J' aime les lunettes , et aussi les pantalons .</t>
  </si>
  <si>
    <t>Amo i pantaloni , ed anche gli orecchini .</t>
  </si>
  <si>
    <t>I like trousers , and earrings too .</t>
  </si>
  <si>
    <t>J' aime les pantalons , et aussi les boucles d' oreille .</t>
  </si>
  <si>
    <t>Amo gli orecchini , ed anche i pantaloni .</t>
  </si>
  <si>
    <t>I like earrings , and trousers too .</t>
  </si>
  <si>
    <t>J' aime les boucles d' oreille , et aussi les pantalons .</t>
  </si>
  <si>
    <t>Amo le calze , ed anche gli animali domestici .</t>
  </si>
  <si>
    <t>I like socks , and pets too .</t>
  </si>
  <si>
    <t>J' aime les chausettes , et aussi les animaux de compagnie .</t>
  </si>
  <si>
    <t>Amo gli animali domestici , ed anche le calze .</t>
  </si>
  <si>
    <t>I like pets , and socks too .</t>
  </si>
  <si>
    <t>J' aime les animaux de compagnie , et aussi les chausettes .</t>
  </si>
  <si>
    <t>Amo le calze , ed anche i vestiti .</t>
  </si>
  <si>
    <t>I like socks , and clothes too .</t>
  </si>
  <si>
    <t>J' aime les chausettes , et aussi les vêtements .</t>
  </si>
  <si>
    <t>Amo i vestiti , ed anche le calze .</t>
  </si>
  <si>
    <t>I like clothes , and socks too .</t>
  </si>
  <si>
    <t>J' aime les vêtements , et aussi les chausettes .</t>
  </si>
  <si>
    <t>Amo le calze , ed anche i gioielli .</t>
  </si>
  <si>
    <t>I like socks , and jewelry too .</t>
  </si>
  <si>
    <t>J' aime les chausettes , et aussi les bijoux .</t>
  </si>
  <si>
    <t>Amo i gioielli , ed anche le calze .</t>
  </si>
  <si>
    <t>I like jewelry , and socks too .</t>
  </si>
  <si>
    <t>J' aime les bijoux , et aussi les chausettes .</t>
  </si>
  <si>
    <t>Amo le calze , ed anche gli occhiali .</t>
  </si>
  <si>
    <t>I like socks , and glasses too .</t>
  </si>
  <si>
    <t>J' aime les chausettes , et aussi les lunettes .</t>
  </si>
  <si>
    <t>Amo gli occhiali , ed anche le calze .</t>
  </si>
  <si>
    <t>I like glasses , and socks too .</t>
  </si>
  <si>
    <t>J' aime les lunettes , et aussi les chausettes .</t>
  </si>
  <si>
    <t>Amo le calze , ed anche gli orecchini .</t>
  </si>
  <si>
    <t>I like socks , and earrings too .</t>
  </si>
  <si>
    <t>J' aime les chausettes , et aussi les boucles d' oreille .</t>
  </si>
  <si>
    <t>Amo gli orecchini , ed anche le calze .</t>
  </si>
  <si>
    <t>I like earrings , and socks too .</t>
  </si>
  <si>
    <t>J' aime les boucles d' oreille , et aussi les chausettes .</t>
  </si>
  <si>
    <t>Amo le gonne , ed anche gli animali domestici .</t>
  </si>
  <si>
    <t>I like skirts , and pets too .</t>
  </si>
  <si>
    <t>J' aime les jupes , et aussi les animaux de compagnie .</t>
  </si>
  <si>
    <t>Amo gli animali domestici , ed anche le gonne .</t>
  </si>
  <si>
    <t>I like pets , and skirts too .</t>
  </si>
  <si>
    <t>J' aime les animaux de compagnie , et aussi les jupes .</t>
  </si>
  <si>
    <t>Amo le gonne , ed anche i vestiti .</t>
  </si>
  <si>
    <t>I like skirts , and clothes too .</t>
  </si>
  <si>
    <t>J' aime les jupes , et aussi les vêtements .</t>
  </si>
  <si>
    <t>Amo i vestiti , ed anche le gonne .</t>
  </si>
  <si>
    <t>I like clothes , and skirts too .</t>
  </si>
  <si>
    <t>J' aime les vêtements , et aussi les jupes .</t>
  </si>
  <si>
    <t>Amo le gonne , ed anche i gioielli .</t>
  </si>
  <si>
    <t>I like skirts , and jewelry too .</t>
  </si>
  <si>
    <t>J' aime les jupes , et aussi les bijoux .</t>
  </si>
  <si>
    <t>Amo i gioielli , ed anche le gonne .</t>
  </si>
  <si>
    <t>I like jewelry , and skirts too .</t>
  </si>
  <si>
    <t>J' aime les bijoux , et aussi les jupes .</t>
  </si>
  <si>
    <t>Amo le gonne , ed anche gli occhiali .</t>
  </si>
  <si>
    <t>I like skirts , and glasses too .</t>
  </si>
  <si>
    <t>J' aime les jupes , et aussi les lunettes .</t>
  </si>
  <si>
    <t>Amo gli occhiali , ed anche le gonne .</t>
  </si>
  <si>
    <t>I like glasses , and skirts too .</t>
  </si>
  <si>
    <t>J' aime les lunettes , et aussi les jupes .</t>
  </si>
  <si>
    <t>Amo le gonne , ed anche gli orecchini .</t>
  </si>
  <si>
    <t>I like skirts , and earrings too .</t>
  </si>
  <si>
    <t>J' aime les jupes , et aussi les boucles d' oreille .</t>
  </si>
  <si>
    <t>Amo gli orecchini , ed anche le gonne .</t>
  </si>
  <si>
    <t>I like earrings , and skirts too .</t>
  </si>
  <si>
    <t>J' aime les boucles d' oreille , et aussi les jupes .</t>
  </si>
  <si>
    <t>Amo le querce , ed anche l' erba .</t>
  </si>
  <si>
    <t>I like oaks , and grass too .</t>
  </si>
  <si>
    <t>J' aime les chênes , et aussi la pelouse .</t>
  </si>
  <si>
    <t>Amo l' erba , ed anche le querce .</t>
  </si>
  <si>
    <t>I like grass , and oaks too .</t>
  </si>
  <si>
    <t>J' aime la pelouse , et aussi les chênes .</t>
  </si>
  <si>
    <t>Amo le querce , ed anche gli alberi .</t>
  </si>
  <si>
    <t>I like oaks , and trees too .</t>
  </si>
  <si>
    <t>J' aime les chênes , et aussi les arbres .</t>
  </si>
  <si>
    <t>Amo gli alberi , ed anche le querce .</t>
  </si>
  <si>
    <t>I like trees , and oaks too .</t>
  </si>
  <si>
    <t>J' aime les arbres , et aussi les chênes .</t>
  </si>
  <si>
    <t>Amo gli alberi , ed anche l' erba .</t>
  </si>
  <si>
    <t>I like trees , and grass too .</t>
  </si>
  <si>
    <t>J' aime les arbres , et aussi la pelouse .</t>
  </si>
  <si>
    <t>Amo le querce , ed anche gli animali .</t>
  </si>
  <si>
    <t>I like oaks , and animals too .</t>
  </si>
  <si>
    <t>J' aime les chênes , et aussi les animaux .</t>
  </si>
  <si>
    <t>Amo gli animali , ed anche le querce .</t>
  </si>
  <si>
    <t>I like animals , and oaks too .</t>
  </si>
  <si>
    <t>J' aime les animaux , et aussi les chênes .</t>
  </si>
  <si>
    <t>Amo gli alberi , ed anche gli animali .</t>
  </si>
  <si>
    <t>I like trees , and animals too .</t>
  </si>
  <si>
    <t>J' aime les arbres , et aussi les animaux .</t>
  </si>
  <si>
    <t>Amo le querce , ed anche i cespugli .</t>
  </si>
  <si>
    <t>I like oaks , and bushes too .</t>
  </si>
  <si>
    <t>J' aime les chênes , et aussi les buissons .</t>
  </si>
  <si>
    <t>Amo i cespugli , ed anche le querce .</t>
  </si>
  <si>
    <t>I like bushes , and oaks too .</t>
  </si>
  <si>
    <t>J' aime les buissons , et aussi les chênes .</t>
  </si>
  <si>
    <t>Amo gli alberi , ed anche i cespugli .</t>
  </si>
  <si>
    <t>I like trees , and bushes too .</t>
  </si>
  <si>
    <t>J' aime les arbres , et aussi les buissons .</t>
  </si>
  <si>
    <t>Amo le querce , ed anche gli arbusti .</t>
  </si>
  <si>
    <t>I like oaks , and shrubs too .</t>
  </si>
  <si>
    <t>J' aime les chênes , et aussi les arbustes .</t>
  </si>
  <si>
    <t>Amo gli arbusti , ed anche le querce .</t>
  </si>
  <si>
    <t>I like shrubs , and oaks too .</t>
  </si>
  <si>
    <t>J' aime les arbustes , et aussi les chênes .</t>
  </si>
  <si>
    <t>Amo gli alberi , ed anche gli arbusti .</t>
  </si>
  <si>
    <t>I like trees , and shrubs too .</t>
  </si>
  <si>
    <t>J' aime les arbres , et aussi les arbustes .</t>
  </si>
  <si>
    <t>Amo le betulle , ed anche l' erba .</t>
  </si>
  <si>
    <t>I like birches , and grass too .</t>
  </si>
  <si>
    <t>J' aime les bouleaux , et aussi la pelouse .</t>
  </si>
  <si>
    <t>Amo l' erba , ed anche le betulle .</t>
  </si>
  <si>
    <t>I like grass , and birches too .</t>
  </si>
  <si>
    <t>J' aime la pelouse , et aussi les bouleaux .</t>
  </si>
  <si>
    <t>Amo le betulle , ed anche gli alberi .</t>
  </si>
  <si>
    <t>I like birches , and trees too .</t>
  </si>
  <si>
    <t>J' aime les bouleaux , et aussi les arbres .</t>
  </si>
  <si>
    <t>Amo gli alberi , ed anche le betulle .</t>
  </si>
  <si>
    <t>I like trees , and birches too .</t>
  </si>
  <si>
    <t>J' aime les arbres , et aussi les bouleaux .</t>
  </si>
  <si>
    <t>Amo le betulle , ed anche gli animali .</t>
  </si>
  <si>
    <t>I like birches , and animals too .</t>
  </si>
  <si>
    <t>J' aime les bouleaux , et aussi les animaux .</t>
  </si>
  <si>
    <t>Amo gli animali , ed anche le betulle .</t>
  </si>
  <si>
    <t>I like animals , and birches too .</t>
  </si>
  <si>
    <t>J' aime les animaux , et aussi les bouleaux .</t>
  </si>
  <si>
    <t>Amo le betulle , ed anche i cespugli .</t>
  </si>
  <si>
    <t>I like birches , and bushes too .</t>
  </si>
  <si>
    <t>J' aime les bouleaux , et aussi les buissons .</t>
  </si>
  <si>
    <t>Amo i cespugli , ed anche le betulle .</t>
  </si>
  <si>
    <t>I like bushes , and birches too .</t>
  </si>
  <si>
    <t>J' aime les buissons , et aussi les bouleaux .</t>
  </si>
  <si>
    <t>Amo le betulle , ed anche gli arbusti .</t>
  </si>
  <si>
    <t>I like birches , and shrubs too .</t>
  </si>
  <si>
    <t>J' aime les bouleaux , et aussi les arbustes .</t>
  </si>
  <si>
    <t>Amo gli arbusti , ed anche le betulle .</t>
  </si>
  <si>
    <t>I like shrubs , and birches too .</t>
  </si>
  <si>
    <t>J' aime les arbustes , et aussi les bouleaux .</t>
  </si>
  <si>
    <t>Amo gli abeti , ed anche l' erba .</t>
  </si>
  <si>
    <t>I like firs , and grass too .</t>
  </si>
  <si>
    <t>J' aime les sapins , et aussi la pelouse .</t>
  </si>
  <si>
    <t>Amo l' erba , ed anche gli abeti .</t>
  </si>
  <si>
    <t>I like grass , and firs too .</t>
  </si>
  <si>
    <t>J' aime la pelouse , et aussi les sapins .</t>
  </si>
  <si>
    <t>Amo gli abeti , ed anche gli alberi .</t>
  </si>
  <si>
    <t>I like firs , and trees too .</t>
  </si>
  <si>
    <t>J' aime les sapins , et aussi les arbres .</t>
  </si>
  <si>
    <t>Amo gli alberi , ed anche gli abeti .</t>
  </si>
  <si>
    <t>I like trees , and firs too .</t>
  </si>
  <si>
    <t>J' aime les arbres , et aussi les sapins .</t>
  </si>
  <si>
    <t>Amo gli abeti , ed anche gli animali .</t>
  </si>
  <si>
    <t>I like firs , and animals too .</t>
  </si>
  <si>
    <t>J' aime les sapins , et aussi les animaux .</t>
  </si>
  <si>
    <t>Amo gli animali , ed anche gli abeti .</t>
  </si>
  <si>
    <t>I like animals , and firs too .</t>
  </si>
  <si>
    <t>J' aime les animaux , et aussi les sapins .</t>
  </si>
  <si>
    <t>Amo gli abeti , ed anche i cespugli .</t>
  </si>
  <si>
    <t>I like firs , and bushes too .</t>
  </si>
  <si>
    <t>J' aime les sapins , et aussi les buissons .</t>
  </si>
  <si>
    <t>Amo i cespugli , ed anche gli abeti .</t>
  </si>
  <si>
    <t>I like bushes , and firs too .</t>
  </si>
  <si>
    <t>J' aime les buissons , et aussi les sapins .</t>
  </si>
  <si>
    <t>Amo gli abeti , ed anche gli arbusti .</t>
  </si>
  <si>
    <t>I like firs , and shrubs too .</t>
  </si>
  <si>
    <t>J' aime les sapins , et aussi les arbustes .</t>
  </si>
  <si>
    <t>Amo gli arbusti , ed anche gli abeti .</t>
  </si>
  <si>
    <t>I like shrubs , and firs too .</t>
  </si>
  <si>
    <t>J' aime les arbustes , et aussi les sapins .</t>
  </si>
  <si>
    <t>Amo i pini , ed anche l' erba .</t>
  </si>
  <si>
    <t>I like pines , and grass too .</t>
  </si>
  <si>
    <t>J' aime les pins , et aussi la pelouse .</t>
  </si>
  <si>
    <t>Amo l' erba , ed anche i pini .</t>
  </si>
  <si>
    <t>I like grass , and pines too .</t>
  </si>
  <si>
    <t>J' aime la pelouse , et aussi les pins .</t>
  </si>
  <si>
    <t>Amo i pini , ed anche gli alberi .</t>
  </si>
  <si>
    <t>I like pines , and trees too .</t>
  </si>
  <si>
    <t>J' aime les pins , et aussi les arbres .</t>
  </si>
  <si>
    <t>Amo gli alberi , ed anche i pini .</t>
  </si>
  <si>
    <t>I like trees , and pines too .</t>
  </si>
  <si>
    <t>J' aime les arbres , et aussi les pins .</t>
  </si>
  <si>
    <t>Amo i pini , ed anche gli animali .</t>
  </si>
  <si>
    <t>I like pines , and animals too .</t>
  </si>
  <si>
    <t>J' aime les pins , et aussi les animaux .</t>
  </si>
  <si>
    <t>Amo gli animali , ed anche i pini .</t>
  </si>
  <si>
    <t>I like animals , and pines too .</t>
  </si>
  <si>
    <t>J' aime les animaux , et aussi les pins .</t>
  </si>
  <si>
    <t>Amo i pini , ed anche i cespugli .</t>
  </si>
  <si>
    <t>I like pines , and bushes too .</t>
  </si>
  <si>
    <t>J' aime les pins , et aussi les buissons .</t>
  </si>
  <si>
    <t>Amo i cespugli , ed anche i pini .</t>
  </si>
  <si>
    <t>I like bushes , and pines too .</t>
  </si>
  <si>
    <t>J' aime les buissons , et aussi les pins .</t>
  </si>
  <si>
    <t>Amo i pini , ed anche gli arbusti .</t>
  </si>
  <si>
    <t>I like pines , and shrubs too .</t>
  </si>
  <si>
    <t>J' aime les pins , et aussi les arbustes .</t>
  </si>
  <si>
    <t>Amo gli arbusti , ed anche i pini .</t>
  </si>
  <si>
    <t>I like shrubs , and pines too .</t>
  </si>
  <si>
    <t>J' aime les arbustes , et aussi les pins .</t>
  </si>
  <si>
    <t>Uso il poliestere , ed anche il legno .</t>
  </si>
  <si>
    <t>I use polyester , and wood too .</t>
  </si>
  <si>
    <t>J' utilise le polyester , et aussi le bois .</t>
  </si>
  <si>
    <t>Uso il legno , ed anche il poliestere .</t>
  </si>
  <si>
    <t>I use wood , and polyester too .</t>
  </si>
  <si>
    <t>J' utilise le bois , et aussi le polyester .</t>
  </si>
  <si>
    <t>Uso il poliestere , ed anche la plastica .</t>
  </si>
  <si>
    <t>I use polyester , and plastic too .</t>
  </si>
  <si>
    <t>J' utilise le polyester , et aussi le plastique .</t>
  </si>
  <si>
    <t>Uso la plastica , ed anche il poliestere .</t>
  </si>
  <si>
    <t>I use plastic , and polyester too .</t>
  </si>
  <si>
    <t>J' utilise le plastique , et aussi le polyester .</t>
  </si>
  <si>
    <t>Uso la plastica , ed anche il legno .</t>
  </si>
  <si>
    <t>I use plastic , and wood too .</t>
  </si>
  <si>
    <t>J' utilise le plastique , et aussi le bois .</t>
  </si>
  <si>
    <t>Uso il poliestere , ed anche il cotone .</t>
  </si>
  <si>
    <t>I use polyester , and cotton too .</t>
  </si>
  <si>
    <t>J' utilise le polyester , et aussi le coton .</t>
  </si>
  <si>
    <t>Uso il cotone , ed anche il poliestere .</t>
  </si>
  <si>
    <t>I use cotton , and polyester too .</t>
  </si>
  <si>
    <t>J' utilise le coton , et aussi le polyester .</t>
  </si>
  <si>
    <t>Uso la plastica , ed anche il cotone .</t>
  </si>
  <si>
    <t>I use plastic , and cotton too .</t>
  </si>
  <si>
    <t>J' utilise le plastique , et aussi le coton .</t>
  </si>
  <si>
    <t>Uso il poliestere , ed anche il vetro .</t>
  </si>
  <si>
    <t>I use polyester , and glass too .</t>
  </si>
  <si>
    <t>J' utilise le polyester , et aussi le verre .</t>
  </si>
  <si>
    <t>Uso il vetro , ed anche il poliestere .</t>
  </si>
  <si>
    <t>I use glass , and polyester too .</t>
  </si>
  <si>
    <t>J' utilise le verre , et aussi le polyester .</t>
  </si>
  <si>
    <t>Uso la plastica , ed anche il vetro .</t>
  </si>
  <si>
    <t>I use plastic , and glass too .</t>
  </si>
  <si>
    <t>J' utilise le plastique , et aussi le verre .</t>
  </si>
  <si>
    <t>Uso il poliestere , ed anche il cuoio .</t>
  </si>
  <si>
    <t>I use polyester , and leather too .</t>
  </si>
  <si>
    <t>J' utilise le polyester , et aussi le cuir .</t>
  </si>
  <si>
    <t>Uso il cuoio , ed anche il poliestere .</t>
  </si>
  <si>
    <t>I use leather , and polyester too .</t>
  </si>
  <si>
    <t>J' utilise le cuir , et aussi le polyester .</t>
  </si>
  <si>
    <t>Uso la plastica , ed anche il cuoio .</t>
  </si>
  <si>
    <t>I use plastic , and leather too .</t>
  </si>
  <si>
    <t>J' utilise le plastique , et aussi le cuir .</t>
  </si>
  <si>
    <t>Uso il nylon , ed anche il legno .</t>
  </si>
  <si>
    <t>I use nylon , and wood too .</t>
  </si>
  <si>
    <t>J' utilise le nylon , et aussi le bois .</t>
  </si>
  <si>
    <t>Uso il legno , ed anche il nylon .</t>
  </si>
  <si>
    <t>I use wood , and nylon too .</t>
  </si>
  <si>
    <t>J' utilise le bois , et aussi le nylon .</t>
  </si>
  <si>
    <t>Uso il nylon , ed anche la plastica .</t>
  </si>
  <si>
    <t>I use nylon , and plastic too .</t>
  </si>
  <si>
    <t>J' utilise le nylon , et aussi le plastique .</t>
  </si>
  <si>
    <t>Uso la plastica , ed anche il nylon .</t>
  </si>
  <si>
    <t>I use plastic , and nylon too .</t>
  </si>
  <si>
    <t>J' utilise le plastique , et aussi le nylon .</t>
  </si>
  <si>
    <t>Uso il nylon , ed anche il cotone .</t>
  </si>
  <si>
    <t>I use nylon , and cotton too .</t>
  </si>
  <si>
    <t>J' utilise le nylon , et aussi le coton .</t>
  </si>
  <si>
    <t>Uso il cotone , ed anche il nylon .</t>
  </si>
  <si>
    <t>I use cotton , and nylon too .</t>
  </si>
  <si>
    <t>J' utilise le coton , et aussi le nylon .</t>
  </si>
  <si>
    <t>Uso il nylon , ed anche il vetro .</t>
  </si>
  <si>
    <t>I use nylon , and glass too .</t>
  </si>
  <si>
    <t>J' utilise le nylon , et aussi le verre .</t>
  </si>
  <si>
    <t>Uso il vetro , ed anche il nylon .</t>
  </si>
  <si>
    <t>I use glass , and nylon too .</t>
  </si>
  <si>
    <t>J' utilise le verre , et aussi le nylon .</t>
  </si>
  <si>
    <t>Uso il nylon , ed anche il cuoio .</t>
  </si>
  <si>
    <t>I use nylon , and leather too .</t>
  </si>
  <si>
    <t>J' utilise le nylon , et aussi le cuir .</t>
  </si>
  <si>
    <t>Uso il cuoio , ed anche il nylon .</t>
  </si>
  <si>
    <t>I use leather , and nylon too .</t>
  </si>
  <si>
    <t>J' utilise le cuir , et aussi le nylon .</t>
  </si>
  <si>
    <t>Uso il vinile , ed anche il legno .</t>
  </si>
  <si>
    <t>I use vinyl , and wood too .</t>
  </si>
  <si>
    <t>J' utilise le vinyle , et aussi le bois .</t>
  </si>
  <si>
    <t>Uso il legno , ed anche il vinile .</t>
  </si>
  <si>
    <t>I use wood , and vinyl too .</t>
  </si>
  <si>
    <t>J' utilise le bois , et aussi le vinyle .</t>
  </si>
  <si>
    <t>Uso il vinile , ed anche la plastica .</t>
  </si>
  <si>
    <t>I use vinyl , and plastic too .</t>
  </si>
  <si>
    <t>J' utilise le vinyle , et aussi le plastique .</t>
  </si>
  <si>
    <t>Uso la plastica , ed anche il vinile .</t>
  </si>
  <si>
    <t>I use plastic , and vinyl too .</t>
  </si>
  <si>
    <t>J' utilise le plastique , et aussi le vinyle .</t>
  </si>
  <si>
    <t>Uso il vinile , ed anche il cotone .</t>
  </si>
  <si>
    <t>I use vinyl , and cotton too .</t>
  </si>
  <si>
    <t>J' utilise le vinyle , et aussi le coton .</t>
  </si>
  <si>
    <t>Uso il cotone , ed anche il vinile .</t>
  </si>
  <si>
    <t>I use cotton , and vinyl too .</t>
  </si>
  <si>
    <t>J' utilise le coton , et aussi le vinyle .</t>
  </si>
  <si>
    <t>Uso il vinile , ed anche il vetro .</t>
  </si>
  <si>
    <t>I use vinyl , and glass too .</t>
  </si>
  <si>
    <t>J' utilise le vinyle , et aussi le verre .</t>
  </si>
  <si>
    <t>Uso il vetro , ed anche il vinile .</t>
  </si>
  <si>
    <t>I use glass , and vinyl too .</t>
  </si>
  <si>
    <t>J' utilise le verre , et aussi le vinyle .</t>
  </si>
  <si>
    <t>Uso il vinile , ed anche il cuoio .</t>
  </si>
  <si>
    <t>I use vinyl , and leather too .</t>
  </si>
  <si>
    <t>J' utilise le vinyle , et aussi le cuir .</t>
  </si>
  <si>
    <t>Uso il cuoio , ed anche il vinile .</t>
  </si>
  <si>
    <t>I use leather , and vinyl too .</t>
  </si>
  <si>
    <t>J' utilise le cuir , et aussi le vinyle .</t>
  </si>
  <si>
    <t>Uso il PVC , ed anche il legno .</t>
  </si>
  <si>
    <t>I use PVC , and wood too .</t>
  </si>
  <si>
    <t>J' utilise le PVC , et aussi le bois .</t>
  </si>
  <si>
    <t>Uso il legno , ed anche il PVC .</t>
  </si>
  <si>
    <t>I use wood , and PVC too .</t>
  </si>
  <si>
    <t>J' utilise le bois , et aussi le PVC .</t>
  </si>
  <si>
    <t>Uso il PVC , ed anche la plastica .</t>
  </si>
  <si>
    <t>I use PVC , and plastic too .</t>
  </si>
  <si>
    <t>J' utilise le PVC , et aussi le plastique .</t>
  </si>
  <si>
    <t>Uso la plastica , ed anche il PVC .</t>
  </si>
  <si>
    <t>I use plastic , and PVC too .</t>
  </si>
  <si>
    <t>J' utilise le plastique , et aussi le PVC .</t>
  </si>
  <si>
    <t>Uso il PVC , ed anche il cotone .</t>
  </si>
  <si>
    <t>I use PVC , and cotton too .</t>
  </si>
  <si>
    <t>J' utilise le PVC , et aussi le coton .</t>
  </si>
  <si>
    <t>Uso il cotone , ed anche il PVC .</t>
  </si>
  <si>
    <t>I use cotton , and PVC too .</t>
  </si>
  <si>
    <t>J' utilise le coton , et aussi le PVC .</t>
  </si>
  <si>
    <t>Uso il PVC , ed anche il vetro .</t>
  </si>
  <si>
    <t>I use PVC , and glass too .</t>
  </si>
  <si>
    <t>J' utilise le PVC , et aussi le verre .</t>
  </si>
  <si>
    <t>Uso il vetro , ed anche il PVC .</t>
  </si>
  <si>
    <t>I use glass , and PVC too .</t>
  </si>
  <si>
    <t>J' utilise le verre , et aussi le PVC .</t>
  </si>
  <si>
    <t>Uso il PVC , ed anche il cuoio .</t>
  </si>
  <si>
    <t>I use PVC , and leather too .</t>
  </si>
  <si>
    <t>J' utilise le PVC , et aussi le cuir .</t>
  </si>
  <si>
    <t>Uso il cuoio , ed anche il PVC .</t>
  </si>
  <si>
    <t>I use leather , and PVC too .</t>
  </si>
  <si>
    <t>J' utilise le cuir , et aussi le PVC .</t>
  </si>
  <si>
    <t>Apprezzo le sedie , ed anche le posate .</t>
  </si>
  <si>
    <t>I like chairs , and cutlery too .</t>
  </si>
  <si>
    <t>J' apprécie les chaises , et aussi les couverts .</t>
  </si>
  <si>
    <t>Apprezzo le posate , ed anche le sedie .</t>
  </si>
  <si>
    <t>I like cutlery , and chairs too .</t>
  </si>
  <si>
    <t>J' apprécie les couverts , et aussi les chaises .</t>
  </si>
  <si>
    <t>Apprezzo le sedie , ed anche i mobili .</t>
  </si>
  <si>
    <t>I like chairs , and furniture too .</t>
  </si>
  <si>
    <t>J' apprécie les chaises , et aussi les meubles .</t>
  </si>
  <si>
    <t>Apprezzo i mobili , ed anche le sedie .</t>
  </si>
  <si>
    <t>I like furniture , and chairs too .</t>
  </si>
  <si>
    <t>J' apprécie les meubles , et aussi les chaises .</t>
  </si>
  <si>
    <t>Apprezzo i mobili , ed anche le posate .</t>
  </si>
  <si>
    <t>I like furniture , and cutlery too .</t>
  </si>
  <si>
    <t>J' apprécie les meubles , et aussi les couverts .</t>
  </si>
  <si>
    <t>Apprezzo le sedie , ed anche i dipinti .</t>
  </si>
  <si>
    <t>I like chairs , and paintings too .</t>
  </si>
  <si>
    <t>J' apprécie les chaises , et aussi les peintures .</t>
  </si>
  <si>
    <t>Apprezzo i dipinti , ed anche le sedie .</t>
  </si>
  <si>
    <t>I like paintings , and chairs too .</t>
  </si>
  <si>
    <t>J' apprécie les peintures , et aussi les chaises .</t>
  </si>
  <si>
    <t>Apprezzo i mobili , ed anche i dipinti .</t>
  </si>
  <si>
    <t>I like furniture , and paintings too .</t>
  </si>
  <si>
    <t>J' apprécie les meubles , et aussi les peintures .</t>
  </si>
  <si>
    <t>Apprezzo le sedie , ed anche la carta da parati .</t>
  </si>
  <si>
    <t>I like chairs , and wallpaper too .</t>
  </si>
  <si>
    <t>J' apprécie les chaises , et aussi le papier peint .</t>
  </si>
  <si>
    <t>Apprezzo la carta da parati , ed anche le sedie .</t>
  </si>
  <si>
    <t>I like wallpaper , and chairs too .</t>
  </si>
  <si>
    <t>J' apprécie le papier peint , et aussi les chaises .</t>
  </si>
  <si>
    <t>Apprezzo i mobili , ed anche la carta da parati .</t>
  </si>
  <si>
    <t>I like furniture , and wallpaper too .</t>
  </si>
  <si>
    <t>J' apprécie les meubles , et aussi le papier peint .</t>
  </si>
  <si>
    <t>Apprezzo le sedie , ed anche il parquet .</t>
  </si>
  <si>
    <t>I like chairs , and parquet too .</t>
  </si>
  <si>
    <t>J' apprécie les chaises , et aussi le parquet .</t>
  </si>
  <si>
    <t>Apprezzo il parquet , ed anche le sedie .</t>
  </si>
  <si>
    <t>I like parquet , and chairs too .</t>
  </si>
  <si>
    <t>J' apprécie le parquet , et aussi les chaises .</t>
  </si>
  <si>
    <t>Apprezzo i mobili , ed anche il parquet .</t>
  </si>
  <si>
    <t>I like furniture , and parquet too .</t>
  </si>
  <si>
    <t>J' apprécie les meubles , et aussi le parquet .</t>
  </si>
  <si>
    <t>Apprezzo i tavoli , ed anche le posate .</t>
  </si>
  <si>
    <t>I like tables , and cutlery too .</t>
  </si>
  <si>
    <t>J' apprécie les tables , et aussi les couverts .</t>
  </si>
  <si>
    <t>Apprezzo le posate , ed anche i tavoli .</t>
  </si>
  <si>
    <t>I like cutlery , and tables too .</t>
  </si>
  <si>
    <t>J' apprécie les couverts , et aussi les tables .</t>
  </si>
  <si>
    <t>Apprezzo i tavoli , ed anche i mobili .</t>
  </si>
  <si>
    <t>I like tables , and furniture too .</t>
  </si>
  <si>
    <t>J' apprécie les tables , et aussi les meubles .</t>
  </si>
  <si>
    <t>Apprezzo i mobili , ed anche i tavoli .</t>
  </si>
  <si>
    <t>I like furniture , and tables too .</t>
  </si>
  <si>
    <t>J' apprécie les meubles , et aussi les tables .</t>
  </si>
  <si>
    <t>Apprezzo i tavoli , ed anche i dipinti .</t>
  </si>
  <si>
    <t>I like tables , and paintings too .</t>
  </si>
  <si>
    <t>J' apprécie les tables , et aussi les peintures .</t>
  </si>
  <si>
    <t>Apprezzo i dipinti , ed anche i tavoli .</t>
  </si>
  <si>
    <t>I like paintings , and tables too .</t>
  </si>
  <si>
    <t>J' apprécie les peintures , et aussi les tables .</t>
  </si>
  <si>
    <t>Apprezzo i tavoli , ed anche la carta da parati .</t>
  </si>
  <si>
    <t>I like tables , and wallpaper too .</t>
  </si>
  <si>
    <t>J' apprécie les tables , et aussi le papier peint .</t>
  </si>
  <si>
    <t>Apprezzo la carta da parati , ed anche i tavoli .</t>
  </si>
  <si>
    <t>I like wallpaper , and tables too .</t>
  </si>
  <si>
    <t>J' apprécie le papier peint , et aussi les tables .</t>
  </si>
  <si>
    <t>Apprezzo i tavoli , ed anche il parquet .</t>
  </si>
  <si>
    <t>I like tables , and parquet too .</t>
  </si>
  <si>
    <t>J' apprécie les tables , et aussi le parquet .</t>
  </si>
  <si>
    <t>Apprezzo il parquet , ed anche i tavoli .</t>
  </si>
  <si>
    <t>I like parquet , and tables too .</t>
  </si>
  <si>
    <t>J' apprécie le parquet , et aussi les tables .</t>
  </si>
  <si>
    <t>Apprezzo i guardaroba , ed anche le posate .</t>
  </si>
  <si>
    <t>I like wardrobes , and cutlery too .</t>
  </si>
  <si>
    <t>J' apprécie les armoires , et aussi les couverts .</t>
  </si>
  <si>
    <t>Apprezzo le posate , ed anche i guardaroba .</t>
  </si>
  <si>
    <t>I like cutlery , and wardrobes too .</t>
  </si>
  <si>
    <t>J' apprécie les couverts , et aussi les armoires .</t>
  </si>
  <si>
    <t>Apprezzo i guardaroba , ed anche i mobili .</t>
  </si>
  <si>
    <t>I like wardrobes , and furniture too .</t>
  </si>
  <si>
    <t>J' apprécie les armoires , et aussi les meubles .</t>
  </si>
  <si>
    <t>Apprezzo i mobili , ed anche i guardaroba .</t>
  </si>
  <si>
    <t>I like furniture , and wardrobes too .</t>
  </si>
  <si>
    <t>J' apprécie les meubles , et aussi les armoires .</t>
  </si>
  <si>
    <t>Apprezzo i guardaroba , ed anche i dipinti .</t>
  </si>
  <si>
    <t>I like wardrobes , and paintings too .</t>
  </si>
  <si>
    <t>J' apprécie les armoires , et aussi les peintures .</t>
  </si>
  <si>
    <t>Apprezzo i dipinti , ed anche i guardaroba .</t>
  </si>
  <si>
    <t>I like paintings , and wardrobes too .</t>
  </si>
  <si>
    <t>J' apprécie les peintures , et aussi les armoires .</t>
  </si>
  <si>
    <t>Apprezzo i guardaroba , ed anche la carta da parati .</t>
  </si>
  <si>
    <t>I like wardrobes , and wallpaper too .</t>
  </si>
  <si>
    <t>J' apprécie les armoires , et aussi le papier peint .</t>
  </si>
  <si>
    <t>Apprezzo la carta da parati , ed anche i guardaroba .</t>
  </si>
  <si>
    <t>I like wallpaper , and wardrobes too .</t>
  </si>
  <si>
    <t>J' apprécie le papier peint , et aussi les armoires .</t>
  </si>
  <si>
    <t>Apprezzo i guardaroba , ed anche il parquet .</t>
  </si>
  <si>
    <t>I like wardrobes , and parquet too .</t>
  </si>
  <si>
    <t>J' apprécie les armoires , et aussi le parquet .</t>
  </si>
  <si>
    <t>Apprezzo il parquet , ed anche i guardaroba .</t>
  </si>
  <si>
    <t>I like parquet , and wardrobes too .</t>
  </si>
  <si>
    <t>J' apprécie le parquet , et aussi les armoires .</t>
  </si>
  <si>
    <t>Apprezzo i letti , ed anche le posate .</t>
  </si>
  <si>
    <t>I like beds , and cutlery too .</t>
  </si>
  <si>
    <t>J' apprécie les lits , et aussi les couverts .</t>
  </si>
  <si>
    <t>Apprezzo le posate , ed anche i letti .</t>
  </si>
  <si>
    <t>I like cutlery , and beds too .</t>
  </si>
  <si>
    <t>J' apprécie les couverts , et aussi les lits .</t>
  </si>
  <si>
    <t>Apprezzo i letti , ed anche i mobili .</t>
  </si>
  <si>
    <t>I like beds , and furniture too .</t>
  </si>
  <si>
    <t>J' apprécie les lits , et aussi les meubles .</t>
  </si>
  <si>
    <t>Apprezzo i mobili , ed anche i letti .</t>
  </si>
  <si>
    <t>I like furniture , and beds too .</t>
  </si>
  <si>
    <t>J' apprécie les meubles , et aussi les lits .</t>
  </si>
  <si>
    <t>Apprezzo i letti , ed anche i dipinti .</t>
  </si>
  <si>
    <t>I like beds , and paintings too .</t>
  </si>
  <si>
    <t>J' apprécie les lits , et aussi les peintures .</t>
  </si>
  <si>
    <t>Apprezzo i dipinti , ed anche i letti .</t>
  </si>
  <si>
    <t>I like paintings , and beds too .</t>
  </si>
  <si>
    <t>J' apprécie les peintures , et aussi les lits .</t>
  </si>
  <si>
    <t>Apprezzo i letti , ed anche la carta da parati .</t>
  </si>
  <si>
    <t>I like beds , and wallpaper too .</t>
  </si>
  <si>
    <t>J' apprécie les lits , et aussi le papier peint .</t>
  </si>
  <si>
    <t>Apprezzo la carta da parati , ed anche i letti .</t>
  </si>
  <si>
    <t>I like wallpaper , and beds too .</t>
  </si>
  <si>
    <t>J' apprécie le papier peint , et aussi les lits .</t>
  </si>
  <si>
    <t>Apprezzo i letti , ed anche il parquet .</t>
  </si>
  <si>
    <t>I like beds , and parquet too .</t>
  </si>
  <si>
    <t>J' apprécie les lits , et aussi le parquet .</t>
  </si>
  <si>
    <t>Apprezzo il parquet , ed anche i letti .</t>
  </si>
  <si>
    <t>I like parquet , and beds too .</t>
  </si>
  <si>
    <t>J' apprécie le parquet , et aussi les lits .</t>
  </si>
  <si>
    <t>Apprezzo il Merlot , ed anche la coca cola .</t>
  </si>
  <si>
    <t>I like Merlot , and coca-cola too .</t>
  </si>
  <si>
    <t>J' apprécie le Merlot , et aussi le coca cola .</t>
  </si>
  <si>
    <t>Apprezzo la coca cola , ed anche il Merlot .</t>
  </si>
  <si>
    <t>I like coca-cola , and Merlot too .</t>
  </si>
  <si>
    <t>J' apprécie le coca cola , et aussi le Merlot .</t>
  </si>
  <si>
    <t>Apprezzo il Merlot , ed anche il vino .</t>
  </si>
  <si>
    <t>I like Merlot , and wine too .</t>
  </si>
  <si>
    <t>J' apprécie le Merlot , et aussi le vin .</t>
  </si>
  <si>
    <t>Apprezzo il vino , ed anche il Merlot .</t>
  </si>
  <si>
    <t>I like wine , and Merlot too .</t>
  </si>
  <si>
    <t>J' apprécie le vin , et aussi le Merlot .</t>
  </si>
  <si>
    <t>Apprezzo il vino , ed anche la coca cola .</t>
  </si>
  <si>
    <t>I like wine , and coca-cola too .</t>
  </si>
  <si>
    <t>J' apprécie le vin , et aussi le coca cola .</t>
  </si>
  <si>
    <t>Apprezzo il Merlot , ed anche l' acqua .</t>
  </si>
  <si>
    <t>I like Merlot , and water too .</t>
  </si>
  <si>
    <t>J' apprécie le Merlot , et aussi l' eau .</t>
  </si>
  <si>
    <t>Apprezzo l' acqua , ed anche il Merlot .</t>
  </si>
  <si>
    <t>I like water , and Merlot too .</t>
  </si>
  <si>
    <t>J' apprécie l' eau , et aussi le Merlot .</t>
  </si>
  <si>
    <t>Apprezzo il vino , ed anche l' acqua .</t>
  </si>
  <si>
    <t>I like wine , and water too .</t>
  </si>
  <si>
    <t>J' apprécie le vin , et aussi l' eau .</t>
  </si>
  <si>
    <t>Apprezzo il Merlot , ed anche la sprite .</t>
  </si>
  <si>
    <t>I like Merlot , and sprite too .</t>
  </si>
  <si>
    <t>J' apprécie le Merlot , et aussi la sprite .</t>
  </si>
  <si>
    <t>Apprezzo la sprite , ed anche il Merlot .</t>
  </si>
  <si>
    <t>I like sprite , and Merlot too .</t>
  </si>
  <si>
    <t>J' apprécie la sprite , et aussi le Merlot .</t>
  </si>
  <si>
    <t>Apprezzo il vino , ed anche la sprite .</t>
  </si>
  <si>
    <t>I like wine , and sprite too .</t>
  </si>
  <si>
    <t>J' apprécie le vin , et aussi la sprite .</t>
  </si>
  <si>
    <t>Apprezzo il Merlot , ed anche la birra .</t>
  </si>
  <si>
    <t>I like Merlot , and beer too .</t>
  </si>
  <si>
    <t>J' apprécie le Merlot , et aussi la bière .</t>
  </si>
  <si>
    <t>Apprezzo la birra , ed anche il Merlot .</t>
  </si>
  <si>
    <t>I like beer , and Merlot too .</t>
  </si>
  <si>
    <t>J' apprécie la bière , et aussi le Merlot .</t>
  </si>
  <si>
    <t>Apprezzo il vino , ed anche la birra .</t>
  </si>
  <si>
    <t>I like wine , and beer too .</t>
  </si>
  <si>
    <t>J' apprécie le vin , et aussi la bière .</t>
  </si>
  <si>
    <t>Apprezzo lo Chardonnay , ed anche la coca cola .</t>
  </si>
  <si>
    <t>I like Chardonnay , and coca-cola too .</t>
  </si>
  <si>
    <t>J' apprécie le Chardonnay , et aussi le coca cola .</t>
  </si>
  <si>
    <t>Apprezzo la coca cola , ed anche lo Chardonnay .</t>
  </si>
  <si>
    <t>I like coca-cola , and Chardonnay too .</t>
  </si>
  <si>
    <t>J' apprécie le coca cola , et aussi le Chardonnay .</t>
  </si>
  <si>
    <t>Apprezzo lo Chardonnay , ed anche il vino .</t>
  </si>
  <si>
    <t>I like Chardonnay , and wine too .</t>
  </si>
  <si>
    <t>J' apprécie le Chardonnay , et aussi le vin .</t>
  </si>
  <si>
    <t>Apprezzo il vino , ed anche lo Chardonnay .</t>
  </si>
  <si>
    <t>I like wine , and Chardonnay too .</t>
  </si>
  <si>
    <t>J' apprécie le vin , et aussi le Chardonnay .</t>
  </si>
  <si>
    <t>Apprezzo lo Chardonnay , ed anche l' acqua .</t>
  </si>
  <si>
    <t>I like Chardonnay , and water too .</t>
  </si>
  <si>
    <t>J' apprécie le Chardonnay , et aussi l' eau .</t>
  </si>
  <si>
    <t>Apprezzo l' acqua , ed anche lo Chardonnay .</t>
  </si>
  <si>
    <t>I like water , and Chardonnay too .</t>
  </si>
  <si>
    <t>J' apprécie l' eau , et aussi le Chardonnay .</t>
  </si>
  <si>
    <t>Apprezzo lo Chardonnay , ed anche la sprite .</t>
  </si>
  <si>
    <t>I like Chardonnay , and sprite too .</t>
  </si>
  <si>
    <t>J' apprécie le Chardonnay , et aussi la sprite .</t>
  </si>
  <si>
    <t>Apprezzo la sprite , ed anche lo Chardonnay .</t>
  </si>
  <si>
    <t>I like sprite , and Chardonnay too .</t>
  </si>
  <si>
    <t>J' apprécie la sprite , et aussi le Chardonnay .</t>
  </si>
  <si>
    <t>Apprezzo lo Chardonnay , ed anche la birra .</t>
  </si>
  <si>
    <t>I like Chardonnay , and beer too .</t>
  </si>
  <si>
    <t>J' apprécie le Chardonnay , et aussi la bière .</t>
  </si>
  <si>
    <t>Apprezzo la birra , ed anche lo Chardonnay .</t>
  </si>
  <si>
    <t>I like beer , and Chardonnay too .</t>
  </si>
  <si>
    <t>J' apprécie la bière , et aussi le Chardonnay .</t>
  </si>
  <si>
    <t>Apprezzo il Chianti , ed anche la coca cola .</t>
  </si>
  <si>
    <t>I like Chianti , and coca-cola too .</t>
  </si>
  <si>
    <t>J' apprécie le Chianti , et aussi le coca cola .</t>
  </si>
  <si>
    <t>Apprezzo la coca cola , ed anche il Chianti .</t>
  </si>
  <si>
    <t>I like coca-cola , and Chianti too .</t>
  </si>
  <si>
    <t>J' apprécie le coca cola , et aussi le Chianti .</t>
  </si>
  <si>
    <t>Apprezzo il Chianti , ed anche il vino .</t>
  </si>
  <si>
    <t>I like Chianti , and wine too .</t>
  </si>
  <si>
    <t>J' apprécie le Chianti , et aussi le vin .</t>
  </si>
  <si>
    <t>Apprezzo il vino , ed anche il Chianti .</t>
  </si>
  <si>
    <t>I like wine , and Chianti too .</t>
  </si>
  <si>
    <t>J' apprécie le vin , et aussi le Chianti .</t>
  </si>
  <si>
    <t>Apprezzo il Chianti , ed anche l' acqua .</t>
  </si>
  <si>
    <t>I like Chianti , and water too .</t>
  </si>
  <si>
    <t>J' apprécie le Chianti , et aussi l' eau .</t>
  </si>
  <si>
    <t>Apprezzo l' acqua , ed anche il Chianti .</t>
  </si>
  <si>
    <t>I like water , and Chianti too .</t>
  </si>
  <si>
    <t>J' apprécie l' eau , et aussi le Chianti .</t>
  </si>
  <si>
    <t>Apprezzo il Chianti , ed anche la sprite .</t>
  </si>
  <si>
    <t>I like Chianti , and sprite too .</t>
  </si>
  <si>
    <t>J' apprécie le Chianti , et aussi la sprite .</t>
  </si>
  <si>
    <t>Apprezzo la sprite , ed anche il Chianti .</t>
  </si>
  <si>
    <t>I like sprite , and Chianti too .</t>
  </si>
  <si>
    <t>J' apprécie la sprite , et aussi le Chianti .</t>
  </si>
  <si>
    <t>Apprezzo il Chianti , ed anche la birra .</t>
  </si>
  <si>
    <t>I like Chianti , and beer too .</t>
  </si>
  <si>
    <t>J' apprécie le Chianti , et aussi la bière .</t>
  </si>
  <si>
    <t>Apprezzo la birra , ed anche il Chianti .</t>
  </si>
  <si>
    <t>I like beer , and Chianti too .</t>
  </si>
  <si>
    <t>J' apprécie la bière , et aussi le Chianti .</t>
  </si>
  <si>
    <t>Apprezzo il Primitivo , ed anche la coca cola .</t>
  </si>
  <si>
    <t>I like Zinfandel , and coca-cola too .</t>
  </si>
  <si>
    <t>J' apprécie le Cabernet Sauvignon , et aussi le coca cola .</t>
  </si>
  <si>
    <t>Apprezzo la coca cola , ed anche il Primitivo .</t>
  </si>
  <si>
    <t>I like coca-cola , and Zinfandel too .</t>
  </si>
  <si>
    <t>J' apprécie le coca cola , et aussi le Cabernet Sauvignon .</t>
  </si>
  <si>
    <t>Apprezzo il Primitivo , ed anche il vino .</t>
  </si>
  <si>
    <t>I like Zinfandel , and wine too .</t>
  </si>
  <si>
    <t>J' apprécie le Cabernet Sauvignon , et aussi le vin .</t>
  </si>
  <si>
    <t>Apprezzo il vino , ed anche il Primitivo .</t>
  </si>
  <si>
    <t>I like wine , and Zinfandel too .</t>
  </si>
  <si>
    <t>J' apprécie le vin , et aussi le Cabernet Sauvignon .</t>
  </si>
  <si>
    <t>Apprezzo il Primitivo , ed anche l' acqua .</t>
  </si>
  <si>
    <t>I like Zinfandel , and water too .</t>
  </si>
  <si>
    <t>J' apprécie le Cabernet Sauvignon , et aussi l' eau .</t>
  </si>
  <si>
    <t>Apprezzo l' acqua , ed anche il Primitivo .</t>
  </si>
  <si>
    <t>I like water , and Zinfandel too .</t>
  </si>
  <si>
    <t>J' apprécie l' eau , et aussi le Cabernet Sauvignon .</t>
  </si>
  <si>
    <t>Apprezzo il Primitivo , ed anche la sprite .</t>
  </si>
  <si>
    <t>I like Zinfandel , and sprite too .</t>
  </si>
  <si>
    <t>J' apprécie le Cabernet Sauvignon , et aussi la sprite .</t>
  </si>
  <si>
    <t>Apprezzo la sprite , ed anche il Primitivo .</t>
  </si>
  <si>
    <t>I like sprite , and Zinfandel too .</t>
  </si>
  <si>
    <t>J' apprécie la sprite , et aussi le Cabernet Sauvignon .</t>
  </si>
  <si>
    <t>Apprezzo il Primitivo , ed anche la birra .</t>
  </si>
  <si>
    <t>I like Zinfandel , and beer too .</t>
  </si>
  <si>
    <t>J' apprécie le Cabernet Sauvignon , et aussi la bière .</t>
  </si>
  <si>
    <t>Apprezzo la birra , ed anche il Primitivo .</t>
  </si>
  <si>
    <t>I like beer , and Zinfandel too .</t>
  </si>
  <si>
    <t>J' apprécie la bière , et aussi le Cabernet Sauvignon .</t>
  </si>
  <si>
    <t>Apprezzo il rock , ed anche gli sport .</t>
  </si>
  <si>
    <t>I like rock , and sports too .</t>
  </si>
  <si>
    <t>J' apprécie le rock , et aussi les sports .</t>
  </si>
  <si>
    <t>Apprezzo gli sport , ed anche il rock .</t>
  </si>
  <si>
    <t>I like sports , and rock too .</t>
  </si>
  <si>
    <t>J' apprécie les sports , et aussi le rock .</t>
  </si>
  <si>
    <t>Apprezzo il rock , ed anche la musica .</t>
  </si>
  <si>
    <t>I like rock , and music too .</t>
  </si>
  <si>
    <t>J' apprécie le rock , et aussi la musique .</t>
  </si>
  <si>
    <t>Apprezzo la musica , ed anche il rock .</t>
  </si>
  <si>
    <t>I like music , and rock too .</t>
  </si>
  <si>
    <t>J' apprécie la musique , et aussi le rock .</t>
  </si>
  <si>
    <t>Apprezzo la musica , ed anche gli sport .</t>
  </si>
  <si>
    <t>I like music , and sports too .</t>
  </si>
  <si>
    <t>J' apprécie la musique , et aussi les sports .</t>
  </si>
  <si>
    <t>Apprezzo il rock , ed anche i giochi da tavolo .</t>
  </si>
  <si>
    <t>I like rock , and boardgames too .</t>
  </si>
  <si>
    <t>J' apprécie le rock , et aussi les jeux de société .</t>
  </si>
  <si>
    <t>Apprezzo i giochi da tavolo , ed anche il rock .</t>
  </si>
  <si>
    <t>I like boardgames , and rock too .</t>
  </si>
  <si>
    <t>J' apprécie les jeux de société , et aussi le rock .</t>
  </si>
  <si>
    <t>Apprezzo la musica , ed anche i giochi da tavolo .</t>
  </si>
  <si>
    <t>I like music , and boardgames too .</t>
  </si>
  <si>
    <t>J' apprécie la musique , et aussi les jeux de société .</t>
  </si>
  <si>
    <t>Apprezzo il rock , ed anche il cibo .</t>
  </si>
  <si>
    <t>I like rock , and food too .</t>
  </si>
  <si>
    <t>J' apprécie le rock , et aussi les aliments .</t>
  </si>
  <si>
    <t>Apprezzo il cibo , ed anche il rock .</t>
  </si>
  <si>
    <t>I like food , and rock too .</t>
  </si>
  <si>
    <t>J' apprécie les aliments , et aussi le rock .</t>
  </si>
  <si>
    <t>Apprezzo la musica , ed anche il cibo .</t>
  </si>
  <si>
    <t>I like music , and food too .</t>
  </si>
  <si>
    <t>J' apprécie la musique , et aussi les aliments .</t>
  </si>
  <si>
    <t>Apprezzo il rock , ed anche i gioielli .</t>
  </si>
  <si>
    <t>I like rock , and jewelry too .</t>
  </si>
  <si>
    <t>J' apprécie le rock , et aussi les bijoux .</t>
  </si>
  <si>
    <t>Apprezzo i gioielli , ed anche il rock .</t>
  </si>
  <si>
    <t>I like jewelry , and rock too .</t>
  </si>
  <si>
    <t>J' apprécie les bijoux , et aussi le rock .</t>
  </si>
  <si>
    <t>Apprezzo la musica , ed anche i gioielli .</t>
  </si>
  <si>
    <t>I like music , and jewelry too .</t>
  </si>
  <si>
    <t>J' apprécie la musique , et aussi les bijoux .</t>
  </si>
  <si>
    <t>Apprezzo il jazz , ed anche gli sport .</t>
  </si>
  <si>
    <t>I like jazz , and sports too .</t>
  </si>
  <si>
    <t>J' apprécie le jazz , et aussi les sports .</t>
  </si>
  <si>
    <t>Apprezzo gli sport , ed anche il jazz .</t>
  </si>
  <si>
    <t>I like sports , and jazz too .</t>
  </si>
  <si>
    <t>J' apprécie les sports , et aussi le jazz .</t>
  </si>
  <si>
    <t>Apprezzo il jazz , ed anche la musica .</t>
  </si>
  <si>
    <t>I like jazz , and music too .</t>
  </si>
  <si>
    <t>J' apprécie le jazz , et aussi la musique .</t>
  </si>
  <si>
    <t>Apprezzo la musica , ed anche il jazz .</t>
  </si>
  <si>
    <t>I like music , and jazz too .</t>
  </si>
  <si>
    <t>J' apprécie la musique , et aussi le jazz .</t>
  </si>
  <si>
    <t>Apprezzo il jazz , ed anche i giochi da tavolo .</t>
  </si>
  <si>
    <t>I like jazz , and boardgames too .</t>
  </si>
  <si>
    <t>J' apprécie le jazz , et aussi les jeux de société .</t>
  </si>
  <si>
    <t>Apprezzo i giochi da tavolo , ed anche il jazz .</t>
  </si>
  <si>
    <t>I like boardgames , and jazz too .</t>
  </si>
  <si>
    <t>J' apprécie les jeux de société , et aussi le jazz .</t>
  </si>
  <si>
    <t>Apprezzo il jazz , ed anche il cibo .</t>
  </si>
  <si>
    <t>I like jazz , and food too .</t>
  </si>
  <si>
    <t>J' apprécie le jazz , et aussi les aliments .</t>
  </si>
  <si>
    <t>Apprezzo il cibo , ed anche il jazz .</t>
  </si>
  <si>
    <t>I like food , and jazz too .</t>
  </si>
  <si>
    <t>J' apprécie les aliments , et aussi le jazz .</t>
  </si>
  <si>
    <t>Apprezzo il jazz , ed anche i gioielli .</t>
  </si>
  <si>
    <t>I like jazz , and jewelry too .</t>
  </si>
  <si>
    <t>J' apprécie le jazz , et aussi les bijoux .</t>
  </si>
  <si>
    <t>Apprezzo i gioielli , ed anche il jazz .</t>
  </si>
  <si>
    <t>I like jewelry , and jazz too .</t>
  </si>
  <si>
    <t>J' apprécie les bijoux , et aussi le jazz .</t>
  </si>
  <si>
    <t>Apprezzo la techno , ed anche gli sport .</t>
  </si>
  <si>
    <t>I like techno , and sports too .</t>
  </si>
  <si>
    <t>J' apprécie la techno , et aussi les sports .</t>
  </si>
  <si>
    <t>Apprezzo gli sport , ed anche la techno .</t>
  </si>
  <si>
    <t>I like sports , and techno too .</t>
  </si>
  <si>
    <t>J' apprécie les sports , et aussi la techno .</t>
  </si>
  <si>
    <t>Apprezzo la techno , ed anche la musica .</t>
  </si>
  <si>
    <t>I like techno , and music too .</t>
  </si>
  <si>
    <t>J' apprécie la techno , et aussi la musique .</t>
  </si>
  <si>
    <t>Apprezzo la musica , ed anche la techno .</t>
  </si>
  <si>
    <t>I like music , and techno too .</t>
  </si>
  <si>
    <t>J' apprécie la musique , et aussi la techno .</t>
  </si>
  <si>
    <t>Apprezzo la techno , ed anche i giochi da tavolo .</t>
  </si>
  <si>
    <t>I like techno , and boardgames too .</t>
  </si>
  <si>
    <t>J' apprécie la techno , et aussi les jeux de société .</t>
  </si>
  <si>
    <t>Apprezzo i giochi da tavolo , ed anche la techno .</t>
  </si>
  <si>
    <t>I like boardgames , and techno too .</t>
  </si>
  <si>
    <t>J' apprécie les jeux de société , et aussi la techno .</t>
  </si>
  <si>
    <t>Apprezzo la techno , ed anche il cibo .</t>
  </si>
  <si>
    <t>I like techno , and food too .</t>
  </si>
  <si>
    <t>J' apprécie la techno , et aussi les aliments .</t>
  </si>
  <si>
    <t>Apprezzo il cibo , ed anche la techno .</t>
  </si>
  <si>
    <t>I like food , and techno too .</t>
  </si>
  <si>
    <t>J' apprécie les aliments , et aussi la techno .</t>
  </si>
  <si>
    <t>Apprezzo la techno , ed anche i gioielli .</t>
  </si>
  <si>
    <t>I like techno , and jewelry too .</t>
  </si>
  <si>
    <t>J' apprécie la techno , et aussi les bijoux .</t>
  </si>
  <si>
    <t>Apprezzo i gioielli , ed anche la techno .</t>
  </si>
  <si>
    <t>I like jewelry , and techno too .</t>
  </si>
  <si>
    <t>J' apprécie les bijoux , et aussi la techno .</t>
  </si>
  <si>
    <t>Apprezzo il blues , ed anche gli sport .</t>
  </si>
  <si>
    <t>I like blues , and sports too .</t>
  </si>
  <si>
    <t>J' apprécie le blues , et aussi les sports .</t>
  </si>
  <si>
    <t>Apprezzo gli sport , ed anche il blues .</t>
  </si>
  <si>
    <t>I like sports , and blues too .</t>
  </si>
  <si>
    <t>J' apprécie les sports , et aussi le blues .</t>
  </si>
  <si>
    <t>Apprezzo il blues , ed anche la musica .</t>
  </si>
  <si>
    <t>I like blues , and music too .</t>
  </si>
  <si>
    <t>J' apprécie le blues , et aussi la musique .</t>
  </si>
  <si>
    <t>Apprezzo la musica , ed anche il blues .</t>
  </si>
  <si>
    <t>I like music , and blues too .</t>
  </si>
  <si>
    <t>J' apprécie la musique , et aussi le blues .</t>
  </si>
  <si>
    <t>Apprezzo il blues , ed anche i giochi da tavolo .</t>
  </si>
  <si>
    <t>I like blues , and boardgames too .</t>
  </si>
  <si>
    <t>J' apprécie le blues , et aussi les jeux de société .</t>
  </si>
  <si>
    <t>Apprezzo i giochi da tavolo , ed anche il blues .</t>
  </si>
  <si>
    <t>I like boardgames , and blues too .</t>
  </si>
  <si>
    <t>J' apprécie les jeux de société , et aussi le blues .</t>
  </si>
  <si>
    <t>Apprezzo il blues , ed anche il cibo .</t>
  </si>
  <si>
    <t>I like blues , and food too .</t>
  </si>
  <si>
    <t>J' apprécie le blues , et aussi les aliments .</t>
  </si>
  <si>
    <t>Apprezzo il cibo , ed anche il blues .</t>
  </si>
  <si>
    <t>I like food , and blues too .</t>
  </si>
  <si>
    <t>J' apprécie les aliments , et aussi le blues .</t>
  </si>
  <si>
    <t>Apprezzo il blues , ed anche i gioielli .</t>
  </si>
  <si>
    <t>I like blues , and jewelry too .</t>
  </si>
  <si>
    <t>J' apprécie le blues , et aussi les bijoux .</t>
  </si>
  <si>
    <t>Apprezzo i gioielli , ed anche il blues .</t>
  </si>
  <si>
    <t>I like jewelry , and blues too .</t>
  </si>
  <si>
    <t>J' apprécie les bijoux , et aussi le blues .</t>
  </si>
  <si>
    <t>Adoro il prosciutto cotto , eccetto il pesce .</t>
  </si>
  <si>
    <t>I like ham , except fish .</t>
  </si>
  <si>
    <t>J' adore le jambon , sauf le poisson .</t>
  </si>
  <si>
    <t>Adoro il pesce , eccetto il prosciutto cotto .</t>
  </si>
  <si>
    <t>I like fish , except ham .</t>
  </si>
  <si>
    <t>J' adore le poisson , sauf le jambon .</t>
  </si>
  <si>
    <t>Adoro il prosciutto cotto , eccetto il maiale .</t>
  </si>
  <si>
    <t>I like ham , except pork .</t>
  </si>
  <si>
    <t>J' adore le jambon , sauf le porc .</t>
  </si>
  <si>
    <t>Adoro il maiale , eccetto il prosciutto cotto .</t>
  </si>
  <si>
    <t>I like pork , except ham .</t>
  </si>
  <si>
    <t>J' adore le porc , sauf le jambon .</t>
  </si>
  <si>
    <t>Adoro il maiale , eccetto il pesce .</t>
  </si>
  <si>
    <t>I like pork , except fish .</t>
  </si>
  <si>
    <t>J' adore le porc , sauf le poisson .</t>
  </si>
  <si>
    <t>Adoro il prosciutto cotto , eccetto i broccoli .</t>
  </si>
  <si>
    <t>I like ham , except broccoli .</t>
  </si>
  <si>
    <t>J' adore le jambon , sauf le brocoli .</t>
  </si>
  <si>
    <t>Adoro i broccoli , eccetto il prosciutto cotto .</t>
  </si>
  <si>
    <t>I like broccoli , except ham .</t>
  </si>
  <si>
    <t>J' adore le brocoli , sauf le jambon .</t>
  </si>
  <si>
    <t>Amo il prosciutto cotto , ed anche il pesce .</t>
  </si>
  <si>
    <t>I like ham , and fish too .</t>
  </si>
  <si>
    <t>J' aime le jambon , et aussi le poisson .</t>
  </si>
  <si>
    <t>Amo il pesce , ed anche il prosciutto cotto .</t>
  </si>
  <si>
    <t>I like fish , and ham too .</t>
  </si>
  <si>
    <t>J' aime le poisson , et aussi le jambon .</t>
  </si>
  <si>
    <t>Amo il prosciutto cotto , ed anche il maiale .</t>
  </si>
  <si>
    <t>I like ham , and pork too .</t>
  </si>
  <si>
    <t>J' aime le jambon , et aussi le porc .</t>
  </si>
  <si>
    <t>Amo il maiale , ed anche il prosciutto cotto .</t>
  </si>
  <si>
    <t>I like pork , and ham too .</t>
  </si>
  <si>
    <t>J' aime le porc , et aussi le jambon .</t>
  </si>
  <si>
    <t>Amo il maiale , ed anche il pesce .</t>
  </si>
  <si>
    <t>I like pork , and fish too .</t>
  </si>
  <si>
    <t>J' aime le porc , et aussi le poisson .</t>
  </si>
  <si>
    <t>Amo il prosciutto cotto , ed anche i broccoli .</t>
  </si>
  <si>
    <t>I like ham , and broccoli too .</t>
  </si>
  <si>
    <t>J' aime le jambon , et aussi le brocoli .</t>
  </si>
  <si>
    <t>Amo i broccoli , ed anche il prosciutto cotto .</t>
  </si>
  <si>
    <t>I like broccoli , and ham too .</t>
  </si>
  <si>
    <t>J' aime le brocoli , et aussi le jambon .</t>
  </si>
  <si>
    <t>Amo il maiale , ed anche i broccoli .</t>
  </si>
  <si>
    <t>I like pork , and broccoli too .</t>
  </si>
  <si>
    <t>J' aime le porc , et aussi le brocoli .</t>
  </si>
  <si>
    <t>Amo il prosciutto cotto , ed anche le mele .</t>
  </si>
  <si>
    <t>I like ham , and apples too .</t>
  </si>
  <si>
    <t>J' aime le jambon , et aussi les pommes .</t>
  </si>
  <si>
    <t>Amo le mele , ed anche il prosciutto cotto .</t>
  </si>
  <si>
    <t>I like apples , and ham too .</t>
  </si>
  <si>
    <t>J' aime les pommes , et aussi le jambon .</t>
  </si>
  <si>
    <t>Amo il maiale , ed anche le mele .</t>
  </si>
  <si>
    <t>I like pork , and apples too .</t>
  </si>
  <si>
    <t>J' aime le porc , et aussi les pommes .</t>
  </si>
  <si>
    <t>Amo il prosciutto cotto , ed anche le carote .</t>
  </si>
  <si>
    <t>I like ham , and carrots too .</t>
  </si>
  <si>
    <t>J' aime le jambon , et aussi les carottes .</t>
  </si>
  <si>
    <t>Amo le carote , ed anche il prosciutto cotto .</t>
  </si>
  <si>
    <t>I like carrots , and ham too .</t>
  </si>
  <si>
    <t>J' aime les carottes , et aussi le jambon .</t>
  </si>
  <si>
    <t>Amo il maiale , ed anche le carote .</t>
  </si>
  <si>
    <t>I like pork , and carrots too .</t>
  </si>
  <si>
    <t>J' aime le porc , et aussi les carottes .</t>
  </si>
  <si>
    <t>Amo il prosciutto , ed anche il pesce .</t>
  </si>
  <si>
    <t>I like prosciutto , and fish too .</t>
  </si>
  <si>
    <t>J' aime le prosciutto , et aussi le poisson .</t>
  </si>
  <si>
    <t>Amo il pesce , ed anche il prosciutto .</t>
  </si>
  <si>
    <t>I like fish , and prosciutto too .</t>
  </si>
  <si>
    <t>J' aime le poisson , et aussi le prosciutto .</t>
  </si>
  <si>
    <t>Amo il prosciutto , ed anche il maiale .</t>
  </si>
  <si>
    <t>I like prosciutto , and pork too .</t>
  </si>
  <si>
    <t>J' aime le prosciutto , et aussi le porc .</t>
  </si>
  <si>
    <t>Amo il maiale , ed anche il prosciutto .</t>
  </si>
  <si>
    <t>I like pork , and prosciutto too .</t>
  </si>
  <si>
    <t>J' aime le porc , et aussi le prosciutto .</t>
  </si>
  <si>
    <t>Amo il prosciutto , ed anche i broccoli .</t>
  </si>
  <si>
    <t>I like prosciutto , and broccoli too .</t>
  </si>
  <si>
    <t>J' aime le prosciutto , et aussi le brocoli .</t>
  </si>
  <si>
    <t>Amo i broccoli , ed anche il prosciutto .</t>
  </si>
  <si>
    <t>I like broccoli , and prosciutto too .</t>
  </si>
  <si>
    <t>J' aime le brocoli , et aussi le prosciutto .</t>
  </si>
  <si>
    <t>Adoro il maiale , eccetto i broccoli .</t>
  </si>
  <si>
    <t>I like pork , except broccoli .</t>
  </si>
  <si>
    <t>J' adore le porc , sauf le brocoli .</t>
  </si>
  <si>
    <t>Amo il prosciutto , ed anche le mele .</t>
  </si>
  <si>
    <t>I like prosciutto , and apples too .</t>
  </si>
  <si>
    <t>J' aime le prosciutto , et aussi les pommes .</t>
  </si>
  <si>
    <t>Amo le mele , ed anche il prosciutto .</t>
  </si>
  <si>
    <t>I like apples , and prosciutto too .</t>
  </si>
  <si>
    <t>J' aime les pommes , et aussi le prosciutto .</t>
  </si>
  <si>
    <t>Amo il prosciutto , ed anche le carote .</t>
  </si>
  <si>
    <t>I like prosciutto , and carrots too .</t>
  </si>
  <si>
    <t>J' aime le prosciutto , et aussi les carottes .</t>
  </si>
  <si>
    <t>Amo le carote , ed anche il prosciutto .</t>
  </si>
  <si>
    <t>I like carrots , and prosciutto too .</t>
  </si>
  <si>
    <t>J' aime les carottes , et aussi le prosciutto .</t>
  </si>
  <si>
    <t>Adoro il prosciutto cotto , eccetto le mele .</t>
  </si>
  <si>
    <t>I like ham , except apples .</t>
  </si>
  <si>
    <t>J' adore le jambon , sauf les pommes .</t>
  </si>
  <si>
    <t>Amo il bacon , ed anche il pesce .</t>
  </si>
  <si>
    <t>I like bacon , and fish too .</t>
  </si>
  <si>
    <t>J' aime le bacon , et aussi le poisson .</t>
  </si>
  <si>
    <t>Amo il pesce , ed anche il bacon .</t>
  </si>
  <si>
    <t>I like fish , and bacon too .</t>
  </si>
  <si>
    <t>J' aime le poisson , et aussi le bacon .</t>
  </si>
  <si>
    <t>Amo il bacon , ed anche il maiale .</t>
  </si>
  <si>
    <t>I like bacon , and pork too .</t>
  </si>
  <si>
    <t>J' aime le bacon , et aussi le porc .</t>
  </si>
  <si>
    <t>Amo il maiale , ed anche il bacon .</t>
  </si>
  <si>
    <t>I like pork , and bacon too .</t>
  </si>
  <si>
    <t>J' aime le porc , et aussi le bacon .</t>
  </si>
  <si>
    <t>Amo il bacon , ed anche i broccoli .</t>
  </si>
  <si>
    <t>I like bacon , and broccoli too .</t>
  </si>
  <si>
    <t>J' aime le bacon , et aussi le brocoli .</t>
  </si>
  <si>
    <t>Amo i broccoli , ed anche il bacon .</t>
  </si>
  <si>
    <t>I like broccoli , and bacon too .</t>
  </si>
  <si>
    <t>J' aime le brocoli , et aussi le bacon .</t>
  </si>
  <si>
    <t>Adoro le mele , eccetto il prosciutto cotto .</t>
  </si>
  <si>
    <t>I like apples , except ham .</t>
  </si>
  <si>
    <t>J' adore les pommes , sauf le jambon .</t>
  </si>
  <si>
    <t>Amo il bacon , ed anche le mele .</t>
  </si>
  <si>
    <t>I like bacon , and apples too .</t>
  </si>
  <si>
    <t>J' aime le bacon , et aussi les pommes .</t>
  </si>
  <si>
    <t>Amo le mele , ed anche il bacon .</t>
  </si>
  <si>
    <t>I like apples , and bacon too .</t>
  </si>
  <si>
    <t>J' aime les pommes , et aussi le bacon .</t>
  </si>
  <si>
    <t>Amo il bacon , ed anche le carote .</t>
  </si>
  <si>
    <t>I like bacon , and carrots too .</t>
  </si>
  <si>
    <t>J' aime le bacon , et aussi les carottes .</t>
  </si>
  <si>
    <t>Amo le carote , ed anche il bacon .</t>
  </si>
  <si>
    <t>I like carrots , and bacon too .</t>
  </si>
  <si>
    <t>J' aime les carottes , et aussi le bacon .</t>
  </si>
  <si>
    <t>Amo il lardo , ed anche il pesce .</t>
  </si>
  <si>
    <t>I like lard , and fish too .</t>
  </si>
  <si>
    <t>J' aime les lardons , et aussi le poisson .</t>
  </si>
  <si>
    <t>Amo il pesce , ed anche il lardo .</t>
  </si>
  <si>
    <t>I like fish , and lard too .</t>
  </si>
  <si>
    <t>J' aime le poisson , et aussi les lardons .</t>
  </si>
  <si>
    <t>Amo il lardo , ed anche il maiale .</t>
  </si>
  <si>
    <t>I like lard , and pork too .</t>
  </si>
  <si>
    <t>J' aime les lardons , et aussi le porc .</t>
  </si>
  <si>
    <t>Amo il maiale , ed anche il lardo .</t>
  </si>
  <si>
    <t>I like pork , and lard too .</t>
  </si>
  <si>
    <t>J' aime le porc , et aussi les lardons .</t>
  </si>
  <si>
    <t>Amo il lardo , ed anche i broccoli .</t>
  </si>
  <si>
    <t>I like lard , and broccoli too .</t>
  </si>
  <si>
    <t>J' aime les lardons , et aussi le brocoli .</t>
  </si>
  <si>
    <t>Amo i broccoli , ed anche il lardo .</t>
  </si>
  <si>
    <t>I like broccoli , and lard too .</t>
  </si>
  <si>
    <t>J' aime le brocoli , et aussi les lardons .</t>
  </si>
  <si>
    <t>Amo il lardo , ed anche le mele .</t>
  </si>
  <si>
    <t>I like lard , and apples too .</t>
  </si>
  <si>
    <t>J' aime les lardons , et aussi les pommes .</t>
  </si>
  <si>
    <t>Amo le mele , ed anche il lardo .</t>
  </si>
  <si>
    <t>I like apples , and lard too .</t>
  </si>
  <si>
    <t>J' aime les pommes , et aussi les lardons .</t>
  </si>
  <si>
    <t>Amo il lardo , ed anche le carote .</t>
  </si>
  <si>
    <t>I like lard , and carrots too .</t>
  </si>
  <si>
    <t>J' aime les lardons , et aussi les carottes .</t>
  </si>
  <si>
    <t>Amo le carote , ed anche il lardo .</t>
  </si>
  <si>
    <t>I like carrots , and lard too .</t>
  </si>
  <si>
    <t>J' aime les carottes , et aussi les lardons .</t>
  </si>
  <si>
    <t>Adoro il maiale , eccetto le mele .</t>
  </si>
  <si>
    <t>I like pork , except apples .</t>
  </si>
  <si>
    <t>J' adore le porc , sauf les pommes .</t>
  </si>
  <si>
    <t>Adoro il prosciutto cotto , eccetto le carote .</t>
  </si>
  <si>
    <t>I like ham , except carrots .</t>
  </si>
  <si>
    <t>J' adore le jambon , sauf les carottes .</t>
  </si>
  <si>
    <t>Adoro le carote , eccetto il prosciutto cotto .</t>
  </si>
  <si>
    <t>I like carrots , except ham .</t>
  </si>
  <si>
    <t>J' adore les carottes , sauf le jambon .</t>
  </si>
  <si>
    <t>Adoro il maiale , eccetto le carote .</t>
  </si>
  <si>
    <t>I like pork , except carrots .</t>
  </si>
  <si>
    <t>J' adore le porc , sauf les carottes .</t>
  </si>
  <si>
    <t>Amo il salmone , ed anche il pollo .</t>
  </si>
  <si>
    <t>I like salmon , and chicken too .</t>
  </si>
  <si>
    <t>J' aime le saumon , et aussi le poulet .</t>
  </si>
  <si>
    <t>Amo il pollo , ed anche il salmone .</t>
  </si>
  <si>
    <t>I like chicken , and salmon too .</t>
  </si>
  <si>
    <t>J' aime le poulet , et aussi le saumon .</t>
  </si>
  <si>
    <t>Amo il salmone , ed anche i prodotti del mare .</t>
  </si>
  <si>
    <t>I like salmon , and seafood too .</t>
  </si>
  <si>
    <t>J' aime le saumon , et aussi les produits de la mer .</t>
  </si>
  <si>
    <t>Amo i prodotti del mare , ed anche il salmone .</t>
  </si>
  <si>
    <t>I like seafood , and salmon too .</t>
  </si>
  <si>
    <t>J' aime les produits de la mer , et aussi le saumon .</t>
  </si>
  <si>
    <t>Amo i prodotti del mare , ed anche il pollo .</t>
  </si>
  <si>
    <t>I like seafood , and chicken too .</t>
  </si>
  <si>
    <t>J' aime les produits de la mer , et aussi le poulet .</t>
  </si>
  <si>
    <t>Amo il salmone , ed anche il vitello .</t>
  </si>
  <si>
    <t>I like salmon , and veal too .</t>
  </si>
  <si>
    <t>J' aime le saumon , et aussi le veau .</t>
  </si>
  <si>
    <t>Amo il vitello , ed anche il salmone .</t>
  </si>
  <si>
    <t>I like veal , and salmon too .</t>
  </si>
  <si>
    <t>J' aime le veau , et aussi le saumon .</t>
  </si>
  <si>
    <t>Amo i prodotti del mare , ed anche il vitello .</t>
  </si>
  <si>
    <t>I like seafood , and veal too .</t>
  </si>
  <si>
    <t>J' aime les produits de la mer , et aussi le veau .</t>
  </si>
  <si>
    <t>Amo il salmone , ed anche il tacchino .</t>
  </si>
  <si>
    <t>I like salmon , and turkey too .</t>
  </si>
  <si>
    <t>J' aime le saumon , et aussi la dinde .</t>
  </si>
  <si>
    <t>Amo il tacchino , ed anche il salmone .</t>
  </si>
  <si>
    <t>I like turkey , and salmon too .</t>
  </si>
  <si>
    <t>J' aime la dinde , et aussi le saumon .</t>
  </si>
  <si>
    <t>Amo i prodotti del mare , ed anche il tacchino .</t>
  </si>
  <si>
    <t>I like seafood , and turkey too .</t>
  </si>
  <si>
    <t>J' aime les produits de la mer , et aussi la dinde .</t>
  </si>
  <si>
    <t>Amo il salmone , ed anche il manzo .</t>
  </si>
  <si>
    <t>I like salmon , and beef too .</t>
  </si>
  <si>
    <t>J' aime le saumon , et aussi le boeuf .</t>
  </si>
  <si>
    <t>Amo il manzo , ed anche il salmone .</t>
  </si>
  <si>
    <t>I like beef , and salmon too .</t>
  </si>
  <si>
    <t>J' aime le boeuf , et aussi le saumon .</t>
  </si>
  <si>
    <t>Amo i prodotti del mare , ed anche il manzo .</t>
  </si>
  <si>
    <t>I like seafood , and beef too .</t>
  </si>
  <si>
    <t>J' aime les produits de la mer , et aussi le boeuf .</t>
  </si>
  <si>
    <t>Amo i granchi , ed anche il pollo .</t>
  </si>
  <si>
    <t>I like crabs , and chicken too .</t>
  </si>
  <si>
    <t>J' aime les crabes , et aussi le poulet .</t>
  </si>
  <si>
    <t>Amo il pollo , ed anche i granchi .</t>
  </si>
  <si>
    <t>I like chicken , and crabs too .</t>
  </si>
  <si>
    <t>J' aime le poulet , et aussi les crabes .</t>
  </si>
  <si>
    <t>Amo i granchi , ed anche i prodotti del mare .</t>
  </si>
  <si>
    <t>I like crabs , and seafood too .</t>
  </si>
  <si>
    <t>J' aime les crabes , et aussi les produits de la mer .</t>
  </si>
  <si>
    <t>Amo i prodotti del mare , ed anche i granchi .</t>
  </si>
  <si>
    <t>I like seafood , and crabs too .</t>
  </si>
  <si>
    <t>J' aime les produits de la mer , et aussi les crabes .</t>
  </si>
  <si>
    <t>Amo i granchi , ed anche il vitello .</t>
  </si>
  <si>
    <t>I like crabs , and veal too .</t>
  </si>
  <si>
    <t>J' aime les crabes , et aussi le veau .</t>
  </si>
  <si>
    <t>Amo il vitello , ed anche i granchi .</t>
  </si>
  <si>
    <t>I like veal , and crabs too .</t>
  </si>
  <si>
    <t>J' aime le veau , et aussi les crabes .</t>
  </si>
  <si>
    <t>Amo i granchi , ed anche il tacchino .</t>
  </si>
  <si>
    <t>I like crabs , and turkey too .</t>
  </si>
  <si>
    <t>J' aime les crabes , et aussi la dinde .</t>
  </si>
  <si>
    <t>Amo il tacchino , ed anche i granchi .</t>
  </si>
  <si>
    <t>I like turkey , and crabs too .</t>
  </si>
  <si>
    <t>J' aime la dinde , et aussi les crabes .</t>
  </si>
  <si>
    <t>Amo i granchi , ed anche il manzo .</t>
  </si>
  <si>
    <t>I like crabs , and beef too .</t>
  </si>
  <si>
    <t>J' aime les crabes , et aussi le boeuf .</t>
  </si>
  <si>
    <t>Amo il manzo , ed anche i granchi .</t>
  </si>
  <si>
    <t>I like beef , and crabs too .</t>
  </si>
  <si>
    <t>J' aime le boeuf , et aussi les crabes .</t>
  </si>
  <si>
    <t>Amo le ostriche , ed anche il pollo .</t>
  </si>
  <si>
    <t>I like oysters , and chicken too .</t>
  </si>
  <si>
    <t>J' aime les huîtres , et aussi le poulet .</t>
  </si>
  <si>
    <t>Amo il pollo , ed anche le ostriche .</t>
  </si>
  <si>
    <t>I like chicken , and oysters too .</t>
  </si>
  <si>
    <t>J' aime le poulet , et aussi les huîtres .</t>
  </si>
  <si>
    <t>Amo le ostriche , ed anche i prodotti del mare .</t>
  </si>
  <si>
    <t>I like oysters , and seafood too .</t>
  </si>
  <si>
    <t>J' aime les huîtres , et aussi les produits de la mer .</t>
  </si>
  <si>
    <t>Amo i prodotti del mare , ed anche le ostriche .</t>
  </si>
  <si>
    <t>I like seafood , and oysters too .</t>
  </si>
  <si>
    <t>J' aime les produits de la mer , et aussi les huîtres .</t>
  </si>
  <si>
    <t>Amo le ostriche , ed anche il vitello .</t>
  </si>
  <si>
    <t>I like oysters , and veal too .</t>
  </si>
  <si>
    <t>J' aime les huîtres , et aussi le veau .</t>
  </si>
  <si>
    <t>Amo il vitello , ed anche le ostriche .</t>
  </si>
  <si>
    <t>I like veal , and oysters too .</t>
  </si>
  <si>
    <t>J' aime le veau , et aussi les huîtres .</t>
  </si>
  <si>
    <t>Amo le ostriche , ed anche il tacchino .</t>
  </si>
  <si>
    <t>I like oysters , and turkey too .</t>
  </si>
  <si>
    <t>J' aime les huîtres , et aussi la dinde .</t>
  </si>
  <si>
    <t>Amo il tacchino , ed anche le ostriche .</t>
  </si>
  <si>
    <t>I like turkey , and oysters too .</t>
  </si>
  <si>
    <t>J' aime la dinde , et aussi les huîtres .</t>
  </si>
  <si>
    <t>Amo le ostriche , ed anche il manzo .</t>
  </si>
  <si>
    <t>I like oysters , and beef too .</t>
  </si>
  <si>
    <t>J' aime les huîtres , et aussi le boeuf .</t>
  </si>
  <si>
    <t>Amo il manzo , ed anche le ostriche .</t>
  </si>
  <si>
    <t>I like beef , and oysters too .</t>
  </si>
  <si>
    <t>J' aime le boeuf , et aussi les huîtres .</t>
  </si>
  <si>
    <t>Amo il caviale , ed anche il pollo .</t>
  </si>
  <si>
    <t>I like caviar , and chicken too .</t>
  </si>
  <si>
    <t>J' aime le caviar , et aussi le poulet .</t>
  </si>
  <si>
    <t>Amo il pollo , ed anche il caviale .</t>
  </si>
  <si>
    <t>I like chicken , and caviar too .</t>
  </si>
  <si>
    <t>J' aime le poulet , et aussi le caviar .</t>
  </si>
  <si>
    <t>Amo il caviale , ed anche i prodotti del mare .</t>
  </si>
  <si>
    <t>I like caviar , and seafood too .</t>
  </si>
  <si>
    <t>J' aime le caviar , et aussi les produits de la mer .</t>
  </si>
  <si>
    <t>Amo i prodotti del mare , ed anche il caviale .</t>
  </si>
  <si>
    <t>I like seafood , and caviar too .</t>
  </si>
  <si>
    <t>J' aime les produits de la mer , et aussi le caviar .</t>
  </si>
  <si>
    <t>Amo il caviale , ed anche il vitello .</t>
  </si>
  <si>
    <t>I like caviar , and veal too .</t>
  </si>
  <si>
    <t>J' aime le caviar , et aussi le veau .</t>
  </si>
  <si>
    <t>Amo il vitello , ed anche il caviale .</t>
  </si>
  <si>
    <t>I like veal , and caviar too .</t>
  </si>
  <si>
    <t>J' aime le veau , et aussi le caviar .</t>
  </si>
  <si>
    <t>Amo il caviale , ed anche il tacchino .</t>
  </si>
  <si>
    <t>I like caviar , and turkey too .</t>
  </si>
  <si>
    <t>J' aime le caviar , et aussi la dinde .</t>
  </si>
  <si>
    <t>Amo il tacchino , ed anche il caviale .</t>
  </si>
  <si>
    <t>I like turkey , and caviar too .</t>
  </si>
  <si>
    <t>J' aime la dinde , et aussi le caviar .</t>
  </si>
  <si>
    <t>Amo il caviale , ed anche il manzo .</t>
  </si>
  <si>
    <t>I like caviar , and beef too .</t>
  </si>
  <si>
    <t>J' aime le caviar , et aussi le boeuf .</t>
  </si>
  <si>
    <t>Amo il manzo , ed anche il caviale .</t>
  </si>
  <si>
    <t>I like beef , and caviar too .</t>
  </si>
  <si>
    <t>J' aime le boeuf , et aussi le caviar .</t>
  </si>
  <si>
    <t>Amo i thriller , ed anche i saggi .</t>
  </si>
  <si>
    <t>I like thrillers , and essays too .</t>
  </si>
  <si>
    <t>J' aime les thrillers , et aussi les essais .</t>
  </si>
  <si>
    <t>Amo i saggi , ed anche i thriller .</t>
  </si>
  <si>
    <t>I like essays , and thrillers too .</t>
  </si>
  <si>
    <t>J' aime les essais , et aussi les thrillers .</t>
  </si>
  <si>
    <t>Amo i thriller , ed anche i film .</t>
  </si>
  <si>
    <t>I like thrillers , and movies too .</t>
  </si>
  <si>
    <t>J' aime les thrillers , et aussi les films .</t>
  </si>
  <si>
    <t>Amo i film , ed anche i thriller .</t>
  </si>
  <si>
    <t>I like movies , and thrillers too .</t>
  </si>
  <si>
    <t>J' aime les films , et aussi les thrillers .</t>
  </si>
  <si>
    <t>Amo i film , ed anche i saggi .</t>
  </si>
  <si>
    <t>I like movies , and essays too .</t>
  </si>
  <si>
    <t>J' aime les films , et aussi les essais .</t>
  </si>
  <si>
    <t>Amo i thriller , ed anche i sussidiari .</t>
  </si>
  <si>
    <t>I like thrillers , and textbooks too .</t>
  </si>
  <si>
    <t>J' aime les thrillers , et aussi les manuels scolaires .</t>
  </si>
  <si>
    <t>Amo i sussidiari , ed anche i thriller .</t>
  </si>
  <si>
    <t>I like textbooks , and thrillers too .</t>
  </si>
  <si>
    <t>J' aime les manuels scolaires , et aussi les thrillers .</t>
  </si>
  <si>
    <t>Amo i film , ed anche i sussidiari .</t>
  </si>
  <si>
    <t>I like movies , and textbooks too .</t>
  </si>
  <si>
    <t>J' aime les films , et aussi les manuels scolaires .</t>
  </si>
  <si>
    <t>Amo i thriller , ed anche i giochi da tavolo .</t>
  </si>
  <si>
    <t>I like thrillers , and boardgames too .</t>
  </si>
  <si>
    <t>J' aime les thrillers , et aussi les jeux de société .</t>
  </si>
  <si>
    <t>Amo i giochi da tavolo , ed anche i thriller .</t>
  </si>
  <si>
    <t>I like boardgames , and thrillers too .</t>
  </si>
  <si>
    <t>J' aime les jeux de société , et aussi les thrillers .</t>
  </si>
  <si>
    <t>Amo i film , ed anche i giochi da tavolo .</t>
  </si>
  <si>
    <t>I like movies , and boardgames too .</t>
  </si>
  <si>
    <t>J' aime les films , et aussi les jeux de société .</t>
  </si>
  <si>
    <t>Amo i thriller , ed anche i videogiochi .</t>
  </si>
  <si>
    <t>I like thrillers , and videogames too .</t>
  </si>
  <si>
    <t>J' aime les thrillers , et aussi les jeux vidéo .</t>
  </si>
  <si>
    <t>Amo i videogiochi , ed anche i thriller .</t>
  </si>
  <si>
    <t>I like videogames , and thrillers too .</t>
  </si>
  <si>
    <t>J' aime les jeux vidéo , et aussi les thrillers .</t>
  </si>
  <si>
    <t>Adoro il prosciutto , eccetto il pesce .</t>
  </si>
  <si>
    <t>I like prosciutto , except fish .</t>
  </si>
  <si>
    <t>J' adore le prosciutto , sauf le poisson .</t>
  </si>
  <si>
    <t>Amo i film , ed anche i videogiochi .</t>
  </si>
  <si>
    <t>I like movies , and videogames too .</t>
  </si>
  <si>
    <t>J' aime les films , et aussi les jeux vidéo .</t>
  </si>
  <si>
    <t>Amo i western , ed anche i saggi .</t>
  </si>
  <si>
    <t>I like westerns , and essays too .</t>
  </si>
  <si>
    <t>J' aime les westerns , et aussi les essais .</t>
  </si>
  <si>
    <t>Amo i saggi , ed anche i western .</t>
  </si>
  <si>
    <t>I like essays , and westerns too .</t>
  </si>
  <si>
    <t>J' aime les essais , et aussi les westerns .</t>
  </si>
  <si>
    <t>Amo i western , ed anche i film .</t>
  </si>
  <si>
    <t>I like westerns , and movies too .</t>
  </si>
  <si>
    <t>J' aime les westerns , et aussi les films .</t>
  </si>
  <si>
    <t>Amo i film , ed anche i western .</t>
  </si>
  <si>
    <t>I like movies , and westerns too .</t>
  </si>
  <si>
    <t>J' aime les films , et aussi les westerns .</t>
  </si>
  <si>
    <t>Amo i western , ed anche i sussidiari .</t>
  </si>
  <si>
    <t>I like westerns , and textbooks too .</t>
  </si>
  <si>
    <t>J' aime les westerns , et aussi les manuels scolaires .</t>
  </si>
  <si>
    <t>Amo i sussidiari , ed anche i western .</t>
  </si>
  <si>
    <t>I like textbooks , and westerns too .</t>
  </si>
  <si>
    <t>J' aime les manuels scolaires , et aussi les westerns .</t>
  </si>
  <si>
    <t>Adoro il pesce , eccetto il prosciutto .</t>
  </si>
  <si>
    <t>I like fish , except prosciutto .</t>
  </si>
  <si>
    <t>J' adore le poisson , sauf le prosciutto .</t>
  </si>
  <si>
    <t>Amo i western , ed anche i giochi da tavolo .</t>
  </si>
  <si>
    <t>I like westerns , and boardgames too .</t>
  </si>
  <si>
    <t>J' aime les westerns , et aussi les jeux de société .</t>
  </si>
  <si>
    <t>Amo i giochi da tavolo , ed anche i western .</t>
  </si>
  <si>
    <t>I like boardgames , and westerns too .</t>
  </si>
  <si>
    <t>J' aime les jeux de société , et aussi les westerns .</t>
  </si>
  <si>
    <t>Amo i western , ed anche i videogiochi .</t>
  </si>
  <si>
    <t>I like westerns , and videogames too .</t>
  </si>
  <si>
    <t>J' aime les westerns , et aussi les jeux vidéo .</t>
  </si>
  <si>
    <t>Amo i videogiochi , ed anche i western .</t>
  </si>
  <si>
    <t>I like videogames , and westerns too .</t>
  </si>
  <si>
    <t>J' aime les jeux vidéo , et aussi les westerns .</t>
  </si>
  <si>
    <t>Adoro il prosciutto , eccetto il maiale .</t>
  </si>
  <si>
    <t>I like prosciutto , except pork .</t>
  </si>
  <si>
    <t>J' adore le prosciutto , sauf le porc .</t>
  </si>
  <si>
    <t>Amo le commedie , ed anche i saggi .</t>
  </si>
  <si>
    <t>I like comedies , and essays too .</t>
  </si>
  <si>
    <t>J' aime les comédies , et aussi les essais .</t>
  </si>
  <si>
    <t>Amo i saggi , ed anche le commedie .</t>
  </si>
  <si>
    <t>I like essays , and comedies too .</t>
  </si>
  <si>
    <t>J' aime les essais , et aussi les comédies .</t>
  </si>
  <si>
    <t>Amo le commedie , ed anche i film .</t>
  </si>
  <si>
    <t>I like comedies , and movies too .</t>
  </si>
  <si>
    <t>J' aime les comédies , et aussi les films .</t>
  </si>
  <si>
    <t>Amo i film , ed anche le commedie .</t>
  </si>
  <si>
    <t>I like movies , and comedies too .</t>
  </si>
  <si>
    <t>J' aime les films , et aussi les comédies .</t>
  </si>
  <si>
    <t>Amo le commedie , ed anche i sussidiari .</t>
  </si>
  <si>
    <t>I like comedies , and textbooks too .</t>
  </si>
  <si>
    <t>J' aime les comédies , et aussi les manuels scolaires .</t>
  </si>
  <si>
    <t>Amo i sussidiari , ed anche le commedie .</t>
  </si>
  <si>
    <t>I like textbooks , and comedies too .</t>
  </si>
  <si>
    <t>J' aime les manuels scolaires , et aussi les comédies .</t>
  </si>
  <si>
    <t>Adoro il maiale , eccetto il prosciutto .</t>
  </si>
  <si>
    <t>I like pork , except prosciutto .</t>
  </si>
  <si>
    <t>J' adore le porc , sauf le prosciutto .</t>
  </si>
  <si>
    <t>Amo le commedie , ed anche i giochi da tavolo .</t>
  </si>
  <si>
    <t>I like comedies , and boardgames too .</t>
  </si>
  <si>
    <t>J' aime les comédies , et aussi les jeux de société .</t>
  </si>
  <si>
    <t>Amo i giochi da tavolo , ed anche le commedie .</t>
  </si>
  <si>
    <t>I like boardgames , and comedies too .</t>
  </si>
  <si>
    <t>J' aime les jeux de société , et aussi les comédies .</t>
  </si>
  <si>
    <t>Amo le commedie , ed anche i videogiochi .</t>
  </si>
  <si>
    <t>I like comedies , and videogames too .</t>
  </si>
  <si>
    <t>J' aime les comédies , et aussi les jeux vidéo .</t>
  </si>
  <si>
    <t>Amo i videogiochi , ed anche le commedie .</t>
  </si>
  <si>
    <t>I like videogames , and comedies too .</t>
  </si>
  <si>
    <t>J' aime les jeux vidéo , et aussi les comédies .</t>
  </si>
  <si>
    <t>Amo i documentari , ed anche i saggi .</t>
  </si>
  <si>
    <t>I like documentaries , and essays too .</t>
  </si>
  <si>
    <t>J' aime les documentaires , et aussi les essais .</t>
  </si>
  <si>
    <t>Amo i saggi , ed anche i documentari .</t>
  </si>
  <si>
    <t>I like essays , and documentaries too .</t>
  </si>
  <si>
    <t>J' aime les essais , et aussi les documentaires .</t>
  </si>
  <si>
    <t>Amo i documentari , ed anche i film .</t>
  </si>
  <si>
    <t>I like documentaries , and movies too .</t>
  </si>
  <si>
    <t>J' aime les documentaires , et aussi les films .</t>
  </si>
  <si>
    <t>Amo i film , ed anche i documentari .</t>
  </si>
  <si>
    <t>I like movies , and documentaries too .</t>
  </si>
  <si>
    <t>J' aime les films , et aussi les documentaires .</t>
  </si>
  <si>
    <t>Amo i documentari , ed anche i sussidiari .</t>
  </si>
  <si>
    <t>I like documentaries , and textbooks too .</t>
  </si>
  <si>
    <t>J' aime les documentaires , et aussi les manuels scolaires .</t>
  </si>
  <si>
    <t>Amo i sussidiari , ed anche i documentari .</t>
  </si>
  <si>
    <t>I like textbooks , and documentaries too .</t>
  </si>
  <si>
    <t>J' aime les manuels scolaires , et aussi les documentaires .</t>
  </si>
  <si>
    <t>Adoro il prosciutto , eccetto i broccoli .</t>
  </si>
  <si>
    <t>I like prosciutto , except broccoli .</t>
  </si>
  <si>
    <t>J' adore le prosciutto , sauf le brocoli .</t>
  </si>
  <si>
    <t>Amo i documentari , ed anche i giochi da tavolo .</t>
  </si>
  <si>
    <t>I like documentaries , and boardgames too .</t>
  </si>
  <si>
    <t>J' aime les documentaires , et aussi les jeux de société .</t>
  </si>
  <si>
    <t>Amo i giochi da tavolo , ed anche i documentari .</t>
  </si>
  <si>
    <t>I like boardgames , and documentaries too .</t>
  </si>
  <si>
    <t>J' aime les jeux de société , et aussi les documentaires .</t>
  </si>
  <si>
    <t>Amo i documentari , ed anche i videogiochi .</t>
  </si>
  <si>
    <t>I like documentaries , and videogames too .</t>
  </si>
  <si>
    <t>J' aime les documentaires , et aussi les jeux vidéo .</t>
  </si>
  <si>
    <t>Amo i videogiochi , ed anche i documentari .</t>
  </si>
  <si>
    <t>I like videogames , and documentaries too .</t>
  </si>
  <si>
    <t>J' aime les jeux vidéo , et aussi les documentaires .</t>
  </si>
  <si>
    <t>Adoro i broccoli , eccetto il prosciutto .</t>
  </si>
  <si>
    <t>I like broccoli , except prosciutto .</t>
  </si>
  <si>
    <t>J' adore le brocoli , sauf le prosciutto .</t>
  </si>
  <si>
    <t>Amo i braccialetti , ed anche le borsette .</t>
  </si>
  <si>
    <t>I like bracelets , and handbags too .</t>
  </si>
  <si>
    <t>J' aime les bracelets , et aussi les sacs à main .</t>
  </si>
  <si>
    <t>Amo le borsette , ed anche i braccialetti .</t>
  </si>
  <si>
    <t>I like handbags , and bracelets too .</t>
  </si>
  <si>
    <t>J' aime les sacs à main , et aussi les bracelets .</t>
  </si>
  <si>
    <t>Amo i braccialetti , ed anche i gioielli .</t>
  </si>
  <si>
    <t>I like bracelets , and jewelry too .</t>
  </si>
  <si>
    <t>J' aime les bracelets , et aussi les bijoux .</t>
  </si>
  <si>
    <t>Amo i gioielli , ed anche i braccialetti .</t>
  </si>
  <si>
    <t>I like jewelry , and bracelets too .</t>
  </si>
  <si>
    <t>J' aime les bijoux , et aussi les bracelets .</t>
  </si>
  <si>
    <t>Amo i gioielli , ed anche le borsette .</t>
  </si>
  <si>
    <t>I like jewelry , and handbags too .</t>
  </si>
  <si>
    <t>J' aime les bijoux , et aussi les sacs à main .</t>
  </si>
  <si>
    <t>Amo i braccialetti , ed anche le sciarpe .</t>
  </si>
  <si>
    <t>I like bracelets , and scarfs too .</t>
  </si>
  <si>
    <t>J' aime les bracelets , et aussi les écharpes .</t>
  </si>
  <si>
    <t>Amo le sciarpe , ed anche i braccialetti .</t>
  </si>
  <si>
    <t>I like scarfs , and bracelets too .</t>
  </si>
  <si>
    <t>J' aime les écharpes , et aussi les bracelets .</t>
  </si>
  <si>
    <t>Amo i gioielli , ed anche le sciarpe .</t>
  </si>
  <si>
    <t>I like jewelry , and scarfs too .</t>
  </si>
  <si>
    <t>J' aime les bijoux , et aussi les écharpes .</t>
  </si>
  <si>
    <t>Amo i braccialetti , ed anche gli occhiali .</t>
  </si>
  <si>
    <t>I like bracelets , and glasses too .</t>
  </si>
  <si>
    <t>J' aime les bracelets , et aussi les lunettes .</t>
  </si>
  <si>
    <t>Amo gli occhiali , ed anche i braccialetti .</t>
  </si>
  <si>
    <t>I like glasses , and bracelets too .</t>
  </si>
  <si>
    <t>J' aime les lunettes , et aussi les bracelets .</t>
  </si>
  <si>
    <t>Amo i gioielli , ed anche gli occhiali .</t>
  </si>
  <si>
    <t>I like jewelry , and glasses too .</t>
  </si>
  <si>
    <t>J' aime les bijoux , et aussi les lunettes .</t>
  </si>
  <si>
    <t>Amo i braccialetti , ed anche le scarpe .</t>
  </si>
  <si>
    <t>I like bracelets , and shoes too .</t>
  </si>
  <si>
    <t>J' aime les bracelets , et aussi les chaussures .</t>
  </si>
  <si>
    <t>Amo le scarpe , ed anche i braccialetti .</t>
  </si>
  <si>
    <t>I like shoes , and bracelets too .</t>
  </si>
  <si>
    <t>J' aime les chaussures , et aussi les bracelets .</t>
  </si>
  <si>
    <t>Amo i gioielli , ed anche le scarpe .</t>
  </si>
  <si>
    <t>I like jewelry , and shoes too .</t>
  </si>
  <si>
    <t>J' aime les bijoux , et aussi les chaussures .</t>
  </si>
  <si>
    <t>Amo le collane , ed anche le borsette .</t>
  </si>
  <si>
    <t>I like necklaces , and handbags too .</t>
  </si>
  <si>
    <t>J' aime les colliers , et aussi les sacs à main .</t>
  </si>
  <si>
    <t>Amo le borsette , ed anche le collane .</t>
  </si>
  <si>
    <t>I like handbags , and necklaces too .</t>
  </si>
  <si>
    <t>J' aime les sacs à main , et aussi les colliers .</t>
  </si>
  <si>
    <t>Amo le collane , ed anche i gioielli .</t>
  </si>
  <si>
    <t>I like necklaces , and jewelry too .</t>
  </si>
  <si>
    <t>J' aime les colliers , et aussi les bijoux .</t>
  </si>
  <si>
    <t>Amo i gioielli , ed anche le collane .</t>
  </si>
  <si>
    <t>I like jewelry , and necklaces too .</t>
  </si>
  <si>
    <t>J' aime les bijoux , et aussi les colliers .</t>
  </si>
  <si>
    <t>Amo le collane , ed anche le sciarpe .</t>
  </si>
  <si>
    <t>I like necklaces , and scarfs too .</t>
  </si>
  <si>
    <t>J' aime les colliers , et aussi les écharpes .</t>
  </si>
  <si>
    <t>Amo le sciarpe , ed anche le collane .</t>
  </si>
  <si>
    <t>I like scarfs , and necklaces too .</t>
  </si>
  <si>
    <t>J' aime les écharpes , et aussi les colliers .</t>
  </si>
  <si>
    <t>Amo le collane , ed anche gli occhiali .</t>
  </si>
  <si>
    <t>I like necklaces , and glasses too .</t>
  </si>
  <si>
    <t>J' aime les colliers , et aussi les lunettes .</t>
  </si>
  <si>
    <t>Amo gli occhiali , ed anche le collane .</t>
  </si>
  <si>
    <t>I like glasses , and necklaces too .</t>
  </si>
  <si>
    <t>J' aime les lunettes , et aussi les colliers .</t>
  </si>
  <si>
    <t>Amo le collane , ed anche le scarpe .</t>
  </si>
  <si>
    <t>I like necklaces , and shoes too .</t>
  </si>
  <si>
    <t>J' aime les colliers , et aussi les chaussures .</t>
  </si>
  <si>
    <t>Amo le scarpe , ed anche le collane .</t>
  </si>
  <si>
    <t>I like shoes , and necklaces too .</t>
  </si>
  <si>
    <t>J' aime les chaussures , et aussi les colliers .</t>
  </si>
  <si>
    <t>Adoro il prosciutto , eccetto le mele .</t>
  </si>
  <si>
    <t>I like prosciutto , except apples .</t>
  </si>
  <si>
    <t>J' adore le prosciutto , sauf les pommes .</t>
  </si>
  <si>
    <t>Amo gli orecchini , ed anche le borsette .</t>
  </si>
  <si>
    <t>I like earrings , and handbags too .</t>
  </si>
  <si>
    <t>J' aime les boucles d' oreille , et aussi les sacs à main .</t>
  </si>
  <si>
    <t>Amo le borsette , ed anche gli orecchini .</t>
  </si>
  <si>
    <t>I like handbags , and earrings too .</t>
  </si>
  <si>
    <t>J' aime les sacs à main , et aussi les boucles d' oreille .</t>
  </si>
  <si>
    <t>Amo gli orecchini , ed anche i gioielli .</t>
  </si>
  <si>
    <t>I like earrings , and jewelry too .</t>
  </si>
  <si>
    <t>J' aime les boucles d' oreille , et aussi les bijoux .</t>
  </si>
  <si>
    <t>Amo i gioielli , ed anche gli orecchini .</t>
  </si>
  <si>
    <t>I like jewelry , and earrings too .</t>
  </si>
  <si>
    <t>J' aime les bijoux , et aussi les boucles d' oreille .</t>
  </si>
  <si>
    <t>Amo gli orecchini , ed anche le sciarpe .</t>
  </si>
  <si>
    <t>I like earrings , and scarfs too .</t>
  </si>
  <si>
    <t>J' aime les boucles d' oreille , et aussi les écharpes .</t>
  </si>
  <si>
    <t>Amo le sciarpe , ed anche gli orecchini .</t>
  </si>
  <si>
    <t>I like scarfs , and earrings too .</t>
  </si>
  <si>
    <t>J' aime les écharpes , et aussi les boucles d' oreille .</t>
  </si>
  <si>
    <t>Adoro le mele , eccetto il prosciutto .</t>
  </si>
  <si>
    <t>I like apples , except prosciutto .</t>
  </si>
  <si>
    <t>J' adore les pommes , sauf le prosciutto .</t>
  </si>
  <si>
    <t>Amo gli orecchini , ed anche gli occhiali .</t>
  </si>
  <si>
    <t>I like earrings , and glasses too .</t>
  </si>
  <si>
    <t>J' aime les boucles d' oreille , et aussi les lunettes .</t>
  </si>
  <si>
    <t>Amo gli occhiali , ed anche gli orecchini .</t>
  </si>
  <si>
    <t>I like glasses , and earrings too .</t>
  </si>
  <si>
    <t>J' aime les lunettes , et aussi les boucles d' oreille .</t>
  </si>
  <si>
    <t>Amo gli orecchini , ed anche le scarpe .</t>
  </si>
  <si>
    <t>I like earrings , and shoes too .</t>
  </si>
  <si>
    <t>J' aime les boucles d' oreille , et aussi les chaussures .</t>
  </si>
  <si>
    <t>Amo le scarpe , ed anche gli orecchini .</t>
  </si>
  <si>
    <t>I like shoes , and earrings too .</t>
  </si>
  <si>
    <t>J' aime les chaussures , et aussi les boucles d' oreille .</t>
  </si>
  <si>
    <t>Amo gli anelli , ed anche le borsette .</t>
  </si>
  <si>
    <t>I like rings , and handbags too .</t>
  </si>
  <si>
    <t>J' aime les bagues , et aussi les sacs à main .</t>
  </si>
  <si>
    <t>Amo le borsette , ed anche gli anelli .</t>
  </si>
  <si>
    <t>I like handbags , and rings too .</t>
  </si>
  <si>
    <t>J' aime les sacs à main , et aussi les bagues .</t>
  </si>
  <si>
    <t>Amo gli anelli , ed anche i gioielli .</t>
  </si>
  <si>
    <t>I like rings , and jewelry too .</t>
  </si>
  <si>
    <t>J' aime les bagues , et aussi les bijoux .</t>
  </si>
  <si>
    <t>Amo i gioielli , ed anche gli anelli .</t>
  </si>
  <si>
    <t>I like jewelry , and rings too .</t>
  </si>
  <si>
    <t>J' aime les bijoux , et aussi les bagues .</t>
  </si>
  <si>
    <t>Amo gli anelli , ed anche le sciarpe .</t>
  </si>
  <si>
    <t>I like rings , and scarfs too .</t>
  </si>
  <si>
    <t>J' aime les bagues , et aussi les écharpes .</t>
  </si>
  <si>
    <t>Amo le sciarpe , ed anche gli anelli .</t>
  </si>
  <si>
    <t>I like scarfs , and rings too .</t>
  </si>
  <si>
    <t>J' aime les écharpes , et aussi les bagues .</t>
  </si>
  <si>
    <t>Amo gli anelli , ed anche gli occhiali .</t>
  </si>
  <si>
    <t>I like rings , and glasses too .</t>
  </si>
  <si>
    <t>J' aime les bagues , et aussi les lunettes .</t>
  </si>
  <si>
    <t>Amo gli occhiali , ed anche gli anelli .</t>
  </si>
  <si>
    <t>I like glasses , and rings too .</t>
  </si>
  <si>
    <t>J' aime les lunettes , et aussi les bagues .</t>
  </si>
  <si>
    <t>Amo gli anelli , ed anche le scarpe .</t>
  </si>
  <si>
    <t>I like rings , and shoes too .</t>
  </si>
  <si>
    <t>J' aime les bagues , et aussi les chaussures .</t>
  </si>
  <si>
    <t>Amo le scarpe , ed anche gli anelli .</t>
  </si>
  <si>
    <t>I like shoes , and rings too .</t>
  </si>
  <si>
    <t>J' aime les chaussures , et aussi les bagues .</t>
  </si>
  <si>
    <t>Amo i gatti , ed anche le giraffe .</t>
  </si>
  <si>
    <t>I like cats , and giraffes too .</t>
  </si>
  <si>
    <t>J' aime les chats , et aussi les giraffes .</t>
  </si>
  <si>
    <t>Amo le giraffe , ed anche i gatti .</t>
  </si>
  <si>
    <t>I like giraffes , and cats too .</t>
  </si>
  <si>
    <t>J' aime les giraffes , et aussi les chats .</t>
  </si>
  <si>
    <t>Amo i gatti , ed anche gli animali domestici .</t>
  </si>
  <si>
    <t>I like cats , and pets too .</t>
  </si>
  <si>
    <t>J' aime les chats , et aussi les animaux de compagnie .</t>
  </si>
  <si>
    <t>Amo gli animali domestici , ed anche i gatti .</t>
  </si>
  <si>
    <t>I like pets , and cats too .</t>
  </si>
  <si>
    <t>J' aime les animaux de compagnie , et aussi les chats .</t>
  </si>
  <si>
    <t>Amo gli animali domestici , ed anche le giraffe .</t>
  </si>
  <si>
    <t>I like pets , and giraffes too .</t>
  </si>
  <si>
    <t>J' aime les animaux de compagnie , et aussi les giraffes .</t>
  </si>
  <si>
    <t>Amo i gatti , ed anche gli orsi .</t>
  </si>
  <si>
    <t>I like cats , and bears too .</t>
  </si>
  <si>
    <t>J' aime les chats , et aussi les ours .</t>
  </si>
  <si>
    <t>Amo gli orsi , ed anche i gatti .</t>
  </si>
  <si>
    <t>I like bears , and cats too .</t>
  </si>
  <si>
    <t>J' aime les ours , et aussi les chats .</t>
  </si>
  <si>
    <t>Adoro il prosciutto , eccetto le carote .</t>
  </si>
  <si>
    <t>I like prosciutto , except carrots .</t>
  </si>
  <si>
    <t>J' adore le prosciutto , sauf les carottes .</t>
  </si>
  <si>
    <t>Amo gli animali domestici , ed anche gli orsi .</t>
  </si>
  <si>
    <t>I like pets , and bears too .</t>
  </si>
  <si>
    <t>J' aime les animaux de compagnie , et aussi les ours .</t>
  </si>
  <si>
    <t>Amo i gatti , ed anche le meduse .</t>
  </si>
  <si>
    <t>I like cats , and jellyfish too .</t>
  </si>
  <si>
    <t>J' aime les chats , et aussi les méduses .</t>
  </si>
  <si>
    <t>Amo le meduse , ed anche i gatti .</t>
  </si>
  <si>
    <t>I like jellyfish , and cats too .</t>
  </si>
  <si>
    <t>J' aime les méduses , et aussi les chats .</t>
  </si>
  <si>
    <t>Amo gli animali domestici , ed anche le meduse .</t>
  </si>
  <si>
    <t>I like pets , and jellyfish too .</t>
  </si>
  <si>
    <t>J' aime les animaux de compagnie , et aussi les méduses .</t>
  </si>
  <si>
    <t>Amo i gatti , ed anche le balene .</t>
  </si>
  <si>
    <t>I like cats , and whales too .</t>
  </si>
  <si>
    <t>J' aime les chats , et aussi les baleines .</t>
  </si>
  <si>
    <t>Amo le balene , ed anche i gatti .</t>
  </si>
  <si>
    <t>I like whales , and cats too .</t>
  </si>
  <si>
    <t>J' aime les baleines , et aussi les chats .</t>
  </si>
  <si>
    <t>Adoro le carote , eccetto il prosciutto .</t>
  </si>
  <si>
    <t>I like carrots , except prosciutto .</t>
  </si>
  <si>
    <t>J' adore les carottes , sauf le prosciutto .</t>
  </si>
  <si>
    <t>Amo gli animali domestici , ed anche le balene .</t>
  </si>
  <si>
    <t>I like pets , and whales too .</t>
  </si>
  <si>
    <t>J' aime les animaux de compagnie , et aussi les baleines .</t>
  </si>
  <si>
    <t>Amo i cani , ed anche le giraffe .</t>
  </si>
  <si>
    <t>I like dogs , and giraffes too .</t>
  </si>
  <si>
    <t>J' aime les chiens , et aussi les giraffes .</t>
  </si>
  <si>
    <t>Amo le giraffe , ed anche i cani .</t>
  </si>
  <si>
    <t>I like giraffes , and dogs too .</t>
  </si>
  <si>
    <t>J' aime les giraffes , et aussi les chiens .</t>
  </si>
  <si>
    <t>Amo i cani , ed anche gli animali domestici .</t>
  </si>
  <si>
    <t>I like dogs , and pets too .</t>
  </si>
  <si>
    <t>J' aime les chiens , et aussi les animaux de compagnie .</t>
  </si>
  <si>
    <t>Amo gli animali domestici , ed anche i cani .</t>
  </si>
  <si>
    <t>I like pets , and dogs too .</t>
  </si>
  <si>
    <t>J' aime les animaux de compagnie , et aussi les chiens .</t>
  </si>
  <si>
    <t>Amo i cani , ed anche gli orsi .</t>
  </si>
  <si>
    <t>I like dogs , and bears too .</t>
  </si>
  <si>
    <t>J' aime les chiens , et aussi les ours .</t>
  </si>
  <si>
    <t>Amo gli orsi , ed anche i cani .</t>
  </si>
  <si>
    <t>I like bears , and dogs too .</t>
  </si>
  <si>
    <t>J' aime les ours , et aussi les chiens .</t>
  </si>
  <si>
    <t>Amo i cani , ed anche le meduse .</t>
  </si>
  <si>
    <t>I like dogs , and jellyfish too .</t>
  </si>
  <si>
    <t>J' aime les chiens , et aussi les méduses .</t>
  </si>
  <si>
    <t>Amo le meduse , ed anche i cani .</t>
  </si>
  <si>
    <t>I like jellyfish , and dogs too .</t>
  </si>
  <si>
    <t>J' aime les méduses , et aussi les chiens .</t>
  </si>
  <si>
    <t>Amo i cani , ed anche le balene .</t>
  </si>
  <si>
    <t>I like dogs , and whales too .</t>
  </si>
  <si>
    <t>J' aime les chiens , et aussi les baleines .</t>
  </si>
  <si>
    <t>Amo le balene , ed anche i cani .</t>
  </si>
  <si>
    <t>I like whales , and dogs too .</t>
  </si>
  <si>
    <t>J' aime les baleines , et aussi les chiens .</t>
  </si>
  <si>
    <t>Amo i conigli , ed anche le giraffe .</t>
  </si>
  <si>
    <t>I like rabbits , and giraffes too .</t>
  </si>
  <si>
    <t>J' aime les lapins , et aussi les giraffes .</t>
  </si>
  <si>
    <t>Amo le giraffe , ed anche i conigli .</t>
  </si>
  <si>
    <t>I like giraffes , and rabbits too .</t>
  </si>
  <si>
    <t>J' aime les giraffes , et aussi les lapins .</t>
  </si>
  <si>
    <t>Amo i conigli , ed anche gli animali domestici .</t>
  </si>
  <si>
    <t>I like rabbits , and pets too .</t>
  </si>
  <si>
    <t>J' aime les lapins , et aussi les animaux de compagnie .</t>
  </si>
  <si>
    <t>Amo gli animali domestici , ed anche i conigli .</t>
  </si>
  <si>
    <t>I like pets , and rabbits too .</t>
  </si>
  <si>
    <t>J' aime les animaux de compagnie , et aussi les lapins .</t>
  </si>
  <si>
    <t>Amo i conigli , ed anche gli orsi .</t>
  </si>
  <si>
    <t>I like rabbits , and bears too .</t>
  </si>
  <si>
    <t>J' aime les lapins , et aussi les ours .</t>
  </si>
  <si>
    <t>Amo gli orsi , ed anche i conigli .</t>
  </si>
  <si>
    <t>I like bears , and rabbits too .</t>
  </si>
  <si>
    <t>J' aime les ours , et aussi les lapins .</t>
  </si>
  <si>
    <t>Amo i conigli , ed anche le meduse .</t>
  </si>
  <si>
    <t>I like rabbits , and jellyfish too .</t>
  </si>
  <si>
    <t>J' aime les lapins , et aussi les méduses .</t>
  </si>
  <si>
    <t>Amo le meduse , ed anche i conigli .</t>
  </si>
  <si>
    <t>I like jellyfish , and rabbits too .</t>
  </si>
  <si>
    <t>J' aime les méduses , et aussi les lapins .</t>
  </si>
  <si>
    <t>Amo i conigli , ed anche le balene .</t>
  </si>
  <si>
    <t>I like rabbits , and whales too .</t>
  </si>
  <si>
    <t>J' aime les lapins , et aussi les baleines .</t>
  </si>
  <si>
    <t>Amo le balene , ed anche i conigli .</t>
  </si>
  <si>
    <t>I like whales , and rabbits too .</t>
  </si>
  <si>
    <t>J' aime les baleines , et aussi les lapins .</t>
  </si>
  <si>
    <t>Amo i criceti , ed anche le giraffe .</t>
  </si>
  <si>
    <t>I like hamsters , and giraffes too .</t>
  </si>
  <si>
    <t>J' aime les hamsters , et aussi les giraffes .</t>
  </si>
  <si>
    <t>Amo le giraffe , ed anche i criceti .</t>
  </si>
  <si>
    <t>I like giraffes , and hamsters too .</t>
  </si>
  <si>
    <t>J' aime les giraffes , et aussi les hamsters .</t>
  </si>
  <si>
    <t>Amo i criceti , ed anche gli animali domestici .</t>
  </si>
  <si>
    <t>I like hamsters , and pets too .</t>
  </si>
  <si>
    <t>J' aime les hamsters , et aussi les animaux de compagnie .</t>
  </si>
  <si>
    <t>Amo gli animali domestici , ed anche i criceti .</t>
  </si>
  <si>
    <t>I like pets , and hamsters too .</t>
  </si>
  <si>
    <t>J' aime les animaux de compagnie , et aussi les hamsters .</t>
  </si>
  <si>
    <t>Amo i criceti , ed anche gli orsi .</t>
  </si>
  <si>
    <t>I like hamsters , and bears too .</t>
  </si>
  <si>
    <t>J' aime les hamsters , et aussi les ours .</t>
  </si>
  <si>
    <t>Amo gli orsi , ed anche i criceti .</t>
  </si>
  <si>
    <t>I like bears , and hamsters too .</t>
  </si>
  <si>
    <t>J' aime les ours , et aussi les hamsters .</t>
  </si>
  <si>
    <t>Amo i criceti , ed anche le meduse .</t>
  </si>
  <si>
    <t>I like hamsters , and jellyfish too .</t>
  </si>
  <si>
    <t>J' aime les hamsters , et aussi les méduses .</t>
  </si>
  <si>
    <t>Amo le meduse , ed anche i criceti .</t>
  </si>
  <si>
    <t>I like jellyfish , and hamsters too .</t>
  </si>
  <si>
    <t>J' aime les méduses , et aussi les hamsters .</t>
  </si>
  <si>
    <t>Amo i criceti , ed anche le balene .</t>
  </si>
  <si>
    <t>I like hamsters , and whales too .</t>
  </si>
  <si>
    <t>J' aime les hamsters , et aussi les baleines .</t>
  </si>
  <si>
    <t>Amo le balene , ed anche i criceti .</t>
  </si>
  <si>
    <t>I like whales , and hamsters too .</t>
  </si>
  <si>
    <t>J' aime les baleines , et aussi les hamsters .</t>
  </si>
  <si>
    <t>Si fida della vista , ed anche delle dicerie .</t>
  </si>
  <si>
    <t>He trusts his sight , and rumors too .</t>
  </si>
  <si>
    <t>Il fait confiance à sa vision , et aussi les rumeurs .</t>
  </si>
  <si>
    <t>Si fida delle dicerie , ed anche della vista .</t>
  </si>
  <si>
    <t>He trusts rumors , and his sight too .</t>
  </si>
  <si>
    <t>Il fait confiance aux rumeurs , et aussi sa vision .</t>
  </si>
  <si>
    <t>Si fida della vista , ed anche dei sensi .</t>
  </si>
  <si>
    <t>He trusts his sight , and his senses too .</t>
  </si>
  <si>
    <t>Il fait confiance à sa vision , et aussi ses sens .</t>
  </si>
  <si>
    <t>Si fida dei sensi , ed anche della vista .</t>
  </si>
  <si>
    <t>He trusts his senses , and his sight too .</t>
  </si>
  <si>
    <t>Il fait confiance à ses sens , et aussi sa vision .</t>
  </si>
  <si>
    <t>Si fida dei sensi , ed anche delle dicerie .</t>
  </si>
  <si>
    <t>He trusts his senses , and rumors too .</t>
  </si>
  <si>
    <t>Il fait confiance à ses sens , et aussi les rumeurs .</t>
  </si>
  <si>
    <t>Si fida della vista , ed anche dei notiziari .</t>
  </si>
  <si>
    <t>He trusts his sight , and reports too .</t>
  </si>
  <si>
    <t>Il fait confiance à sa vision , et aussi les rapports .</t>
  </si>
  <si>
    <t>Si fida dei notiziari , ed anche della vista .</t>
  </si>
  <si>
    <t>He trusts reports , and his sight too .</t>
  </si>
  <si>
    <t>Il fait confiance aux rapports , et aussi sa vision .</t>
  </si>
  <si>
    <t>Si fida dei sensi , ed anche dei notiziari .</t>
  </si>
  <si>
    <t>He trusts his senses , and reports too .</t>
  </si>
  <si>
    <t>Il fait confiance à ses sens , et aussi les rapports .</t>
  </si>
  <si>
    <t>Si fida della vista , ed anche delle ricostruzioni .</t>
  </si>
  <si>
    <t>He trusts his sight , and reconstructions too .</t>
  </si>
  <si>
    <t>Il fait confiance à sa vision , et aussi les reconstructions .</t>
  </si>
  <si>
    <t>Si fida delle ricostruzioni , ed anche della vista .</t>
  </si>
  <si>
    <t>He trusts reconstructions , and his sight too .</t>
  </si>
  <si>
    <t>Il fait confiance aux reconstructions , et aussi sa vision .</t>
  </si>
  <si>
    <t>Si fida dei sensi , ed anche delle ricostruzioni .</t>
  </si>
  <si>
    <t>He trusts his senses , and reconstructions too .</t>
  </si>
  <si>
    <t>Il fait confiance à ses sens , et aussi les reconstructions .</t>
  </si>
  <si>
    <t>Si fida della vista , ed anche delle congetture .</t>
  </si>
  <si>
    <t>He trusts his sight , and guesses too .</t>
  </si>
  <si>
    <t>Il fait confiance à sa vision , et aussi les suppositions .</t>
  </si>
  <si>
    <t>Si fida delle congetture , ed anche della vista .</t>
  </si>
  <si>
    <t>He trusts guesses , and his sight too .</t>
  </si>
  <si>
    <t>Il fait confiance aux suppositions , et aussi sa vision .</t>
  </si>
  <si>
    <t>Adoro il bacon , eccetto il pesce .</t>
  </si>
  <si>
    <t>I like bacon , except fish .</t>
  </si>
  <si>
    <t>J' adore le bacon , sauf le poisson .</t>
  </si>
  <si>
    <t>Si fida dei sensi , ed anche delle congetture .</t>
  </si>
  <si>
    <t>He trusts his senses , and guesses too .</t>
  </si>
  <si>
    <t>Il fait confiance à ses sens , et aussi les suppositions .</t>
  </si>
  <si>
    <t>Si fida dell' udito , ed anche delle dicerie .</t>
  </si>
  <si>
    <t>He trusts his hearing , and rumors too .</t>
  </si>
  <si>
    <t>Il fait confiance à son odorat , et aussi les rumeurs .</t>
  </si>
  <si>
    <t>Si fida delle dicerie , ed anche dell' udito .</t>
  </si>
  <si>
    <t>He trusts rumors , and his hearing too .</t>
  </si>
  <si>
    <t>Il fait confiance aux rumeurs , et aussi son odorat .</t>
  </si>
  <si>
    <t>Si fida dell' udito , ed anche dei sensi .</t>
  </si>
  <si>
    <t>He trusts his hearing , and his senses too .</t>
  </si>
  <si>
    <t>Il fait confiance à son odorat , et aussi ses sens .</t>
  </si>
  <si>
    <t>Si fida dei sensi , ed anche dell' udito .</t>
  </si>
  <si>
    <t>He trusts his senses , and his hearing too .</t>
  </si>
  <si>
    <t>Il fait confiance à ses sens , et aussi son odorat .</t>
  </si>
  <si>
    <t>Si fida dell' udito , ed anche dei notiziari .</t>
  </si>
  <si>
    <t>He trusts his hearing , and reports too .</t>
  </si>
  <si>
    <t>Il fait confiance à son odorat , et aussi les rapports .</t>
  </si>
  <si>
    <t>Si fida dei notiziari , ed anche dell' udito .</t>
  </si>
  <si>
    <t>He trusts reports , and his hearing too .</t>
  </si>
  <si>
    <t>Il fait confiance aux rapports , et aussi son odorat .</t>
  </si>
  <si>
    <t>Adoro il pesce , eccetto il bacon .</t>
  </si>
  <si>
    <t>I like fish , except bacon .</t>
  </si>
  <si>
    <t>J' adore le poisson , sauf le bacon .</t>
  </si>
  <si>
    <t>Si fida dell' udito , ed anche delle ricostruzioni .</t>
  </si>
  <si>
    <t>He trusts his hearing , and reconstructions too .</t>
  </si>
  <si>
    <t>Il fait confiance à son odorat , et aussi les reconstructions .</t>
  </si>
  <si>
    <t>Si fida delle ricostruzioni , ed anche dell' udito .</t>
  </si>
  <si>
    <t>He trusts reconstructions , and his hearing too .</t>
  </si>
  <si>
    <t>Il fait confiance aux reconstructions , et aussi son odorat .</t>
  </si>
  <si>
    <t>Si fida dell' udito , ed anche delle congetture .</t>
  </si>
  <si>
    <t>He trusts his hearing , and guesses too .</t>
  </si>
  <si>
    <t>Il fait confiance à son odorat , et aussi les suppositions .</t>
  </si>
  <si>
    <t>Si fida delle congetture , ed anche dell' udito .</t>
  </si>
  <si>
    <t>He trusts guesses , and his hearing too .</t>
  </si>
  <si>
    <t>Il fait confiance aux suppositions , et aussi son odorat .</t>
  </si>
  <si>
    <t>Adoro il bacon , eccetto il maiale .</t>
  </si>
  <si>
    <t>I like bacon , except pork .</t>
  </si>
  <si>
    <t>J' adore le bacon , sauf le porc .</t>
  </si>
  <si>
    <t>Si fida del tatto , ed anche delle dicerie .</t>
  </si>
  <si>
    <t>He trusts his touch , and rumors too .</t>
  </si>
  <si>
    <t>Il fait confiance à son sens du toucher , et aussi les rumeurs .</t>
  </si>
  <si>
    <t>Si fida delle dicerie , ed anche del tatto .</t>
  </si>
  <si>
    <t>He trusts rumors , and his touch too .</t>
  </si>
  <si>
    <t>Il fait confiance aux rumeurs , et aussi son sens du toucher .</t>
  </si>
  <si>
    <t>Si fida del tatto , ed anche dei sensi .</t>
  </si>
  <si>
    <t>He trusts his touch , and his senses too .</t>
  </si>
  <si>
    <t>Il fait confiance à son sens du toucher , et aussi ses sens .</t>
  </si>
  <si>
    <t>Si fida dei sensi , ed anche del tatto .</t>
  </si>
  <si>
    <t>He trusts his senses , and his touch too .</t>
  </si>
  <si>
    <t>Il fait confiance à ses sens , et aussi son sens du toucher .</t>
  </si>
  <si>
    <t>Si fida del tatto , ed anche dei notiziari .</t>
  </si>
  <si>
    <t>He trusts his touch , and reports too .</t>
  </si>
  <si>
    <t>Il fait confiance à son sens du toucher , et aussi les rapports .</t>
  </si>
  <si>
    <t>Si fida dei notiziari , ed anche del tatto .</t>
  </si>
  <si>
    <t>He trusts reports , and his touch too .</t>
  </si>
  <si>
    <t>Il fait confiance aux rapports , et aussi son sens du toucher .</t>
  </si>
  <si>
    <t>Adoro il maiale , eccetto il bacon .</t>
  </si>
  <si>
    <t>I like pork , except bacon .</t>
  </si>
  <si>
    <t>J' adore le porc , sauf le bacon .</t>
  </si>
  <si>
    <t>Si fida del tatto , ed anche delle ricostruzioni .</t>
  </si>
  <si>
    <t>He trusts his touch , and reconstructions too .</t>
  </si>
  <si>
    <t>Il fait confiance à son sens du toucher , et aussi les reconstructions .</t>
  </si>
  <si>
    <t>Si fida delle ricostruzioni , ed anche del tatto .</t>
  </si>
  <si>
    <t>He trusts reconstructions , and his touch too .</t>
  </si>
  <si>
    <t>Il fait confiance aux reconstructions , et aussi son sens du toucher .</t>
  </si>
  <si>
    <t>Si fida del tatto , ed anche delle congetture .</t>
  </si>
  <si>
    <t>He trusts his touch , and guesses too .</t>
  </si>
  <si>
    <t>Il fait confiance à son sens du toucher , et aussi les suppositions .</t>
  </si>
  <si>
    <t>Si fida delle congetture , ed anche del tatto .</t>
  </si>
  <si>
    <t>He trusts guesses , and his touch too .</t>
  </si>
  <si>
    <t>Il fait confiance aux suppositions , et aussi son sens du toucher .</t>
  </si>
  <si>
    <t>Si fida del gusto , ed anche delle dicerie .</t>
  </si>
  <si>
    <t>He trusts his taste , and rumors too .</t>
  </si>
  <si>
    <t>Il fait confiance à son sens du goût , et aussi les rumeurs .</t>
  </si>
  <si>
    <t>Si fida delle dicerie , ed anche del gusto .</t>
  </si>
  <si>
    <t>He trusts rumors , and his taste too .</t>
  </si>
  <si>
    <t>Il fait confiance aux rumeurs , et aussi son sens du goût .</t>
  </si>
  <si>
    <t>Si fida del gusto , ed anche dei sensi .</t>
  </si>
  <si>
    <t>He trusts his taste , and his senses too .</t>
  </si>
  <si>
    <t>Il fait confiance à son sens du goût , et aussi ses sens .</t>
  </si>
  <si>
    <t>Si fida dei sensi , ed anche del gusto .</t>
  </si>
  <si>
    <t>He trusts his senses , and his taste too .</t>
  </si>
  <si>
    <t>Il fait confiance à ses sens , et aussi son sens du goût .</t>
  </si>
  <si>
    <t>Si fida del gusto , ed anche dei notiziari .</t>
  </si>
  <si>
    <t>He trusts his taste , and reports too .</t>
  </si>
  <si>
    <t>Il fait confiance à son sens du goût , et aussi les rapports .</t>
  </si>
  <si>
    <t>Si fida dei notiziari , ed anche del gusto .</t>
  </si>
  <si>
    <t>He trusts reports , and his taste too .</t>
  </si>
  <si>
    <t>Il fait confiance aux rapports , et aussi son sens du goût .</t>
  </si>
  <si>
    <t>Adoro il bacon , eccetto i broccoli .</t>
  </si>
  <si>
    <t>I like bacon , except broccoli .</t>
  </si>
  <si>
    <t>J' adore le bacon , sauf le brocoli .</t>
  </si>
  <si>
    <t>Si fida del gusto , ed anche delle ricostruzioni .</t>
  </si>
  <si>
    <t>He trusts his taste , and reconstructions too .</t>
  </si>
  <si>
    <t>Il fait confiance à son sens du goût , et aussi les reconstructions .</t>
  </si>
  <si>
    <t>Si fida delle ricostruzioni , ed anche del gusto .</t>
  </si>
  <si>
    <t>He trusts reconstructions , and his taste too .</t>
  </si>
  <si>
    <t>Il fait confiance aux reconstructions , et aussi son sens du goût .</t>
  </si>
  <si>
    <t>Si fida del gusto , ed anche delle congetture .</t>
  </si>
  <si>
    <t>He trusts his taste , and guesses too .</t>
  </si>
  <si>
    <t>Il fait confiance à son sens du goût , et aussi les suppositions .</t>
  </si>
  <si>
    <t>Si fida delle congetture , ed anche del gusto .</t>
  </si>
  <si>
    <t>He trusts guesses , and his taste too .</t>
  </si>
  <si>
    <t>Il fait confiance aux suppositions , et aussi son sens du goût .</t>
  </si>
  <si>
    <t>Adoro i broccoli , eccetto il bacon .</t>
  </si>
  <si>
    <t>I like broccoli , except bacon .</t>
  </si>
  <si>
    <t>J' adore le brocoli , sauf le bacon .</t>
  </si>
  <si>
    <t>Posso capire la gioia , ed anche la saggezza .</t>
  </si>
  <si>
    <t>He likes joy , and wisdom too .</t>
  </si>
  <si>
    <t>Je peux comprendre la joie , et aussi la sagesse .</t>
  </si>
  <si>
    <t>Posso capire la saggezza , ed anche la gioia .</t>
  </si>
  <si>
    <t>He likes wisdom , and joy too .</t>
  </si>
  <si>
    <t>Je peux comprendre la sagesse , et aussi la joie .</t>
  </si>
  <si>
    <t>Posso capire la gioia , ed anche le emozioni .</t>
  </si>
  <si>
    <t>He likes joy , and emotions too .</t>
  </si>
  <si>
    <t>Je peux comprendre la joie , et aussi les émotions .</t>
  </si>
  <si>
    <t>Posso capire le emozioni , ed anche la gioia .</t>
  </si>
  <si>
    <t>He likes emotions , and joy too .</t>
  </si>
  <si>
    <t>Je peux comprendre les émotions , et aussi la joie .</t>
  </si>
  <si>
    <t>Posso capire le emozioni , ed anche la saggezza .</t>
  </si>
  <si>
    <t>He likes emotions , and wisdom too .</t>
  </si>
  <si>
    <t>Je peux comprendre les émotions , et aussi la sagesse .</t>
  </si>
  <si>
    <t>Posso capire la gioia , ed anche la stupidità .</t>
  </si>
  <si>
    <t>He likes joy , and stupidity too .</t>
  </si>
  <si>
    <t>Je peux comprendre la joie , et aussi la stupidité .</t>
  </si>
  <si>
    <t>Posso capire la stupidità , ed anche la gioia .</t>
  </si>
  <si>
    <t>He likes stupidity , and joy too .</t>
  </si>
  <si>
    <t>Je peux comprendre la stupidité , et aussi la joie .</t>
  </si>
  <si>
    <t>Posso capire le emozioni , ed anche la stupidità .</t>
  </si>
  <si>
    <t>He likes emotions , and stupidity too .</t>
  </si>
  <si>
    <t>Je peux comprendre les émotions , et aussi la stupidité .</t>
  </si>
  <si>
    <t>Posso capire la gioia , ed anche la logica .</t>
  </si>
  <si>
    <t>He likes joy , and logic too .</t>
  </si>
  <si>
    <t>Je peux comprendre la joie , et aussi la logique .</t>
  </si>
  <si>
    <t>Posso capire la logica , ed anche la gioia .</t>
  </si>
  <si>
    <t>He likes logic , and joy too .</t>
  </si>
  <si>
    <t>Je peux comprendre la logique , et aussi la joie .</t>
  </si>
  <si>
    <t>Posso capire le emozioni , ed anche la logica .</t>
  </si>
  <si>
    <t>He likes emotions , and logic too .</t>
  </si>
  <si>
    <t>Je peux comprendre les émotions , et aussi la logique .</t>
  </si>
  <si>
    <t>Posso capire la gioia , ed anche i calcoli .</t>
  </si>
  <si>
    <t>He likes joy , and calculations too .</t>
  </si>
  <si>
    <t>Je peux comprendre la joie , et aussi les calculs .</t>
  </si>
  <si>
    <t>Posso capire i calcoli , ed anche la gioia .</t>
  </si>
  <si>
    <t>He likes calculations , and joy too .</t>
  </si>
  <si>
    <t>Je peux comprendre les calculs , et aussi la joie .</t>
  </si>
  <si>
    <t>Posso capire le emozioni , ed anche i calcoli .</t>
  </si>
  <si>
    <t>He likes emotions , and calculations too .</t>
  </si>
  <si>
    <t>Je peux comprendre les émotions , et aussi les calculs .</t>
  </si>
  <si>
    <t>Posso capire la paura , ed anche la saggezza .</t>
  </si>
  <si>
    <t>He likes fear , and wisdom too .</t>
  </si>
  <si>
    <t>Je peux comprendre la peur , et aussi la sagesse .</t>
  </si>
  <si>
    <t>Posso capire la saggezza , ed anche la paura .</t>
  </si>
  <si>
    <t>He likes wisdom , and fear too .</t>
  </si>
  <si>
    <t>Je peux comprendre la sagesse , et aussi la peur .</t>
  </si>
  <si>
    <t>Posso capire la paura , ed anche le emozioni .</t>
  </si>
  <si>
    <t>He likes fear , and emotions too .</t>
  </si>
  <si>
    <t>Je peux comprendre la peur , et aussi les émotions .</t>
  </si>
  <si>
    <t>Posso capire le emozioni , ed anche la paura .</t>
  </si>
  <si>
    <t>He likes emotions , and fear too .</t>
  </si>
  <si>
    <t>Je peux comprendre les émotions , et aussi la peur .</t>
  </si>
  <si>
    <t>Posso capire la paura , ed anche la stupidità .</t>
  </si>
  <si>
    <t>He likes fear , and stupidity too .</t>
  </si>
  <si>
    <t>Je peux comprendre la peur , et aussi la stupidité .</t>
  </si>
  <si>
    <t>Posso capire la stupidità , ed anche la paura .</t>
  </si>
  <si>
    <t>He likes stupidity , and fear too .</t>
  </si>
  <si>
    <t>Je peux comprendre la stupidité , et aussi la peur .</t>
  </si>
  <si>
    <t>Posso capire la paura , ed anche la logica .</t>
  </si>
  <si>
    <t>He likes fear , and logic too .</t>
  </si>
  <si>
    <t>Je peux comprendre la peur , et aussi la logique .</t>
  </si>
  <si>
    <t>Posso capire la logica , ed anche la paura .</t>
  </si>
  <si>
    <t>He likes logic , and fear too .</t>
  </si>
  <si>
    <t>Je peux comprendre la logique , et aussi la peur .</t>
  </si>
  <si>
    <t>Posso capire la paura , ed anche i calcoli .</t>
  </si>
  <si>
    <t>He likes fear , and calculations too .</t>
  </si>
  <si>
    <t>Je peux comprendre la peur , et aussi les calculs .</t>
  </si>
  <si>
    <t>Posso capire i calcoli , ed anche la paura .</t>
  </si>
  <si>
    <t>He likes calculations , and fear too .</t>
  </si>
  <si>
    <t>Je peux comprendre les calculs , et aussi la peur .</t>
  </si>
  <si>
    <t>Adoro il bacon , eccetto le mele .</t>
  </si>
  <si>
    <t>I like bacon , except apples .</t>
  </si>
  <si>
    <t>J' adore le bacon , sauf les pommes .</t>
  </si>
  <si>
    <t>Posso capire l' amore , ed anche la saggezza .</t>
  </si>
  <si>
    <t>He likes love , and wisdom too .</t>
  </si>
  <si>
    <t>Je peux comprendre l' amour , et aussi la sagesse .</t>
  </si>
  <si>
    <t>Posso capire la saggezza , ed anche l' amore .</t>
  </si>
  <si>
    <t>He likes wisdom , and love too .</t>
  </si>
  <si>
    <t>Je peux comprendre la sagesse , et aussi l' amour .</t>
  </si>
  <si>
    <t>Posso capire l' amore , ed anche le emozioni .</t>
  </si>
  <si>
    <t>He likes love , and emotions too .</t>
  </si>
  <si>
    <t>Je peux comprendre l' amour , et aussi les émotions .</t>
  </si>
  <si>
    <t>Posso capire le emozioni , ed anche l' amore .</t>
  </si>
  <si>
    <t>He likes emotions , and love too .</t>
  </si>
  <si>
    <t>Je peux comprendre les émotions , et aussi l' amour .</t>
  </si>
  <si>
    <t>Posso capire l' amore , ed anche la stupidità .</t>
  </si>
  <si>
    <t>He likes love , and stupidity too .</t>
  </si>
  <si>
    <t>Je peux comprendre l' amour , et aussi la stupidité .</t>
  </si>
  <si>
    <t>Posso capire la stupidità , ed anche l' amore .</t>
  </si>
  <si>
    <t>He likes stupidity , and love too .</t>
  </si>
  <si>
    <t>Je peux comprendre la stupidité , et aussi l' amour .</t>
  </si>
  <si>
    <t>Adoro le mele , eccetto il bacon .</t>
  </si>
  <si>
    <t>I like apples , except bacon .</t>
  </si>
  <si>
    <t>J' adore les pommes , sauf le bacon .</t>
  </si>
  <si>
    <t>Posso capire l' amore , ed anche la logica .</t>
  </si>
  <si>
    <t>He likes love , and logic too .</t>
  </si>
  <si>
    <t>Je peux comprendre l' amour , et aussi la logique .</t>
  </si>
  <si>
    <t>Posso capire la logica , ed anche l' amore .</t>
  </si>
  <si>
    <t>He likes logic , and love too .</t>
  </si>
  <si>
    <t>Je peux comprendre la logique , et aussi l' amour .</t>
  </si>
  <si>
    <t>Posso capire l' amore , ed anche i calcoli .</t>
  </si>
  <si>
    <t>He likes love , and calculations too .</t>
  </si>
  <si>
    <t>Je peux comprendre l' amour , et aussi les calculs .</t>
  </si>
  <si>
    <t>Posso capire i calcoli , ed anche l' amore .</t>
  </si>
  <si>
    <t>He likes calculations , and love too .</t>
  </si>
  <si>
    <t>Je peux comprendre les calculs , et aussi l' amour .</t>
  </si>
  <si>
    <t>Posso capire la tristezza , ed anche la saggezza .</t>
  </si>
  <si>
    <t>He likes sadness , and wisdom too .</t>
  </si>
  <si>
    <t>Je peux comprendre la tristesse , et aussi la sagesse .</t>
  </si>
  <si>
    <t>Posso capire la saggezza , ed anche la tristezza .</t>
  </si>
  <si>
    <t>He likes wisdom , and sadness too .</t>
  </si>
  <si>
    <t>Je peux comprendre la sagesse , et aussi la tristesse .</t>
  </si>
  <si>
    <t>Posso capire la tristezza , ed anche le emozioni .</t>
  </si>
  <si>
    <t>He likes sadness , and emotions too .</t>
  </si>
  <si>
    <t>Je peux comprendre la tristesse , et aussi les émotions .</t>
  </si>
  <si>
    <t>Posso capire le emozioni , ed anche la tristezza .</t>
  </si>
  <si>
    <t>He likes emotions , and sadness too .</t>
  </si>
  <si>
    <t>Je peux comprendre les émotions , et aussi la tristesse .</t>
  </si>
  <si>
    <t>Posso capire la tristezza , ed anche la stupidità .</t>
  </si>
  <si>
    <t>He likes sadness , and stupidity too .</t>
  </si>
  <si>
    <t>Je peux comprendre la tristesse , et aussi la stupidité .</t>
  </si>
  <si>
    <t>Posso capire la stupidità , ed anche la tristezza .</t>
  </si>
  <si>
    <t>He likes stupidity , and sadness too .</t>
  </si>
  <si>
    <t>Je peux comprendre la stupidité , et aussi la tristesse .</t>
  </si>
  <si>
    <t>Posso capire la tristezza , ed anche la logica .</t>
  </si>
  <si>
    <t>He likes sadness , and logic too .</t>
  </si>
  <si>
    <t>Je peux comprendre la tristesse , et aussi la logique .</t>
  </si>
  <si>
    <t>Posso capire la logica , ed anche la tristezza .</t>
  </si>
  <si>
    <t>He likes logic , and sadness too .</t>
  </si>
  <si>
    <t>Je peux comprendre la logique , et aussi la tristesse .</t>
  </si>
  <si>
    <t>Posso capire la tristezza , ed anche i calcoli .</t>
  </si>
  <si>
    <t>He likes sadness , and calculations too .</t>
  </si>
  <si>
    <t>Je peux comprendre la tristesse , et aussi les calculs .</t>
  </si>
  <si>
    <t>Posso capire i calcoli , ed anche la tristezza .</t>
  </si>
  <si>
    <t>He likes calculations , and sadness too .</t>
  </si>
  <si>
    <t>Je peux comprendre les calculs , et aussi la tristesse .</t>
  </si>
  <si>
    <t>Amo i sussidiari , ed anche la musica .</t>
  </si>
  <si>
    <t>I like textbooks , and music too .</t>
  </si>
  <si>
    <t>J' aime les manuels scolaires , et aussi la musique .</t>
  </si>
  <si>
    <t>Amo la musica , ed anche i sussidiari .</t>
  </si>
  <si>
    <t>I like music , and textbooks too .</t>
  </si>
  <si>
    <t>J' aime la musique , et aussi les manuels scolaires .</t>
  </si>
  <si>
    <t>Amo i sussidiari , ed anche i libri .</t>
  </si>
  <si>
    <t>I like textbooks , and books too .</t>
  </si>
  <si>
    <t>J' aime les manuels scolaires , et aussi les livres .</t>
  </si>
  <si>
    <t>Amo i libri , ed anche i sussidiari .</t>
  </si>
  <si>
    <t>I like books , and textbooks too .</t>
  </si>
  <si>
    <t>J' aime les livres , et aussi les manuels scolaires .</t>
  </si>
  <si>
    <t>Amo i libri , ed anche la musica .</t>
  </si>
  <si>
    <t>I like books , and music too .</t>
  </si>
  <si>
    <t>J' aime les livres , et aussi la musique .</t>
  </si>
  <si>
    <t>Amo i sussidiari , ed anche il cinema .</t>
  </si>
  <si>
    <t>I like textbooks , and films too .</t>
  </si>
  <si>
    <t>J' aime les manuels scolaires , et aussi le cinéma .</t>
  </si>
  <si>
    <t>Amo il cinema , ed anche i sussidiari .</t>
  </si>
  <si>
    <t>I like films , and textbooks too .</t>
  </si>
  <si>
    <t>J' aime le cinéma , et aussi les manuels scolaires .</t>
  </si>
  <si>
    <t>Adoro il bacon , eccetto le carote .</t>
  </si>
  <si>
    <t>I like bacon , except carrots .</t>
  </si>
  <si>
    <t>J' adore le bacon , sauf les carottes .</t>
  </si>
  <si>
    <t>Amo i libri , ed anche il cinema .</t>
  </si>
  <si>
    <t>I like books , and films too .</t>
  </si>
  <si>
    <t>J' aime les livres , et aussi le cinéma .</t>
  </si>
  <si>
    <t>Amo i sussidiari , ed anche i cartoni animati .</t>
  </si>
  <si>
    <t>I like textbooks , and cartoons too .</t>
  </si>
  <si>
    <t>J' aime les manuels scolaires , et aussi les dessins animés .</t>
  </si>
  <si>
    <t>Amo i cartoni animati , ed anche i sussidiari .</t>
  </si>
  <si>
    <t>I like cartoons , and textbooks too .</t>
  </si>
  <si>
    <t>J' aime les dessins animés , et aussi les manuels scolaires .</t>
  </si>
  <si>
    <t>Amo i libri , ed anche i cartoni animati .</t>
  </si>
  <si>
    <t>I like books , and cartoons too .</t>
  </si>
  <si>
    <t>J' aime les livres , et aussi les dessins animés .</t>
  </si>
  <si>
    <t>Amo i sussidiari , ed anche i dipinti .</t>
  </si>
  <si>
    <t>I like textbooks , and paintings too .</t>
  </si>
  <si>
    <t>J' aime les manuels scolaires , et aussi les peintures .</t>
  </si>
  <si>
    <t>Amo i dipinti , ed anche i sussidiari .</t>
  </si>
  <si>
    <t>I like paintings , and textbooks too .</t>
  </si>
  <si>
    <t>J' aime les peintures , et aussi les manuels scolaires .</t>
  </si>
  <si>
    <t>Adoro le carote , eccetto il bacon .</t>
  </si>
  <si>
    <t>I like carrots , except bacon .</t>
  </si>
  <si>
    <t>J' adore les carottes , sauf le bacon .</t>
  </si>
  <si>
    <t>Amo i libri , ed anche i dipinti .</t>
  </si>
  <si>
    <t>I like books , and paintings too .</t>
  </si>
  <si>
    <t>J' aime les livres , et aussi les peintures .</t>
  </si>
  <si>
    <t>Amo i saggi , ed anche la musica .</t>
  </si>
  <si>
    <t>I like essays , and music too .</t>
  </si>
  <si>
    <t>J' aime les essais , et aussi la musique .</t>
  </si>
  <si>
    <t>Amo la musica , ed anche i saggi .</t>
  </si>
  <si>
    <t>I like music , and essays too .</t>
  </si>
  <si>
    <t>J' aime la musique , et aussi les essais .</t>
  </si>
  <si>
    <t>Amo i saggi , ed anche i libri .</t>
  </si>
  <si>
    <t>I like essays , and books too .</t>
  </si>
  <si>
    <t>J' aime les essais , et aussi les livres .</t>
  </si>
  <si>
    <t>Amo i libri , ed anche i saggi .</t>
  </si>
  <si>
    <t>I like books , and essays too .</t>
  </si>
  <si>
    <t>J' aime les livres , et aussi les essais .</t>
  </si>
  <si>
    <t>Amo i saggi , ed anche il cinema .</t>
  </si>
  <si>
    <t>I like essays , and films too .</t>
  </si>
  <si>
    <t>J' aime les essais , et aussi le cinéma .</t>
  </si>
  <si>
    <t>Amo il cinema , ed anche i saggi .</t>
  </si>
  <si>
    <t>I like films , and essays too .</t>
  </si>
  <si>
    <t>J' aime le cinéma , et aussi les essais .</t>
  </si>
  <si>
    <t>Amo i saggi , ed anche i cartoni animati .</t>
  </si>
  <si>
    <t>I like essays , and cartoons too .</t>
  </si>
  <si>
    <t>J' aime les essais , et aussi les dessins animés .</t>
  </si>
  <si>
    <t>Amo i cartoni animati , ed anche i saggi .</t>
  </si>
  <si>
    <t>I like cartoons , and essays too .</t>
  </si>
  <si>
    <t>J' aime les dessins animés , et aussi les essais .</t>
  </si>
  <si>
    <t>Amo i saggi , ed anche i dipinti .</t>
  </si>
  <si>
    <t>I like essays , and paintings too .</t>
  </si>
  <si>
    <t>J' aime les essais , et aussi les peintures .</t>
  </si>
  <si>
    <t>Amo i dipinti , ed anche i saggi .</t>
  </si>
  <si>
    <t>I like paintings , and essays too .</t>
  </si>
  <si>
    <t>J' aime les peintures , et aussi les essais .</t>
  </si>
  <si>
    <t>Amo i passeri , eccetto i gatti .</t>
  </si>
  <si>
    <t>I like sparrows , except cats .</t>
  </si>
  <si>
    <t>J' aime les moineaux , sauf les chats .</t>
  </si>
  <si>
    <t>Amo i romanzi , ed anche la musica .</t>
  </si>
  <si>
    <t>I like novels , and music too .</t>
  </si>
  <si>
    <t>J' aime les romans , et aussi la musique .</t>
  </si>
  <si>
    <t>Amo la musica , ed anche i romanzi .</t>
  </si>
  <si>
    <t>I like music , and novels too .</t>
  </si>
  <si>
    <t>J' aime la musique , et aussi les romans .</t>
  </si>
  <si>
    <t>Amo i romanzi , ed anche i libri .</t>
  </si>
  <si>
    <t>I like novels , and books too .</t>
  </si>
  <si>
    <t>J' aime les romans , et aussi les livres .</t>
  </si>
  <si>
    <t>Amo i libri , ed anche i romanzi .</t>
  </si>
  <si>
    <t>I like books , and novels too .</t>
  </si>
  <si>
    <t>J' aime les livres , et aussi les romans .</t>
  </si>
  <si>
    <t>Amo i romanzi , ed anche il cinema .</t>
  </si>
  <si>
    <t>I like novels , and films too .</t>
  </si>
  <si>
    <t>J' aime les romans , et aussi le cinéma .</t>
  </si>
  <si>
    <t>Amo il cinema , ed anche i romanzi .</t>
  </si>
  <si>
    <t>I like films , and novels too .</t>
  </si>
  <si>
    <t>J' aime le cinéma , et aussi les romans .</t>
  </si>
  <si>
    <t>Amo i romanzi , ed anche i cartoni animati .</t>
  </si>
  <si>
    <t>I like novels , and cartoons too .</t>
  </si>
  <si>
    <t>J' aime les romans , et aussi les dessins animés .</t>
  </si>
  <si>
    <t>Amo i cartoni animati , ed anche i romanzi .</t>
  </si>
  <si>
    <t>I like cartoons , and novels too .</t>
  </si>
  <si>
    <t>J' aime les dessins animés , et aussi les romans .</t>
  </si>
  <si>
    <t>Amo i romanzi , ed anche i dipinti .</t>
  </si>
  <si>
    <t>I like novels , and paintings too .</t>
  </si>
  <si>
    <t>J' aime les romans , et aussi les peintures .</t>
  </si>
  <si>
    <t>Amo i dipinti , ed anche i romanzi .</t>
  </si>
  <si>
    <t>I like paintings , and novels too .</t>
  </si>
  <si>
    <t>J' aime les peintures , et aussi les romans .</t>
  </si>
  <si>
    <t>Amo i manuali , ed anche la musica .</t>
  </si>
  <si>
    <t>I like handbooks , and music too .</t>
  </si>
  <si>
    <t>J' aime les manuels , et aussi la musique .</t>
  </si>
  <si>
    <t>Amo la musica , ed anche i manuali .</t>
  </si>
  <si>
    <t>I like music , and handbooks too .</t>
  </si>
  <si>
    <t>J' aime la musique , et aussi les manuels .</t>
  </si>
  <si>
    <t>Amo i manuali , ed anche i libri .</t>
  </si>
  <si>
    <t>I like handbooks , and books too .</t>
  </si>
  <si>
    <t>J' aime les manuels , et aussi les livres .</t>
  </si>
  <si>
    <t>Amo i libri , ed anche i manuali .</t>
  </si>
  <si>
    <t>I like books , and handbooks too .</t>
  </si>
  <si>
    <t>J' aime les livres , et aussi les manuels .</t>
  </si>
  <si>
    <t>Amo i manuali , ed anche il cinema .</t>
  </si>
  <si>
    <t>I like handbooks , and films too .</t>
  </si>
  <si>
    <t>J' aime les manuels , et aussi le cinéma .</t>
  </si>
  <si>
    <t>Amo il cinema , ed anche i manuali .</t>
  </si>
  <si>
    <t>I like films , and handbooks too .</t>
  </si>
  <si>
    <t>J' aime le cinéma , et aussi les manuels .</t>
  </si>
  <si>
    <t>Amo i manuali , ed anche i cartoni animati .</t>
  </si>
  <si>
    <t>I like handbooks , and cartoons too .</t>
  </si>
  <si>
    <t>J' aime les manuels , et aussi les dessins animés .</t>
  </si>
  <si>
    <t>Amo i cartoni animati , ed anche i manuali .</t>
  </si>
  <si>
    <t>I like cartoons , and handbooks too .</t>
  </si>
  <si>
    <t>J' aime les dessins animés , et aussi les manuels .</t>
  </si>
  <si>
    <t>Amo i manuali , ed anche i dipinti .</t>
  </si>
  <si>
    <t>I like handbooks , and paintings too .</t>
  </si>
  <si>
    <t>J' aime les manuels , et aussi les peintures .</t>
  </si>
  <si>
    <t>Amo i dipinti , ed anche i manuali .</t>
  </si>
  <si>
    <t>I like paintings , and handbooks too .</t>
  </si>
  <si>
    <t>J' aime les peintures , et aussi les manuels .</t>
  </si>
  <si>
    <t>Amo gli impiegati , ed anche le fabbriche .</t>
  </si>
  <si>
    <t>I like clerks , and factories too .</t>
  </si>
  <si>
    <t>J' aime les greffiers , et aussi les usines .</t>
  </si>
  <si>
    <t>Amo le fabbriche , ed anche gli impiegati .</t>
  </si>
  <si>
    <t>I like factories , and clerks too .</t>
  </si>
  <si>
    <t>J' aime les usines , et aussi les greffiers .</t>
  </si>
  <si>
    <t>Amo gli impiegati , ed anche i lavoratori .</t>
  </si>
  <si>
    <t>I like clerks , and workers too .</t>
  </si>
  <si>
    <t>J' aime les greffiers , et aussi les travailleurs .</t>
  </si>
  <si>
    <t>Amo i lavoratori , ed anche gli impiegati .</t>
  </si>
  <si>
    <t>I like workers , and clerks too .</t>
  </si>
  <si>
    <t>J' aime les travailleurs , et aussi les greffiers .</t>
  </si>
  <si>
    <t>Amo i lavoratori , ed anche le fabbriche .</t>
  </si>
  <si>
    <t>I like workers , and factories too .</t>
  </si>
  <si>
    <t>J' aime les travailleurs , et aussi les usines .</t>
  </si>
  <si>
    <t>Amo gli impiegati , ed anche i ristoranti .</t>
  </si>
  <si>
    <t>I like clerks , and restaurants too .</t>
  </si>
  <si>
    <t>J' aime les greffiers , et aussi les restaurants .</t>
  </si>
  <si>
    <t>Amo i ristoranti , ed anche gli impiegati .</t>
  </si>
  <si>
    <t>I like restaurants , and clerks too .</t>
  </si>
  <si>
    <t>J' aime les restaurants , et aussi les greffiers .</t>
  </si>
  <si>
    <t>Amo i lavoratori , ed anche i ristoranti .</t>
  </si>
  <si>
    <t>I like workers , and restaurants too .</t>
  </si>
  <si>
    <t>J' aime les travailleurs , et aussi les restaurants .</t>
  </si>
  <si>
    <t>Amo gli impiegati , ed anche le scuole .</t>
  </si>
  <si>
    <t>I like clerks , and schools too .</t>
  </si>
  <si>
    <t>J' aime les greffiers , et aussi les écoles .</t>
  </si>
  <si>
    <t>Amo le scuole , ed anche gli impiegati .</t>
  </si>
  <si>
    <t>I like schools , and clerks too .</t>
  </si>
  <si>
    <t>J' aime les écoles , et aussi les greffiers .</t>
  </si>
  <si>
    <t>Amo i lavoratori , ed anche le scuole .</t>
  </si>
  <si>
    <t>I like workers , and schools too .</t>
  </si>
  <si>
    <t>J' aime les travailleurs , et aussi les écoles .</t>
  </si>
  <si>
    <t>Amo gli impiegati , ed anche gli uffici .</t>
  </si>
  <si>
    <t>I like clerks , and offices too .</t>
  </si>
  <si>
    <t>J' aime les greffiers , et aussi les bureaux .</t>
  </si>
  <si>
    <t>Amo gli uffici , ed anche gli impiegati .</t>
  </si>
  <si>
    <t>I like offices , and clerks too .</t>
  </si>
  <si>
    <t>J' aime les bureaux , et aussi les greffiers .</t>
  </si>
  <si>
    <t>Amo i lavoratori , ed anche gli uffici .</t>
  </si>
  <si>
    <t>I like workers , and offices too .</t>
  </si>
  <si>
    <t>J' aime les travailleurs , et aussi les bureaux .</t>
  </si>
  <si>
    <t>Amo i camerieri , ed anche le fabbriche .</t>
  </si>
  <si>
    <t>I like waiters , and factories too .</t>
  </si>
  <si>
    <t>J' aime les serveurs , et aussi les usines .</t>
  </si>
  <si>
    <t>Amo le fabbriche , ed anche i camerieri .</t>
  </si>
  <si>
    <t>I like factories , and waiters too .</t>
  </si>
  <si>
    <t>J' aime les usines , et aussi les serveurs .</t>
  </si>
  <si>
    <t>Amo i camerieri , ed anche i lavoratori .</t>
  </si>
  <si>
    <t>I like waiters , and workers too .</t>
  </si>
  <si>
    <t>J' aime les serveurs , et aussi les travailleurs .</t>
  </si>
  <si>
    <t>Amo i lavoratori , ed anche i camerieri .</t>
  </si>
  <si>
    <t>I like workers , and waiters too .</t>
  </si>
  <si>
    <t>J' aime les travailleurs , et aussi les serveurs .</t>
  </si>
  <si>
    <t>Amo i camerieri , ed anche i ristoranti .</t>
  </si>
  <si>
    <t>I like waiters , and restaurants too .</t>
  </si>
  <si>
    <t>J' aime les serveurs , et aussi les restaurants .</t>
  </si>
  <si>
    <t>Amo i ristoranti , ed anche i camerieri .</t>
  </si>
  <si>
    <t>I like restaurants , and waiters too .</t>
  </si>
  <si>
    <t>J' aime les restaurants , et aussi les serveurs .</t>
  </si>
  <si>
    <t>Amo i camerieri , ed anche le scuole .</t>
  </si>
  <si>
    <t>I like waiters , and schools too .</t>
  </si>
  <si>
    <t>J' aime les serveurs , et aussi les écoles .</t>
  </si>
  <si>
    <t>Amo le scuole , ed anche i camerieri .</t>
  </si>
  <si>
    <t>I like schools , and waiters too .</t>
  </si>
  <si>
    <t>J' aime les écoles , et aussi les serveurs .</t>
  </si>
  <si>
    <t>Amo i camerieri , ed anche gli uffici .</t>
  </si>
  <si>
    <t>I like waiters , and offices too .</t>
  </si>
  <si>
    <t>J' aime les serveurs , et aussi les bureaux .</t>
  </si>
  <si>
    <t>Amo gli uffici , ed anche i camerieri .</t>
  </si>
  <si>
    <t>I like offices , and waiters too .</t>
  </si>
  <si>
    <t>J' aime les bureaux , et aussi les serveurs .</t>
  </si>
  <si>
    <t>Amo i guardiani , ed anche le fabbriche .</t>
  </si>
  <si>
    <t>I like caretakers , and factories too .</t>
  </si>
  <si>
    <t>J' aime les gardiens , et aussi les usines .</t>
  </si>
  <si>
    <t>Amo le fabbriche , ed anche i guardiani .</t>
  </si>
  <si>
    <t>I like factories , and caretakers too .</t>
  </si>
  <si>
    <t>J' aime les usines , et aussi les gardiens .</t>
  </si>
  <si>
    <t>Amo i guardiani , ed anche i lavoratori .</t>
  </si>
  <si>
    <t>I like caretakers , and workers too .</t>
  </si>
  <si>
    <t>J' aime les gardiens , et aussi les travailleurs .</t>
  </si>
  <si>
    <t>Amo i lavoratori , ed anche i guardiani .</t>
  </si>
  <si>
    <t>I like workers , and caretakers too .</t>
  </si>
  <si>
    <t>J' aime les travailleurs , et aussi les gardiens .</t>
  </si>
  <si>
    <t>Amo i guardiani , ed anche i ristoranti .</t>
  </si>
  <si>
    <t>I like caretakers , and restaurants too .</t>
  </si>
  <si>
    <t>J' aime les gardiens , et aussi les restaurants .</t>
  </si>
  <si>
    <t>Amo i ristoranti , ed anche i guardiani .</t>
  </si>
  <si>
    <t>I like restaurants , and caretakers too .</t>
  </si>
  <si>
    <t>J' aime les restaurants , et aussi les gardiens .</t>
  </si>
  <si>
    <t>Amo i guardiani , ed anche le scuole .</t>
  </si>
  <si>
    <t>I like caretakers , and schools too .</t>
  </si>
  <si>
    <t>J' aime les gardiens , et aussi les écoles .</t>
  </si>
  <si>
    <t>Amo le scuole , ed anche i guardiani .</t>
  </si>
  <si>
    <t>I like schools , and caretakers too .</t>
  </si>
  <si>
    <t>J' aime les écoles , et aussi les gardiens .</t>
  </si>
  <si>
    <t>Amo i guardiani , ed anche gli uffici .</t>
  </si>
  <si>
    <t>I like caretakers , and offices too .</t>
  </si>
  <si>
    <t>J' aime les gardiens , et aussi les bureaux .</t>
  </si>
  <si>
    <t>Amo gli uffici , ed anche i guardiani .</t>
  </si>
  <si>
    <t>I like offices , and caretakers too .</t>
  </si>
  <si>
    <t>J' aime les bureaux , et aussi les gardiens .</t>
  </si>
  <si>
    <t>Amo i gatti , eccetto i passeri .</t>
  </si>
  <si>
    <t>I like cats , except sparrows .</t>
  </si>
  <si>
    <t>J' aime les chats , sauf les moineaux .</t>
  </si>
  <si>
    <t>Amo i professori , ed anche le fabbriche .</t>
  </si>
  <si>
    <t>I like professors , and factories too .</t>
  </si>
  <si>
    <t>J' aime les professeurs , et aussi les usines .</t>
  </si>
  <si>
    <t>Amo le fabbriche , ed anche i professori .</t>
  </si>
  <si>
    <t>I like factories , and professors too .</t>
  </si>
  <si>
    <t>J' aime les usines , et aussi les professeurs .</t>
  </si>
  <si>
    <t>Amo i professori , ed anche i lavoratori .</t>
  </si>
  <si>
    <t>I like professors , and workers too .</t>
  </si>
  <si>
    <t>J' aime les professeurs , et aussi les travailleurs .</t>
  </si>
  <si>
    <t>Amo i lavoratori , ed anche i professori .</t>
  </si>
  <si>
    <t>I like workers , and professors too .</t>
  </si>
  <si>
    <t>J' aime les travailleurs , et aussi les professeurs .</t>
  </si>
  <si>
    <t>Amo i professori , ed anche i ristoranti .</t>
  </si>
  <si>
    <t>I like professors , and restaurants too .</t>
  </si>
  <si>
    <t>J' aime les professeurs , et aussi les restaurants .</t>
  </si>
  <si>
    <t>Amo i ristoranti , ed anche i professori .</t>
  </si>
  <si>
    <t>I like restaurants , and professors too .</t>
  </si>
  <si>
    <t>J' aime les restaurants , et aussi les professeurs .</t>
  </si>
  <si>
    <t>Amo i professori , ed anche le scuole .</t>
  </si>
  <si>
    <t>I like professors , and schools too .</t>
  </si>
  <si>
    <t>J' aime les professeurs , et aussi les écoles .</t>
  </si>
  <si>
    <t>Amo le scuole , ed anche i professori .</t>
  </si>
  <si>
    <t>I like schools , and professors too .</t>
  </si>
  <si>
    <t>J' aime les écoles , et aussi les professeurs .</t>
  </si>
  <si>
    <t>Amo i professori , ed anche gli uffici .</t>
  </si>
  <si>
    <t>I like professors , and offices too .</t>
  </si>
  <si>
    <t>J' aime les professeurs , et aussi les bureaux .</t>
  </si>
  <si>
    <t>Amo gli uffici , ed anche i professori .</t>
  </si>
  <si>
    <t>I like offices , and professors too .</t>
  </si>
  <si>
    <t>J' aime les bureaux , et aussi les professeurs .</t>
  </si>
  <si>
    <t>Ho incontrato i biologi , ed anche gli impiegati .</t>
  </si>
  <si>
    <t>I met biologists , and clerks too .</t>
  </si>
  <si>
    <t>J' ai rencontré les biologistes , et aussi les greffiers .</t>
  </si>
  <si>
    <t>Ho incontrato gli impiegati , ed anche i biologi .</t>
  </si>
  <si>
    <t>I met clerks , and biologists too .</t>
  </si>
  <si>
    <t>J' ai rencontré les greffiers , et aussi les biologistes .</t>
  </si>
  <si>
    <t>Ho incontrato i biologi , ed anche gli scienziati .</t>
  </si>
  <si>
    <t>I met biologists , and scientists too .</t>
  </si>
  <si>
    <t>J' ai rencontré les biologistes , et aussi les scientifiques .</t>
  </si>
  <si>
    <t>Ho incontrato gli scienziati , ed anche i biologi .</t>
  </si>
  <si>
    <t>I met scientists , and biologists too .</t>
  </si>
  <si>
    <t>J' ai rencontré les scientifiques , et aussi les biologistes .</t>
  </si>
  <si>
    <t>Ho incontrato gli scienziati , ed anche gli impiegati .</t>
  </si>
  <si>
    <t>I met scientists , and clerks too .</t>
  </si>
  <si>
    <t>J' ai rencontré les scientifiques , et aussi les greffiers .</t>
  </si>
  <si>
    <t>Ho incontrato i biologi , ed anche i camerieri .</t>
  </si>
  <si>
    <t>I met biologists , and waiters too .</t>
  </si>
  <si>
    <t>J' ai rencontré les biologistes , et aussi les serveurs .</t>
  </si>
  <si>
    <t>Ho incontrato i camerieri , ed anche i biologi .</t>
  </si>
  <si>
    <t>I met waiters , and biologists too .</t>
  </si>
  <si>
    <t>J' ai rencontré les serveurs , et aussi les biologistes .</t>
  </si>
  <si>
    <t>Ho incontrato gli scienziati , ed anche i camerieri .</t>
  </si>
  <si>
    <t>I met scientists , and waiters too .</t>
  </si>
  <si>
    <t>J' ai rencontré les scientifiques , et aussi les serveurs .</t>
  </si>
  <si>
    <t>Ho incontrato i biologi , ed anche i guardiani .</t>
  </si>
  <si>
    <t>I met biologists , and caretakers too .</t>
  </si>
  <si>
    <t>J' ai rencontré les biologistes , et aussi les gardiens .</t>
  </si>
  <si>
    <t>Ho incontrato i guardiani , ed anche i biologi .</t>
  </si>
  <si>
    <t>I met caretakers , and biologists too .</t>
  </si>
  <si>
    <t>J' ai rencontré les gardiens , et aussi les biologistes .</t>
  </si>
  <si>
    <t>Ho incontrato gli scienziati , ed anche i guardiani .</t>
  </si>
  <si>
    <t>I met scientists , and caretakers too .</t>
  </si>
  <si>
    <t>J' ai rencontré les scientifiques , et aussi les gardiens .</t>
  </si>
  <si>
    <t>Ho incontrato i biologi , ed anche i portieri .</t>
  </si>
  <si>
    <t>I met biologists , and janitors too .</t>
  </si>
  <si>
    <t>J' ai rencontré les biologistes , et aussi les concierges .</t>
  </si>
  <si>
    <t>Ho incontrato i portieri , ed anche i biologi .</t>
  </si>
  <si>
    <t>I met janitors , and biologists too .</t>
  </si>
  <si>
    <t>J' ai rencontré les concierges , et aussi les biologistes .</t>
  </si>
  <si>
    <t>Ho incontrato gli scienziati , ed anche i portieri .</t>
  </si>
  <si>
    <t>I met scientists , and janitors too .</t>
  </si>
  <si>
    <t>J' ai rencontré les scientifiques , et aussi les concierges .</t>
  </si>
  <si>
    <t>Ho incontrato i genetisti , ed anche gli impiegati .</t>
  </si>
  <si>
    <t>I met geneticists , and clerks too .</t>
  </si>
  <si>
    <t>J' ai rencontré les généticiens , et aussi les greffiers .</t>
  </si>
  <si>
    <t>Ho incontrato gli impiegati , ed anche i genetisti .</t>
  </si>
  <si>
    <t>I met clerks , and geneticists too .</t>
  </si>
  <si>
    <t>J' ai rencontré les greffiers , et aussi les généticiens .</t>
  </si>
  <si>
    <t>Ho incontrato i genetisti , ed anche gli scienziati .</t>
  </si>
  <si>
    <t>I met geneticists , and scientists too .</t>
  </si>
  <si>
    <t>J' ai rencontré les généticiens , et aussi les scientifiques .</t>
  </si>
  <si>
    <t>Ho incontrato gli scienziati , ed anche i genetisti .</t>
  </si>
  <si>
    <t>I met scientists , and geneticists too .</t>
  </si>
  <si>
    <t>J' ai rencontré les scientifiques , et aussi les généticiens .</t>
  </si>
  <si>
    <t>Ho incontrato i genetisti , ed anche i camerieri .</t>
  </si>
  <si>
    <t>I met geneticists , and waiters too .</t>
  </si>
  <si>
    <t>J' ai rencontré les généticiens , et aussi les serveurs .</t>
  </si>
  <si>
    <t>Ho incontrato i camerieri , ed anche i genetisti .</t>
  </si>
  <si>
    <t>I met waiters , and geneticists too .</t>
  </si>
  <si>
    <t>J' ai rencontré les serveurs , et aussi les généticiens .</t>
  </si>
  <si>
    <t>Ho incontrato i genetisti , ed anche i guardiani .</t>
  </si>
  <si>
    <t>I met geneticists , and caretakers too .</t>
  </si>
  <si>
    <t>J' ai rencontré les généticiens , et aussi les gardiens .</t>
  </si>
  <si>
    <t>Ho incontrato i guardiani , ed anche i genetisti .</t>
  </si>
  <si>
    <t>I met caretakers , and geneticists too .</t>
  </si>
  <si>
    <t>J' ai rencontré les gardiens , et aussi les généticiens .</t>
  </si>
  <si>
    <t>Ho incontrato i genetisti , ed anche i portieri .</t>
  </si>
  <si>
    <t>I met geneticists , and janitors too .</t>
  </si>
  <si>
    <t>J' ai rencontré les généticiens , et aussi les concierges .</t>
  </si>
  <si>
    <t>Ho incontrato i portieri , ed anche i genetisti .</t>
  </si>
  <si>
    <t>I met janitors , and geneticists too .</t>
  </si>
  <si>
    <t>J' ai rencontré les concierges , et aussi les généticiens .</t>
  </si>
  <si>
    <t>Ho incontrato gli astronomi , ed anche gli impiegati .</t>
  </si>
  <si>
    <t>I met astronomers , and clerks too .</t>
  </si>
  <si>
    <t>J' ai rencontré les astronomes , et aussi les greffiers .</t>
  </si>
  <si>
    <t>Ho incontrato gli impiegati , ed anche gli astronomi .</t>
  </si>
  <si>
    <t>I met clerks , and astronomers too .</t>
  </si>
  <si>
    <t>J' ai rencontré les greffiers , et aussi les astronomes .</t>
  </si>
  <si>
    <t>Ho incontrato gli astronomi , ed anche gli scienziati .</t>
  </si>
  <si>
    <t>I met astronomers , and scientists too .</t>
  </si>
  <si>
    <t>J' ai rencontré les astronomes , et aussi les scientifiques .</t>
  </si>
  <si>
    <t>Ho incontrato gli scienziati , ed anche gli astronomi .</t>
  </si>
  <si>
    <t>I met scientists , and astronomers too .</t>
  </si>
  <si>
    <t>J' ai rencontré les scientifiques , et aussi les astronomes .</t>
  </si>
  <si>
    <t>Ho incontrato gli astronomi , ed anche i camerieri .</t>
  </si>
  <si>
    <t>I met astronomers , and waiters too .</t>
  </si>
  <si>
    <t>J' ai rencontré les astronomes , et aussi les serveurs .</t>
  </si>
  <si>
    <t>Ho incontrato i camerieri , ed anche gli astronomi .</t>
  </si>
  <si>
    <t>I met waiters , and astronomers too .</t>
  </si>
  <si>
    <t>J' ai rencontré les serveurs , et aussi les astronomes .</t>
  </si>
  <si>
    <t>Ho incontrato gli astronomi , ed anche i guardiani .</t>
  </si>
  <si>
    <t>I met astronomers , and caretakers too .</t>
  </si>
  <si>
    <t>J' ai rencontré les astronomes , et aussi les gardiens .</t>
  </si>
  <si>
    <t>Ho incontrato i guardiani , ed anche gli astronomi .</t>
  </si>
  <si>
    <t>I met caretakers , and astronomers too .</t>
  </si>
  <si>
    <t>J' ai rencontré les gardiens , et aussi les astronomes .</t>
  </si>
  <si>
    <t>Ho incontrato gli astronomi , ed anche i portieri .</t>
  </si>
  <si>
    <t>I met astronomers , and janitors too .</t>
  </si>
  <si>
    <t>J' ai rencontré les astronomes , et aussi les concierges .</t>
  </si>
  <si>
    <t>Ho incontrato i portieri , ed anche gli astronomi .</t>
  </si>
  <si>
    <t>I met janitors , and astronomers too .</t>
  </si>
  <si>
    <t>J' ai rencontré les concierges , et aussi les astronomes .</t>
  </si>
  <si>
    <t>Ho incontrato i fisici , ed anche gli impiegati .</t>
  </si>
  <si>
    <t>I met physicists , and clerks too .</t>
  </si>
  <si>
    <t>J' ai rencontré les physiciens , et aussi les greffiers .</t>
  </si>
  <si>
    <t>Ho incontrato gli impiegati , ed anche i fisici .</t>
  </si>
  <si>
    <t>I met clerks , and physicists too .</t>
  </si>
  <si>
    <t>J' ai rencontré les greffiers , et aussi les physiciens .</t>
  </si>
  <si>
    <t>Ho incontrato i fisici , ed anche gli scienziati .</t>
  </si>
  <si>
    <t>I met physicists , and scientists too .</t>
  </si>
  <si>
    <t>J' ai rencontré les physiciens , et aussi les scientifiques .</t>
  </si>
  <si>
    <t>Ho incontrato gli scienziati , ed anche i fisici .</t>
  </si>
  <si>
    <t>I met scientists , and physicists too .</t>
  </si>
  <si>
    <t>J' ai rencontré les scientifiques , et aussi les physiciens .</t>
  </si>
  <si>
    <t>Ho incontrato i fisici , ed anche i camerieri .</t>
  </si>
  <si>
    <t>I met physicists , and waiters too .</t>
  </si>
  <si>
    <t>J' ai rencontré les physiciens , et aussi les serveurs .</t>
  </si>
  <si>
    <t>Ho incontrato i camerieri , ed anche i fisici .</t>
  </si>
  <si>
    <t>I met waiters , and physicists too .</t>
  </si>
  <si>
    <t>J' ai rencontré les serveurs , et aussi les physiciens .</t>
  </si>
  <si>
    <t>Ho incontrato i fisici , ed anche i guardiani .</t>
  </si>
  <si>
    <t>I met physicists , and caretakers too .</t>
  </si>
  <si>
    <t>J' ai rencontré les physiciens , et aussi les gardiens .</t>
  </si>
  <si>
    <t>Ho incontrato i guardiani , ed anche i fisici .</t>
  </si>
  <si>
    <t>I met caretakers , and physicists too .</t>
  </si>
  <si>
    <t>J' ai rencontré les gardiens , et aussi les physiciens .</t>
  </si>
  <si>
    <t>Ho incontrato i fisici , ed anche i portieri .</t>
  </si>
  <si>
    <t>I met physicists , and janitors too .</t>
  </si>
  <si>
    <t>J' ai rencontré les physiciens , et aussi les concierges .</t>
  </si>
  <si>
    <t>Ho incontrato i portieri , ed anche i fisici .</t>
  </si>
  <si>
    <t>I met janitors , and physicists too .</t>
  </si>
  <si>
    <t>J' ai rencontré les concierges , et aussi les physiciens .</t>
  </si>
  <si>
    <t>Amo i passeri , eccetto gli uccelli .</t>
  </si>
  <si>
    <t>I like sparrows , except birds .</t>
  </si>
  <si>
    <t>J' aime les moineaux , sauf les oiseaux .</t>
  </si>
  <si>
    <t>Adoro il lardo , eccetto il pesce .</t>
  </si>
  <si>
    <t>I like lard , except fish .</t>
  </si>
  <si>
    <t>J' adore les lardons , sauf le poisson .</t>
  </si>
  <si>
    <t>Adoro il pesce , eccetto il lardo .</t>
  </si>
  <si>
    <t>I like fish , except lard .</t>
  </si>
  <si>
    <t>J' adore le poisson , sauf les lardons .</t>
  </si>
  <si>
    <t>Adoro il lardo , eccetto il maiale .</t>
  </si>
  <si>
    <t>I like lard , except pork .</t>
  </si>
  <si>
    <t>J' adore les lardons , sauf le porc .</t>
  </si>
  <si>
    <t>Adoro il maiale , eccetto il lardo .</t>
  </si>
  <si>
    <t>I like pork , except lard .</t>
  </si>
  <si>
    <t>J' adore le porc , sauf les lardons .</t>
  </si>
  <si>
    <t>Adoro il lardo , eccetto i broccoli .</t>
  </si>
  <si>
    <t>I like lard , except broccoli .</t>
  </si>
  <si>
    <t>J' adore les lardons , sauf le brocoli .</t>
  </si>
  <si>
    <t>Adoro i broccoli , eccetto il lardo .</t>
  </si>
  <si>
    <t>I like broccoli , except lard .</t>
  </si>
  <si>
    <t>J' adore le brocoli , sauf les lardons .</t>
  </si>
  <si>
    <t>Amo gli uccelli , eccetto i passeri .</t>
  </si>
  <si>
    <t>I like birds , except sparrows .</t>
  </si>
  <si>
    <t>J' aime les oiseaux , sauf les moineaux .</t>
  </si>
  <si>
    <t>Adoro il lardo , eccetto le mele .</t>
  </si>
  <si>
    <t>I like lard , except apples .</t>
  </si>
  <si>
    <t>J' adore les lardons , sauf les pommes .</t>
  </si>
  <si>
    <t>Adoro le mele , eccetto il lardo .</t>
  </si>
  <si>
    <t>I like apples , except lard .</t>
  </si>
  <si>
    <t>J' adore les pommes , sauf les lardons .</t>
  </si>
  <si>
    <t>Adoro il lardo , eccetto le carote .</t>
  </si>
  <si>
    <t>I like lard , except carrots .</t>
  </si>
  <si>
    <t>J' adore les lardons , sauf les carottes .</t>
  </si>
  <si>
    <t>Adoro le carote , eccetto il lardo .</t>
  </si>
  <si>
    <t>I like carrots , except lard .</t>
  </si>
  <si>
    <t>J' adore les carottes , sauf les lardons .</t>
  </si>
  <si>
    <t>Amo i passeri , eccetto i criceti .</t>
  </si>
  <si>
    <t>I like sparrows , except hamsters .</t>
  </si>
  <si>
    <t>J' aime les moineaux , sauf les hamsters .</t>
  </si>
  <si>
    <t>Amo i criceti , eccetto i passeri .</t>
  </si>
  <si>
    <t>I like hamsters , except sparrows .</t>
  </si>
  <si>
    <t>J' aime les hamsters , sauf les moineaux .</t>
  </si>
  <si>
    <t>Non amo gli husky , preferisco i gatti .</t>
  </si>
  <si>
    <t>I do not like huskies , I prefer cats .</t>
  </si>
  <si>
    <t>Je n' aime pas les huskies , je préfère les chats .</t>
  </si>
  <si>
    <t>Non amo i gatti , preferisco gli husky .</t>
  </si>
  <si>
    <t>I do not like cats , I prefer huskies .</t>
  </si>
  <si>
    <t>Je n' aime pas les chats , je préfère les huskies .</t>
  </si>
  <si>
    <t>Non amo gli husky , preferisco i cani .</t>
  </si>
  <si>
    <t>I do not like huskies , I prefer dogs .</t>
  </si>
  <si>
    <t>Je n' aime pas les huskies , je préfère les chiens .</t>
  </si>
  <si>
    <t>Non amo i cani , preferisco gli husky .</t>
  </si>
  <si>
    <t>I do not like dogs , I prefer huskies .</t>
  </si>
  <si>
    <t>Je n' aime pas les chiens , je préfère les huskies .</t>
  </si>
  <si>
    <t>Non amo i cani , preferisco i gatti .</t>
  </si>
  <si>
    <t>I do not like dogs , I prefer cats .</t>
  </si>
  <si>
    <t>Je n' aime pas les chiens , je préfère les chats .</t>
  </si>
  <si>
    <t>Non amo gli husky , preferisco i criceti .</t>
  </si>
  <si>
    <t>I do not like huskies , I prefer hamsters .</t>
  </si>
  <si>
    <t>Je n' aime pas les huskies , je préfère les hamsters .</t>
  </si>
  <si>
    <t>Non amo i criceti , preferisco gli husky .</t>
  </si>
  <si>
    <t>I do not like hamsters , I prefer huskies .</t>
  </si>
  <si>
    <t>Je n' aime pas les hamsters , je préfère les huskies .</t>
  </si>
  <si>
    <t>Non amo i cani , preferisco i criceti .</t>
  </si>
  <si>
    <t>I do not like dogs , I prefer hamsters .</t>
  </si>
  <si>
    <t>Je n' aime pas les chiens , je préfère les hamsters .</t>
  </si>
  <si>
    <t>Non amo gli husky , preferisco i pappagalli .</t>
  </si>
  <si>
    <t>I do not like huskies , I prefer parrots .</t>
  </si>
  <si>
    <t>Je n' aime pas les huskies , je préfère les perrouquets .</t>
  </si>
  <si>
    <t>Non amo i pappagalli , preferisco gli husky .</t>
  </si>
  <si>
    <t>I do not like parrots , I prefer huskies .</t>
  </si>
  <si>
    <t>Je n' aime pas les perrouquets , je préfère les huskies .</t>
  </si>
  <si>
    <t>Non amo i cani , preferisco i pappagalli .</t>
  </si>
  <si>
    <t>I do not like dogs , I prefer parrots .</t>
  </si>
  <si>
    <t>Je n' aime pas les chiens , je préfère les perrouquets .</t>
  </si>
  <si>
    <t>Non amo gli husky , preferisco i conigli .</t>
  </si>
  <si>
    <t>I do not like huskies , I prefer rabbits .</t>
  </si>
  <si>
    <t>Je n' aime pas les huskies , je préfère les lapins .</t>
  </si>
  <si>
    <t>Non amo i conigli , preferisco gli husky .</t>
  </si>
  <si>
    <t>I do not like rabbits , I prefer huskies .</t>
  </si>
  <si>
    <t>Je n' aime pas les lapins , je préfère les huskies .</t>
  </si>
  <si>
    <t>Non amo i cani , preferisco i conigli .</t>
  </si>
  <si>
    <t>I do not like dogs , I prefer rabbits .</t>
  </si>
  <si>
    <t>Je n' aime pas les chiens , je préfère les lapins .</t>
  </si>
  <si>
    <t>Non amo i bobtail , preferisco i gatti .</t>
  </si>
  <si>
    <t>I do not like bobtails , I prefer cats .</t>
  </si>
  <si>
    <t>Je n' aime pas les bobtails , je préfère les chats .</t>
  </si>
  <si>
    <t>Non amo i gatti , preferisco i bobtail .</t>
  </si>
  <si>
    <t>I do not like cats , I prefer bobtails .</t>
  </si>
  <si>
    <t>Je n' aime pas les chats , je préfère les bobtails .</t>
  </si>
  <si>
    <t>Non amo i bobtail , preferisco i cani .</t>
  </si>
  <si>
    <t>I do not like bobtails , I prefer dogs .</t>
  </si>
  <si>
    <t>Je n' aime pas les bobtails , je préfère les chiens .</t>
  </si>
  <si>
    <t>Non amo i cani , preferisco i bobtail .</t>
  </si>
  <si>
    <t>I do not like dogs , I prefer bobtails .</t>
  </si>
  <si>
    <t>Je n' aime pas les chiens , je préfère les bobtails .</t>
  </si>
  <si>
    <t>Non amo i bobtail , preferisco i criceti .</t>
  </si>
  <si>
    <t>I do not like bobtails , I prefer hamsters .</t>
  </si>
  <si>
    <t>Je n' aime pas les bobtails , je préfère les hamsters .</t>
  </si>
  <si>
    <t>Non amo i criceti , preferisco i bobtail .</t>
  </si>
  <si>
    <t>I do not like hamsters , I prefer bobtails .</t>
  </si>
  <si>
    <t>Je n' aime pas les hamsters , je préfère les bobtails .</t>
  </si>
  <si>
    <t>Non amo i bobtail , preferisco i pappagalli .</t>
  </si>
  <si>
    <t>I do not like bobtails , I prefer parrots .</t>
  </si>
  <si>
    <t>Je n' aime pas les bobtails , je préfère les perrouquets .</t>
  </si>
  <si>
    <t>Non amo i pappagalli , preferisco i bobtail .</t>
  </si>
  <si>
    <t>I do not like parrots , I prefer bobtails .</t>
  </si>
  <si>
    <t>Je n' aime pas les perrouquets , je préfère les bobtails .</t>
  </si>
  <si>
    <t>Non amo i bobtail , preferisco i conigli .</t>
  </si>
  <si>
    <t>I do not like bobtails , I prefer rabbits .</t>
  </si>
  <si>
    <t>Je n' aime pas les bobtails , je préfère les lapins .</t>
  </si>
  <si>
    <t>Non amo i conigli , preferisco i bobtail .</t>
  </si>
  <si>
    <t>I do not like rabbits , I prefer bobtails .</t>
  </si>
  <si>
    <t>Je n' aime pas les lapins , je préfère les bobtails .</t>
  </si>
  <si>
    <t>Non amo i bulldog , preferisco i gatti .</t>
  </si>
  <si>
    <t>I do not like bulldogs , I prefer cats .</t>
  </si>
  <si>
    <t>Je n' aime pas les bouledogues , je préfère les chats .</t>
  </si>
  <si>
    <t>Non amo i gatti , preferisco i bulldog .</t>
  </si>
  <si>
    <t>I do not like cats , I prefer bulldogs .</t>
  </si>
  <si>
    <t>Je n' aime pas les chats , je préfère les bouledogues .</t>
  </si>
  <si>
    <t>Non amo i bulldog , preferisco i cani .</t>
  </si>
  <si>
    <t>I do not like bulldogs , I prefer dogs .</t>
  </si>
  <si>
    <t>Je n' aime pas les bouledogues , je préfère les chiens .</t>
  </si>
  <si>
    <t>Non amo i cani , preferisco i bulldog .</t>
  </si>
  <si>
    <t>I do not like dogs , I prefer bulldogs .</t>
  </si>
  <si>
    <t>Je n' aime pas les chiens , je préfère les bouledogues .</t>
  </si>
  <si>
    <t>Non amo i bulldog , preferisco i criceti .</t>
  </si>
  <si>
    <t>I do not like bulldogs , I prefer hamsters .</t>
  </si>
  <si>
    <t>Je n' aime pas les bouledogues , je préfère les hamsters .</t>
  </si>
  <si>
    <t>Non amo i criceti , preferisco i bulldog .</t>
  </si>
  <si>
    <t>I do not like hamsters , I prefer bulldogs .</t>
  </si>
  <si>
    <t>Je n' aime pas les hamsters , je préfère les bouledogues .</t>
  </si>
  <si>
    <t>Non amo i bulldog , preferisco i pappagalli .</t>
  </si>
  <si>
    <t>I do not like bulldogs , I prefer parrots .</t>
  </si>
  <si>
    <t>Je n' aime pas les bouledogues , je préfère les perrouquets .</t>
  </si>
  <si>
    <t>Non amo i pappagalli , preferisco i bulldog .</t>
  </si>
  <si>
    <t>I do not like parrots , I prefer bulldogs .</t>
  </si>
  <si>
    <t>Je n' aime pas les perrouquets , je préfère les bouledogues .</t>
  </si>
  <si>
    <t>Non amo i bulldog , preferisco i conigli .</t>
  </si>
  <si>
    <t>I do not like bulldogs , I prefer rabbits .</t>
  </si>
  <si>
    <t>Je n' aime pas les bouledogues , je préfère les lapins .</t>
  </si>
  <si>
    <t>Non amo i conigli , preferisco i bulldog .</t>
  </si>
  <si>
    <t>I do not like rabbits , I prefer bulldogs .</t>
  </si>
  <si>
    <t>Je n' aime pas les lapins , je préfère les bouledogues .</t>
  </si>
  <si>
    <t>Non amo i bassotti , preferisco i gatti .</t>
  </si>
  <si>
    <t>I do not like beagles , I prefer cats .</t>
  </si>
  <si>
    <t>Je n' aime pas les beagles , je préfère les chats .</t>
  </si>
  <si>
    <t>Non amo i gatti , preferisco i bassotti .</t>
  </si>
  <si>
    <t>I do not like cats , I prefer beagles .</t>
  </si>
  <si>
    <t>Je n' aime pas les chats , je préfère les beagles .</t>
  </si>
  <si>
    <t>Non amo i bassotti , preferisco i cani .</t>
  </si>
  <si>
    <t>I do not like beagles , I prefer dogs .</t>
  </si>
  <si>
    <t>Je n' aime pas les beagles , je préfère les chiens .</t>
  </si>
  <si>
    <t>Non amo i cani , preferisco i bassotti .</t>
  </si>
  <si>
    <t>I do not like dogs , I prefer beagles .</t>
  </si>
  <si>
    <t>Je n' aime pas les chiens , je préfère les beagles .</t>
  </si>
  <si>
    <t>Non amo i bassotti , preferisco i criceti .</t>
  </si>
  <si>
    <t>I do not like beagles , I prefer hamsters .</t>
  </si>
  <si>
    <t>Je n' aime pas les beagles , je préfère les hamsters .</t>
  </si>
  <si>
    <t>Non amo i criceti , preferisco i bassotti .</t>
  </si>
  <si>
    <t>I do not like hamsters , I prefer beagles .</t>
  </si>
  <si>
    <t>Je n' aime pas les hamsters , je préfère les beagles .</t>
  </si>
  <si>
    <t>Non amo i bassotti , preferisco i pappagalli .</t>
  </si>
  <si>
    <t>I do not like beagles , I prefer parrots .</t>
  </si>
  <si>
    <t>Je n' aime pas les beagles , je préfère les perrouquets .</t>
  </si>
  <si>
    <t>Non amo i pappagalli , preferisco i bassotti .</t>
  </si>
  <si>
    <t>I do not like parrots , I prefer beagles .</t>
  </si>
  <si>
    <t>Je n' aime pas les perrouquets , je préfère les beagles .</t>
  </si>
  <si>
    <t>Non amo i bassotti , preferisco i conigli .</t>
  </si>
  <si>
    <t>I do not like beagles , I prefer rabbits .</t>
  </si>
  <si>
    <t>Je n' aime pas les beagles , je préfère les lapins .</t>
  </si>
  <si>
    <t>Non amo i conigli , preferisco i bassotti .</t>
  </si>
  <si>
    <t>I do not like rabbits , I prefer beagles .</t>
  </si>
  <si>
    <t>Je n' aime pas les lapins , je préfère les beagles .</t>
  </si>
  <si>
    <t>Non amo i pappagalli , preferisco i gatti .</t>
  </si>
  <si>
    <t>I do not like parrots , I prefer cats .</t>
  </si>
  <si>
    <t>Je n' aime pas les perrouquets , je préfère les chats .</t>
  </si>
  <si>
    <t>Non amo i gatti , preferisco i pappagalli .</t>
  </si>
  <si>
    <t>I do not like cats , I prefer parrots .</t>
  </si>
  <si>
    <t>Je n' aime pas les chats , je préfère les perrouquets .</t>
  </si>
  <si>
    <t>Non amo i pappagalli , preferisco gli uccelli .</t>
  </si>
  <si>
    <t>I do not like parrots , I prefer birds .</t>
  </si>
  <si>
    <t>Je n' aime pas les perrouquets , je préfère les oiseaux .</t>
  </si>
  <si>
    <t>Non amo gli uccelli , preferisco i pappagalli .</t>
  </si>
  <si>
    <t>I do not like birds , I prefer parrots .</t>
  </si>
  <si>
    <t>Je n' aime pas les oiseaux , je préfère les perrouquets .</t>
  </si>
  <si>
    <t>Non amo gli uccelli , preferisco i gatti .</t>
  </si>
  <si>
    <t>I do not like birds , I prefer cats .</t>
  </si>
  <si>
    <t>Je n' aime pas les oiseaux , je préfère les chats .</t>
  </si>
  <si>
    <t>Non amo i pappagalli , preferisco i criceti .</t>
  </si>
  <si>
    <t>I do not like parrots , I prefer hamsters .</t>
  </si>
  <si>
    <t>Je n' aime pas les perrouquets , je préfère les hamsters .</t>
  </si>
  <si>
    <t>Non amo i criceti , preferisco i pappagalli .</t>
  </si>
  <si>
    <t>I do not like hamsters , I prefer parrots .</t>
  </si>
  <si>
    <t>Je n' aime pas les hamsters , je préfère les perrouquets .</t>
  </si>
  <si>
    <t>Non amo gli uccelli , preferisco i criceti .</t>
  </si>
  <si>
    <t>I do not like birds , I prefer hamsters .</t>
  </si>
  <si>
    <t>Je n' aime pas les oiseaux , je préfère les hamsters .</t>
  </si>
  <si>
    <t>Non amo i pappagalli , preferisco i maiali .</t>
  </si>
  <si>
    <t>I do not like parrots , I prefer pigs .</t>
  </si>
  <si>
    <t>Je n' aime pas les perrouquets , je préfère les cochons .</t>
  </si>
  <si>
    <t>Non amo i maiali , preferisco i pappagalli .</t>
  </si>
  <si>
    <t>I do not like pigs , I prefer parrots .</t>
  </si>
  <si>
    <t>Je n' aime pas les cochons , je préfère les perrouquets .</t>
  </si>
  <si>
    <t>Non amo gli uccelli , preferisco i maiali .</t>
  </si>
  <si>
    <t>I do not like birds , I prefer pigs .</t>
  </si>
  <si>
    <t>Je n' aime pas les oiseaux , je préfère les cochons .</t>
  </si>
  <si>
    <t>Non amo i pappagalli , preferisco i cani .</t>
  </si>
  <si>
    <t>I do not like parrots , I prefer dogs .</t>
  </si>
  <si>
    <t>Je n' aime pas les perrouquets , je préfère les chiens .</t>
  </si>
  <si>
    <t>Non amo gli uccelli , preferisco i cani .</t>
  </si>
  <si>
    <t>I do not like birds , I prefer dogs .</t>
  </si>
  <si>
    <t>Je n' aime pas les oiseaux , je préfère les chiens .</t>
  </si>
  <si>
    <t>Non amo le anatre , preferisco i gatti .</t>
  </si>
  <si>
    <t>I do not like ducks , I prefer cats .</t>
  </si>
  <si>
    <t>Je n' aime pas les canards , je préfère les chats .</t>
  </si>
  <si>
    <t>Non amo i gatti , preferisco le anatre .</t>
  </si>
  <si>
    <t>I do not like cats , I prefer ducks .</t>
  </si>
  <si>
    <t>Je n' aime pas les chats , je préfère les canards .</t>
  </si>
  <si>
    <t>Non amo le anatre , preferisco gli uccelli .</t>
  </si>
  <si>
    <t>I do not like ducks , I prefer birds .</t>
  </si>
  <si>
    <t>Je n' aime pas les canards , je préfère les oiseaux .</t>
  </si>
  <si>
    <t>Non amo gli uccelli , preferisco le anatre .</t>
  </si>
  <si>
    <t>I do not like birds , I prefer ducks .</t>
  </si>
  <si>
    <t>Je n' aime pas les oiseaux , je préfère les canards .</t>
  </si>
  <si>
    <t>Non amo le anatre , preferisco i criceti .</t>
  </si>
  <si>
    <t>I do not like ducks , I prefer hamsters .</t>
  </si>
  <si>
    <t>Je n' aime pas les canards , je préfère les hamsters .</t>
  </si>
  <si>
    <t>Non amo i criceti , preferisco le anatre .</t>
  </si>
  <si>
    <t>I do not like hamsters , I prefer ducks .</t>
  </si>
  <si>
    <t>Je n' aime pas les hamsters , je préfère les canards .</t>
  </si>
  <si>
    <t>Non amo le anatre , preferisco i maiali .</t>
  </si>
  <si>
    <t>I do not like ducks , I prefer pigs .</t>
  </si>
  <si>
    <t>Je n' aime pas les canards , je préfère les cochons .</t>
  </si>
  <si>
    <t>Non amo i maiali , preferisco le anatre .</t>
  </si>
  <si>
    <t>I do not like pigs , I prefer ducks .</t>
  </si>
  <si>
    <t>Je n' aime pas les cochons , je préfère les canards .</t>
  </si>
  <si>
    <t>Non amo le anatre , preferisco i cani .</t>
  </si>
  <si>
    <t>I do not like ducks , I prefer dogs .</t>
  </si>
  <si>
    <t>Je n' aime pas les canards , je préfère les chiens .</t>
  </si>
  <si>
    <t>Non amo i cani , preferisco le anatre .</t>
  </si>
  <si>
    <t>I do not like dogs , I prefer ducks .</t>
  </si>
  <si>
    <t>Je n' aime pas les chiens , je préfère les canards .</t>
  </si>
  <si>
    <t>Non amo i merli , preferisco i gatti .</t>
  </si>
  <si>
    <t>I do not like blackbirds , I prefer cats .</t>
  </si>
  <si>
    <t>Je n' aime pas les merles , je préfère les chats .</t>
  </si>
  <si>
    <t>Non amo i gatti , preferisco i merli .</t>
  </si>
  <si>
    <t>I do not like cats , I prefer blackbirds .</t>
  </si>
  <si>
    <t>Je n' aime pas les chats , je préfère les merles .</t>
  </si>
  <si>
    <t>Non amo i merli , preferisco gli uccelli .</t>
  </si>
  <si>
    <t>I do not like blackbirds , I prefer birds .</t>
  </si>
  <si>
    <t>Je n' aime pas les merles , je préfère les oiseaux .</t>
  </si>
  <si>
    <t>Non amo gli uccelli , preferisco i merli .</t>
  </si>
  <si>
    <t>I do not like birds , I prefer blackbirds .</t>
  </si>
  <si>
    <t>Je n' aime pas les oiseaux , je préfère les merles .</t>
  </si>
  <si>
    <t>Non amo i merli , preferisco i criceti .</t>
  </si>
  <si>
    <t>I do not like blackbirds , I prefer hamsters .</t>
  </si>
  <si>
    <t>Je n' aime pas les merles , je préfère les hamsters .</t>
  </si>
  <si>
    <t>Non amo i criceti , preferisco i merli .</t>
  </si>
  <si>
    <t>I do not like hamsters , I prefer blackbirds .</t>
  </si>
  <si>
    <t>Je n' aime pas les hamsters , je préfère les merles .</t>
  </si>
  <si>
    <t>Non amo i merli , preferisco i maiali .</t>
  </si>
  <si>
    <t>I do not like blackbirds , I prefer pigs .</t>
  </si>
  <si>
    <t>Je n' aime pas les merles , je préfère les cochons .</t>
  </si>
  <si>
    <t>Non amo i maiali , preferisco i merli .</t>
  </si>
  <si>
    <t>I do not like pigs , I prefer blackbirds .</t>
  </si>
  <si>
    <t>Je n' aime pas les cochons , je préfère les merles .</t>
  </si>
  <si>
    <t>Non amo i merli , preferisco i cani .</t>
  </si>
  <si>
    <t>I do not like blackbirds , I prefer dogs .</t>
  </si>
  <si>
    <t>Je n' aime pas les merles , je préfère les chiens .</t>
  </si>
  <si>
    <t>Non amo i cani , preferisco i merli .</t>
  </si>
  <si>
    <t>I do not like dogs , I prefer blackbirds .</t>
  </si>
  <si>
    <t>Je n' aime pas les chiens , je préfère les merles .</t>
  </si>
  <si>
    <t>Non amo i passeri , preferisco i gatti .</t>
  </si>
  <si>
    <t>I do not like sparrows , I prefer cats .</t>
  </si>
  <si>
    <t>Je n' aime pas les moineaux , je préfère les chats .</t>
  </si>
  <si>
    <t>Non amo i gatti , preferisco i passeri .</t>
  </si>
  <si>
    <t>I do not like cats , I prefer sparrows .</t>
  </si>
  <si>
    <t>Je n' aime pas les chats , je préfère les moineaux .</t>
  </si>
  <si>
    <t>Non amo i passeri , preferisco gli uccelli .</t>
  </si>
  <si>
    <t>I do not like sparrows , I prefer birds .</t>
  </si>
  <si>
    <t>Je n' aime pas les moineaux , je préfère les oiseaux .</t>
  </si>
  <si>
    <t>Non amo gli uccelli , preferisco i passeri .</t>
  </si>
  <si>
    <t>I do not like birds , I prefer sparrows .</t>
  </si>
  <si>
    <t>Je n' aime pas les oiseaux , je préfère les moineaux .</t>
  </si>
  <si>
    <t>Non amo i passeri , preferisco i criceti .</t>
  </si>
  <si>
    <t>I do not like sparrows , I prefer hamsters .</t>
  </si>
  <si>
    <t>Je n' aime pas les moineaux , je préfère les hamsters .</t>
  </si>
  <si>
    <t>Non amo i criceti , preferisco i passeri .</t>
  </si>
  <si>
    <t>I do not like hamsters , I prefer sparrows .</t>
  </si>
  <si>
    <t>Je n' aime pas les hamsters , je préfère les moineaux .</t>
  </si>
  <si>
    <t>Non amo i passeri , preferisco i maiali .</t>
  </si>
  <si>
    <t>I do not like sparrows , I prefer pigs .</t>
  </si>
  <si>
    <t>Je n' aime pas les moineaux , je préfère les cochons .</t>
  </si>
  <si>
    <t>Non amo i maiali , preferisco i passeri .</t>
  </si>
  <si>
    <t>I do not like pigs , I prefer sparrows .</t>
  </si>
  <si>
    <t>Je n' aime pas les cochons , je préfère les moineaux .</t>
  </si>
  <si>
    <t>Non amo i passeri , preferisco i cani .</t>
  </si>
  <si>
    <t>I do not like sparrows , I prefer dogs .</t>
  </si>
  <si>
    <t>Je n' aime pas les moineaux , je préfère les chiens .</t>
  </si>
  <si>
    <t>Non amo i cani , preferisco i passeri .</t>
  </si>
  <si>
    <t>I do not like dogs , I prefer sparrows .</t>
  </si>
  <si>
    <t>Je n' aime pas les chiens , je préfère les moineaux .</t>
  </si>
  <si>
    <t>Non amo le Harley-Davidson , preferisco le navi .</t>
  </si>
  <si>
    <t>I do not like Harley-Davidson , I prefer ships .</t>
  </si>
  <si>
    <t>Je n' aime pas les Harley-Davidson , je préfère les navaires .</t>
  </si>
  <si>
    <t>Non amo le navi , preferisco le Harley-Davidson .</t>
  </si>
  <si>
    <t>I do not like ships , I prefer Harley-Davidson .</t>
  </si>
  <si>
    <t>Je n' aime pas les navaires , je préfère les Harley-Davidson .</t>
  </si>
  <si>
    <t>Non amo le Harley-Davidson , preferisco le moto .</t>
  </si>
  <si>
    <t>I do not like Harley-Davidson , I prefer motorcycles .</t>
  </si>
  <si>
    <t>Je n' aime pas les Harley-Davidson , je préfère les motos .</t>
  </si>
  <si>
    <t>Non amo le moto , preferisco le Harley-Davidson .</t>
  </si>
  <si>
    <t>I do not like motorcycles , I prefer Harley-Davidson .</t>
  </si>
  <si>
    <t>Je n' aime pas les motos , je préfère les Harley-Davidson .</t>
  </si>
  <si>
    <t>Non amo le moto , preferisco le navi .</t>
  </si>
  <si>
    <t>I do not like motorcycles , I prefer ships .</t>
  </si>
  <si>
    <t>Je n' aime pas les motos , je préfère les navaires .</t>
  </si>
  <si>
    <t>Non amo le Harley-Davidson , preferisco le biciclette .</t>
  </si>
  <si>
    <t>I do not like Harley-Davidson , I prefer bicycles .</t>
  </si>
  <si>
    <t>Je n' aime pas les Harley-Davidson , je préfère les vélos .</t>
  </si>
  <si>
    <t>Non amo le biciclette , preferisco le Harley-Davidson .</t>
  </si>
  <si>
    <t>I do not like bicycles , I prefer Harley-Davidson .</t>
  </si>
  <si>
    <t>Je n' aime pas les vélos , je préfère les Harley-Davidson .</t>
  </si>
  <si>
    <t>Non amo le moto , preferisco le biciclette .</t>
  </si>
  <si>
    <t>I do not like motorcycles , I prefer bicycles .</t>
  </si>
  <si>
    <t>Je n' aime pas les motos , je préfère les vélos .</t>
  </si>
  <si>
    <t>Non amo le Harley-Davidson , preferisco i treni .</t>
  </si>
  <si>
    <t>I do not like Harley-Davidson , I prefer trains .</t>
  </si>
  <si>
    <t>Je n' aime pas les Harley-Davidson , je préfère les trains .</t>
  </si>
  <si>
    <t>Non amo i treni , preferisco le Harley-Davidson .</t>
  </si>
  <si>
    <t>I do not like trains , I prefer Harley-Davidson .</t>
  </si>
  <si>
    <t>Je n' aime pas les trains , je préfère les Harley-Davidson .</t>
  </si>
  <si>
    <t>Non amo le moto , preferisco i treni .</t>
  </si>
  <si>
    <t>I do not like motorcycles , I prefer trains .</t>
  </si>
  <si>
    <t>Je n' aime pas les motos , je préfère les trains .</t>
  </si>
  <si>
    <t>Non amo le Harley-Davidson , preferisco gli aeroplani .</t>
  </si>
  <si>
    <t>I do not like Harley-Davidson , I prefer airplanes .</t>
  </si>
  <si>
    <t>Je n' aime pas les Harley-Davidson , je préfère les avions .</t>
  </si>
  <si>
    <t>Non amo gli aeroplani , preferisco le Harley-Davidson .</t>
  </si>
  <si>
    <t>I do not like planes , I prefer Harley-Davidson .</t>
  </si>
  <si>
    <t>Je n' aime pas les avions , je préfère les Harley-Davidson .</t>
  </si>
  <si>
    <t>Non amo le moto , preferisco gli aeroplani .</t>
  </si>
  <si>
    <t>I do not like motorcycles , I prefer airplanes .</t>
  </si>
  <si>
    <t>Je n' aime pas les motos , je préfère les avions .</t>
  </si>
  <si>
    <t>Non amo le Suzuki , preferisco le navi .</t>
  </si>
  <si>
    <t>I do not like Suzukis , I prefer ships .</t>
  </si>
  <si>
    <t>Je n' aime pas les Suzukis , je préfère les navaires .</t>
  </si>
  <si>
    <t>Non amo le navi , preferisco le Suzuki .</t>
  </si>
  <si>
    <t>I do not like ships , I prefer Suzukis .</t>
  </si>
  <si>
    <t>Je n' aime pas les navaires , je préfère les Suzukis .</t>
  </si>
  <si>
    <t>Non amo le Suzuki , preferisco le moto .</t>
  </si>
  <si>
    <t>I do not like Suzukis , I prefer motorcycles .</t>
  </si>
  <si>
    <t>Je n' aime pas les Suzukis , je préfère les motos .</t>
  </si>
  <si>
    <t>Non amo le moto , preferisco le Suzuki .</t>
  </si>
  <si>
    <t>I do not like motorcycles , I prefer Suzukis .</t>
  </si>
  <si>
    <t>Je n' aime pas les motos , je préfère les Suzukis .</t>
  </si>
  <si>
    <t>Non amo le Suzuki , preferisco le biciclette .</t>
  </si>
  <si>
    <t>I do not like Suzukis , I prefer bicycles .</t>
  </si>
  <si>
    <t>Je n' aime pas les Suzukis , je préfère les vélos .</t>
  </si>
  <si>
    <t>Non amo le biciclette , preferisco le Suzuki .</t>
  </si>
  <si>
    <t>I do not like bicycles , I prefer Suzukis .</t>
  </si>
  <si>
    <t>Je n' aime pas les vélos , je préfère les Suzukis .</t>
  </si>
  <si>
    <t>Non amo le Suzuki , preferisco i treni .</t>
  </si>
  <si>
    <t>I do not like Suzukis , I prefer trains .</t>
  </si>
  <si>
    <t>Je n' aime pas les Suzukis , je préfère les trains .</t>
  </si>
  <si>
    <t>Non amo i treni , preferisco le Suzuki .</t>
  </si>
  <si>
    <t>I do not like trains , I prefer Suzukis .</t>
  </si>
  <si>
    <t>Je n' aime pas les trains , je préfère les Suzukis .</t>
  </si>
  <si>
    <t>Non amo le Suzuki , preferisco gli aeroplani .</t>
  </si>
  <si>
    <t>I do not like Suzukis , I prefer airplanes .</t>
  </si>
  <si>
    <t>Je n' aime pas les Suzukis , je préfère les avions .</t>
  </si>
  <si>
    <t>Non amo gli aeroplani , preferisco le Suzuki .</t>
  </si>
  <si>
    <t>I do not like planes , I prefer Suzukis .</t>
  </si>
  <si>
    <t>Je n' aime pas les avions , je préfère les Suzukis .</t>
  </si>
  <si>
    <t>Non amo gli enduro , preferisco le navi .</t>
  </si>
  <si>
    <t>I do not like enduros , I prefer ships .</t>
  </si>
  <si>
    <t>Je n' aime pas les enduros , je préfère les navaires .</t>
  </si>
  <si>
    <t>Non amo le navi , preferisco gli enduro .</t>
  </si>
  <si>
    <t>I do not like ships , I prefer enduros .</t>
  </si>
  <si>
    <t>Je n' aime pas les navaires , je préfère les enduros .</t>
  </si>
  <si>
    <t>Non amo gli enduro , preferisco le moto .</t>
  </si>
  <si>
    <t>I do not like enduros , I prefer motorcycles .</t>
  </si>
  <si>
    <t>Je n' aime pas les enduros , je préfère les motos .</t>
  </si>
  <si>
    <t>Non amo le moto , preferisco gli enduro .</t>
  </si>
  <si>
    <t>I do not like motorcycles , I prefer enduros .</t>
  </si>
  <si>
    <t>Je n' aime pas les motos , je préfère les enduros .</t>
  </si>
  <si>
    <t>Non amo gli enduro , preferisco le biciclette .</t>
  </si>
  <si>
    <t>I do not like enduros , I prefer bicycles .</t>
  </si>
  <si>
    <t>Je n' aime pas les enduros , je préfère les vélos .</t>
  </si>
  <si>
    <t>Non amo le biciclette , preferisco gli enduro .</t>
  </si>
  <si>
    <t>I do not like bicycles , I prefer enduros .</t>
  </si>
  <si>
    <t>Je n' aime pas les vélos , je préfère les enduros .</t>
  </si>
  <si>
    <t>Non amo gli enduro , preferisco i treni .</t>
  </si>
  <si>
    <t>I do not like enduros , I prefer trains .</t>
  </si>
  <si>
    <t>Je n' aime pas les enduros , je préfère les trains .</t>
  </si>
  <si>
    <t>Non amo i treni , preferisco gli enduro .</t>
  </si>
  <si>
    <t>I do not like trains , I prefer enduros .</t>
  </si>
  <si>
    <t>Je n' aime pas les trains , je préfère les enduros .</t>
  </si>
  <si>
    <t>Non amo gli enduro , preferisco gli aeroplani .</t>
  </si>
  <si>
    <t>I do not like enduros , I prefer airplanes .</t>
  </si>
  <si>
    <t>Je n' aime pas les enduros , je préfère les avions .</t>
  </si>
  <si>
    <t>Non amo gli aeroplani , preferisco gli enduro .</t>
  </si>
  <si>
    <t>I do not like planes , I prefer enduros .</t>
  </si>
  <si>
    <t>Je n' aime pas les avions , je préfère les enduros .</t>
  </si>
  <si>
    <t>Non amo le Kawasakis , preferisco le navi .</t>
  </si>
  <si>
    <t>I do not like Kawasakis , I prefer ships .</t>
  </si>
  <si>
    <t>Je n' aime pas les Kawasakis , je préfère les navaires .</t>
  </si>
  <si>
    <t>Non amo le navi , preferisco le Kawasakis .</t>
  </si>
  <si>
    <t>I do not like ships , I prefer Kawasakis .</t>
  </si>
  <si>
    <t>Je n' aime pas les navaires , je préfère les Kawasakis .</t>
  </si>
  <si>
    <t>Non amo le Kawasakis , preferisco le moto .</t>
  </si>
  <si>
    <t>I do not like Kawasakis , I prefer motorcycles .</t>
  </si>
  <si>
    <t>Je n' aime pas les Kawasakis , je préfère les motos .</t>
  </si>
  <si>
    <t>Non amo le moto , preferisco le Kawasakis .</t>
  </si>
  <si>
    <t>I do not like motorcycles , I prefer Kawasakis .</t>
  </si>
  <si>
    <t>Je n' aime pas les motos , je préfère les Kawasakis .</t>
  </si>
  <si>
    <t>Non amo le Kawasakis , preferisco le biciclette .</t>
  </si>
  <si>
    <t>I do not like Kawasakis , I prefer bicycles .</t>
  </si>
  <si>
    <t>Je n' aime pas les Kawasakis , je préfère les vélos .</t>
  </si>
  <si>
    <t>Non amo le biciclette , preferisco le Kawasakis .</t>
  </si>
  <si>
    <t>I do not like bicycles , I prefer Kawasakis .</t>
  </si>
  <si>
    <t>Je n' aime pas les vélos , je préfère les Kawasakis .</t>
  </si>
  <si>
    <t>Non amo le Kawasakis , preferisco i treni .</t>
  </si>
  <si>
    <t>I do not like Kawasakis , I prefer trains .</t>
  </si>
  <si>
    <t>Je n' aime pas les Kawasakis , je préfère les trains .</t>
  </si>
  <si>
    <t>Non amo i treni , preferisco le Kawasakis .</t>
  </si>
  <si>
    <t>I do not like trains , I prefer Kawasakis .</t>
  </si>
  <si>
    <t>Je n' aime pas les trains , je préfère les Kawasakis .</t>
  </si>
  <si>
    <t>Non amo le Kawasakis , preferisco gli aeroplani .</t>
  </si>
  <si>
    <t>I do not like Kawasakis , I prefer airplanes .</t>
  </si>
  <si>
    <t>Je n' aime pas les Kawasakis , je préfère les avions .</t>
  </si>
  <si>
    <t>Non amo gli aeroplani , preferisco le Kawasakis .</t>
  </si>
  <si>
    <t>I do not like planes , I prefer Kawasakis .</t>
  </si>
  <si>
    <t>Je n' aime pas les avions , je préfère les Kawasakis .</t>
  </si>
  <si>
    <t>Amo i passeri , eccetto i maiali .</t>
  </si>
  <si>
    <t>I like sparrows , except pigs .</t>
  </si>
  <si>
    <t>J' aime les moineaux , sauf les cochons .</t>
  </si>
  <si>
    <t>Non amo le camicie , preferisco gli animali domestici .</t>
  </si>
  <si>
    <t>I do not like shirts , I prefer pets .</t>
  </si>
  <si>
    <t>Je n' aime pas les chemises , je préfère les animaux de compagnie .</t>
  </si>
  <si>
    <t>Non amo gli animali domestici , preferisco le camicie .</t>
  </si>
  <si>
    <t>I do not like pets , I prefer shirts .</t>
  </si>
  <si>
    <t>Je n' aime pas les animaux de compagnie , je préfère les chemises .</t>
  </si>
  <si>
    <t>Non amo le camicie , preferisco i vestiti .</t>
  </si>
  <si>
    <t>I do not like shirts , I prefer clothes .</t>
  </si>
  <si>
    <t>Je n' aime pas les chemises , je préfère les vêtements .</t>
  </si>
  <si>
    <t>Non amo i vestiti , preferisco le camicie .</t>
  </si>
  <si>
    <t>I do not like clothes , I prefer shirts .</t>
  </si>
  <si>
    <t>Je n' aime pas les vêtements , je préfère les chemises .</t>
  </si>
  <si>
    <t>Non amo i vestiti , preferisco gli animali domestici .</t>
  </si>
  <si>
    <t>I do not like clothes , I prefer pets .</t>
  </si>
  <si>
    <t>Je n' aime pas les vêtements , je préfère les animaux de compagnie .</t>
  </si>
  <si>
    <t>Non amo le camicie , preferisco i gioielli .</t>
  </si>
  <si>
    <t>I do not like shirts , I prefer jewelry .</t>
  </si>
  <si>
    <t>Je n' aime pas les chemises , je préfère les bijoux .</t>
  </si>
  <si>
    <t>Non amo i gioielli , preferisco le camicie .</t>
  </si>
  <si>
    <t>I do not like jewelry , I prefer shirts .</t>
  </si>
  <si>
    <t>Je n' aime pas les bijoux , je préfère les chemises .</t>
  </si>
  <si>
    <t>Non amo i vestiti , preferisco i gioielli .</t>
  </si>
  <si>
    <t>I do not like clothes , I prefer jewelry .</t>
  </si>
  <si>
    <t>Je n' aime pas les vêtements , je préfère les bijoux .</t>
  </si>
  <si>
    <t>Non amo le camicie , preferisco gli occhiali .</t>
  </si>
  <si>
    <t>I do not like shirts , I prefer glasses .</t>
  </si>
  <si>
    <t>Je n' aime pas les chemises , je préfère les lunettes .</t>
  </si>
  <si>
    <t>Non amo gli occhiali , preferisco le camicie .</t>
  </si>
  <si>
    <t>I do not like glasses , I prefer shirts .</t>
  </si>
  <si>
    <t>Je n' aime pas les lunettes , je préfère les chemises .</t>
  </si>
  <si>
    <t>Non amo i vestiti , preferisco gli occhiali .</t>
  </si>
  <si>
    <t>I do not like clothes , I prefer glasses .</t>
  </si>
  <si>
    <t>Je n' aime pas les vêtements , je préfère les lunettes .</t>
  </si>
  <si>
    <t>Non amo le camicie , preferisco gli orecchini .</t>
  </si>
  <si>
    <t>I do not like shirts , I prefer earrings .</t>
  </si>
  <si>
    <t>Je n' aime pas les chemises , je préfère les boucles d' oreille .</t>
  </si>
  <si>
    <t>Non amo gli orecchini , preferisco le camicie .</t>
  </si>
  <si>
    <t>I do not like earrings , I prefer shirts .</t>
  </si>
  <si>
    <t>Je n' aime pas les boucles d' oreille , je préfère les chemises .</t>
  </si>
  <si>
    <t>Amo i maiali , eccetto i passeri .</t>
  </si>
  <si>
    <t>I like pigs , except sparrows .</t>
  </si>
  <si>
    <t>J' aime les cochons , sauf les moineaux .</t>
  </si>
  <si>
    <t>Non amo i vestiti , preferisco gli orecchini .</t>
  </si>
  <si>
    <t>I do not like clothes , I prefer earrings .</t>
  </si>
  <si>
    <t>Je n' aime pas les vêtements , je préfère les boucles d' oreille .</t>
  </si>
  <si>
    <t>Non amo i pantaloni , preferisco gli animali domestici .</t>
  </si>
  <si>
    <t>I do not like trousers , I prefer pets .</t>
  </si>
  <si>
    <t>Je n' aime pas les pantalons , je préfère les animaux de compagnie .</t>
  </si>
  <si>
    <t>Non amo gli animali domestici , preferisco i pantaloni .</t>
  </si>
  <si>
    <t>I do not like pets , I prefer trousers .</t>
  </si>
  <si>
    <t>Je n' aime pas les animaux de compagnie , je préfère les pantalons .</t>
  </si>
  <si>
    <t>Non amo i pantaloni , preferisco i vestiti .</t>
  </si>
  <si>
    <t>I do not like trousers , I prefer clothes .</t>
  </si>
  <si>
    <t>Je n' aime pas les pantalons , je préfère les vêtements .</t>
  </si>
  <si>
    <t>Non amo i vestiti , preferisco i pantaloni .</t>
  </si>
  <si>
    <t>I do not like clothes , I prefer trousers .</t>
  </si>
  <si>
    <t>Je n' aime pas les vêtements , je préfère les pantalons .</t>
  </si>
  <si>
    <t>Non amo i pantaloni , preferisco i gioielli .</t>
  </si>
  <si>
    <t>I do not like trousers , I prefer jewelry .</t>
  </si>
  <si>
    <t>Je n' aime pas les pantalons , je préfère les bijoux .</t>
  </si>
  <si>
    <t>Non amo i gioielli , preferisco i pantaloni .</t>
  </si>
  <si>
    <t>I do not like jewelry , I prefer trousers .</t>
  </si>
  <si>
    <t>Je n' aime pas les bijoux , je préfère les pantalons .</t>
  </si>
  <si>
    <t>Non amo i pantaloni , preferisco gli occhiali .</t>
  </si>
  <si>
    <t>I do not like trousers , I prefer glasses .</t>
  </si>
  <si>
    <t>Je n' aime pas les pantalons , je préfère les lunettes .</t>
  </si>
  <si>
    <t>Non amo gli occhiali , preferisco i pantaloni .</t>
  </si>
  <si>
    <t>I do not like glasses , I prefer trousers .</t>
  </si>
  <si>
    <t>Je n' aime pas les lunettes , je préfère les pantalons .</t>
  </si>
  <si>
    <t>Non amo i pantaloni , preferisco gli orecchini .</t>
  </si>
  <si>
    <t>I do not like trousers , I prefer earrings .</t>
  </si>
  <si>
    <t>Je n' aime pas les pantalons , je préfère les boucles d' oreille .</t>
  </si>
  <si>
    <t>Non amo gli orecchini , preferisco i pantaloni .</t>
  </si>
  <si>
    <t>I do not like earrings , I prefer trousers .</t>
  </si>
  <si>
    <t>Je n' aime pas les boucles d' oreille , je préfère les pantalons .</t>
  </si>
  <si>
    <t>Non amo le calze , preferisco gli animali domestici .</t>
  </si>
  <si>
    <t>I do not like socks , I prefer pets .</t>
  </si>
  <si>
    <t>Je n' aime pas les chausettes , je préfère les animaux de compagnie .</t>
  </si>
  <si>
    <t>Non amo gli animali domestici , preferisco le calze .</t>
  </si>
  <si>
    <t>I do not like pets , I prefer socks .</t>
  </si>
  <si>
    <t>Je n' aime pas les animaux de compagnie , je préfère les chausettes .</t>
  </si>
  <si>
    <t>Non amo le calze , preferisco i vestiti .</t>
  </si>
  <si>
    <t>I do not like socks , I prefer clothes .</t>
  </si>
  <si>
    <t>Je n' aime pas les chausettes , je préfère les vêtements .</t>
  </si>
  <si>
    <t>Non amo i vestiti , preferisco le calze .</t>
  </si>
  <si>
    <t>I do not like clothes , I prefer socks .</t>
  </si>
  <si>
    <t>Je n' aime pas les vêtements , je préfère les chausettes .</t>
  </si>
  <si>
    <t>Non amo le calze , preferisco i gioielli .</t>
  </si>
  <si>
    <t>I do not like socks , I prefer jewelry .</t>
  </si>
  <si>
    <t>Je n' aime pas les chausettes , je préfère les bijoux .</t>
  </si>
  <si>
    <t>Non amo i gioielli , preferisco le calze .</t>
  </si>
  <si>
    <t>I do not like jewelry , I prefer socks .</t>
  </si>
  <si>
    <t>Je n' aime pas les bijoux , je préfère les chausettes .</t>
  </si>
  <si>
    <t>Non amo le calze , preferisco gli occhiali .</t>
  </si>
  <si>
    <t>I do not like socks , I prefer glasses .</t>
  </si>
  <si>
    <t>Je n' aime pas les chausettes , je préfère les lunettes .</t>
  </si>
  <si>
    <t>Non amo gli occhiali , preferisco le calze .</t>
  </si>
  <si>
    <t>I do not like glasses , I prefer socks .</t>
  </si>
  <si>
    <t>Je n' aime pas les lunettes , je préfère les chausettes .</t>
  </si>
  <si>
    <t>Non amo le calze , preferisco gli orecchini .</t>
  </si>
  <si>
    <t>I do not like socks , I prefer earrings .</t>
  </si>
  <si>
    <t>Je n' aime pas les chausettes , je préfère les boucles d' oreille .</t>
  </si>
  <si>
    <t>Non amo gli orecchini , preferisco le calze .</t>
  </si>
  <si>
    <t>I do not like earrings , I prefer socks .</t>
  </si>
  <si>
    <t>Je n' aime pas les boucles d' oreille , je préfère les chausettes .</t>
  </si>
  <si>
    <t>Non amo le gonne , preferisco gli animali domestici .</t>
  </si>
  <si>
    <t>I do not like skirts , I prefer pets .</t>
  </si>
  <si>
    <t>Je n' aime pas les jupes , je préfère les animaux de compagnie .</t>
  </si>
  <si>
    <t>Non amo gli animali domestici , preferisco le gonne .</t>
  </si>
  <si>
    <t>I do not like pets , I prefer skirts .</t>
  </si>
  <si>
    <t>Je n' aime pas les animaux de compagnie , je préfère les jupes .</t>
  </si>
  <si>
    <t>Non amo le gonne , preferisco i vestiti .</t>
  </si>
  <si>
    <t>I do not like skirts , I prefer clothes .</t>
  </si>
  <si>
    <t>Je n' aime pas les jupes , je préfère les vêtements .</t>
  </si>
  <si>
    <t>Non amo i vestiti , preferisco le gonne .</t>
  </si>
  <si>
    <t>I do not like clothes , I prefer skirts .</t>
  </si>
  <si>
    <t>Je n' aime pas les vêtements , je préfère les jupes .</t>
  </si>
  <si>
    <t>Non amo le gonne , preferisco i gioielli .</t>
  </si>
  <si>
    <t>I do not like skirts , I prefer jewelry .</t>
  </si>
  <si>
    <t>Je n' aime pas les jupes , je préfère les bijoux .</t>
  </si>
  <si>
    <t>Non amo i gioielli , preferisco le gonne .</t>
  </si>
  <si>
    <t>I do not like jewelry , I prefer skirts .</t>
  </si>
  <si>
    <t>Je n' aime pas les bijoux , je préfère les jupes .</t>
  </si>
  <si>
    <t>Non amo le gonne , preferisco gli occhiali .</t>
  </si>
  <si>
    <t>I do not like skirts , I prefer glasses .</t>
  </si>
  <si>
    <t>Je n' aime pas les jupes , je préfère les lunettes .</t>
  </si>
  <si>
    <t>Non amo gli occhiali , preferisco le gonne .</t>
  </si>
  <si>
    <t>I do not like glasses , I prefer skirts .</t>
  </si>
  <si>
    <t>Je n' aime pas les lunettes , je préfère les jupes .</t>
  </si>
  <si>
    <t>Non amo le gonne , preferisco gli orecchini .</t>
  </si>
  <si>
    <t>I do not like skirts , I prefer earrings .</t>
  </si>
  <si>
    <t>Je n' aime pas les jupes , je préfère les boucles d' oreille .</t>
  </si>
  <si>
    <t>Non amo gli orecchini , preferisco le gonne .</t>
  </si>
  <si>
    <t>I do not like earrings , I prefer skirts .</t>
  </si>
  <si>
    <t>Je n' aime pas les boucles d' oreille , je préfère les jupes .</t>
  </si>
  <si>
    <t>Non amo le querce , preferisco l' erba .</t>
  </si>
  <si>
    <t>I do not like oaks , I prefer grass .</t>
  </si>
  <si>
    <t>Je n' aime pas les chênes , je préfère la pelouse .</t>
  </si>
  <si>
    <t>Non amo l' erba , preferisco le querce .</t>
  </si>
  <si>
    <t>I do not like grass , I prefer oaks .</t>
  </si>
  <si>
    <t>Je n' aime pas la pelouse , je préfère les chênes .</t>
  </si>
  <si>
    <t>Non amo le querce , preferisco gli alberi .</t>
  </si>
  <si>
    <t>I do not like oaks , I prefer trees .</t>
  </si>
  <si>
    <t>Je n' aime pas les chênes , je préfère les arbres .</t>
  </si>
  <si>
    <t>Non amo gli alberi , preferisco le querce .</t>
  </si>
  <si>
    <t>I do not like trees , I prefer oaks .</t>
  </si>
  <si>
    <t>Je n' aime pas les arbres , je préfère les chênes .</t>
  </si>
  <si>
    <t>Non amo gli alberi , preferisco l' erba .</t>
  </si>
  <si>
    <t>I do not like trees , I prefer grass .</t>
  </si>
  <si>
    <t>Je n' aime pas les arbres , je préfère la pelouse .</t>
  </si>
  <si>
    <t>Non amo le querce , preferisco gli animali .</t>
  </si>
  <si>
    <t>I do not like oaks , I prefer animals .</t>
  </si>
  <si>
    <t>Je n' aime pas les chênes , je préfère les animaux .</t>
  </si>
  <si>
    <t>Non amo gli animali , preferisco le querce .</t>
  </si>
  <si>
    <t>I do not like animals , I prefer oaks .</t>
  </si>
  <si>
    <t>Je n' aime pas les animaux , je préfère les chênes .</t>
  </si>
  <si>
    <t>Non amo gli alberi , preferisco gli animali .</t>
  </si>
  <si>
    <t>I do not like trees , I prefer animals .</t>
  </si>
  <si>
    <t>Je n' aime pas les arbres , je préfère les animaux .</t>
  </si>
  <si>
    <t>Non amo le querce , preferisco i cespugli .</t>
  </si>
  <si>
    <t>I do not like oaks , I prefer bushes .</t>
  </si>
  <si>
    <t>Je n' aime pas les chênes , je préfère les buissons .</t>
  </si>
  <si>
    <t>Non amo i cespugli , preferisco le querce .</t>
  </si>
  <si>
    <t>I do not like bushes , I prefer oaks .</t>
  </si>
  <si>
    <t>Je n' aime pas les buissons , je préfère les chênes .</t>
  </si>
  <si>
    <t>Non amo gli alberi , preferisco i cespugli .</t>
  </si>
  <si>
    <t>I do not like trees , I prefer bushes .</t>
  </si>
  <si>
    <t>Je n' aime pas les arbres , je préfère les buissons .</t>
  </si>
  <si>
    <t>Non amo le querce , preferisco gli arbusti .</t>
  </si>
  <si>
    <t>I do not like oaks , I prefer shrubs .</t>
  </si>
  <si>
    <t>Je n' aime pas les chênes , je préfère les arbustes .</t>
  </si>
  <si>
    <t>Non amo gli arbusti , preferisco le querce .</t>
  </si>
  <si>
    <t>I do not like shrubs , I prefer oaks .</t>
  </si>
  <si>
    <t>Je n' aime pas les arbustes , je préfère les chênes .</t>
  </si>
  <si>
    <t>Non amo gli alberi , preferisco gli arbusti .</t>
  </si>
  <si>
    <t>I do not like trees , I prefer shrubs .</t>
  </si>
  <si>
    <t>Je n' aime pas les arbres , je préfère les arbustes .</t>
  </si>
  <si>
    <t>Non amo le betulle , preferisco l' erba .</t>
  </si>
  <si>
    <t>I do not like birches , I prefer grass .</t>
  </si>
  <si>
    <t>Je n' aime pas les bouleaux , je préfère la pelouse .</t>
  </si>
  <si>
    <t>Non amo l' erba , preferisco le betulle .</t>
  </si>
  <si>
    <t>I do not like grass , I prefer birches .</t>
  </si>
  <si>
    <t>Je n' aime pas la pelouse , je préfère les bouleaux .</t>
  </si>
  <si>
    <t>Non amo le betulle , preferisco gli alberi .</t>
  </si>
  <si>
    <t>I do not like birches , I prefer trees .</t>
  </si>
  <si>
    <t>Je n' aime pas les bouleaux , je préfère les arbres .</t>
  </si>
  <si>
    <t>Non amo gli alberi , preferisco le betulle .</t>
  </si>
  <si>
    <t>I do not like trees , I prefer birches .</t>
  </si>
  <si>
    <t>Je n' aime pas les arbres , je préfère les bouleaux .</t>
  </si>
  <si>
    <t>Non amo le betulle , preferisco gli animali .</t>
  </si>
  <si>
    <t>I do not like birches , I prefer animals .</t>
  </si>
  <si>
    <t>Je n' aime pas les bouleaux , je préfère les animaux .</t>
  </si>
  <si>
    <t>Non amo gli animali , preferisco le betulle .</t>
  </si>
  <si>
    <t>I do not like animals , I prefer birches .</t>
  </si>
  <si>
    <t>Je n' aime pas les animaux , je préfère les bouleaux .</t>
  </si>
  <si>
    <t>Non amo le betulle , preferisco i cespugli .</t>
  </si>
  <si>
    <t>I do not like birches , I prefer bushes .</t>
  </si>
  <si>
    <t>Je n' aime pas les bouleaux , je préfère les buissons .</t>
  </si>
  <si>
    <t>Non amo i cespugli , preferisco le betulle .</t>
  </si>
  <si>
    <t>I do not like bushes , I prefer birches .</t>
  </si>
  <si>
    <t>Je n' aime pas les buissons , je préfère les bouleaux .</t>
  </si>
  <si>
    <t>Non amo le betulle , preferisco gli arbusti .</t>
  </si>
  <si>
    <t>I do not like birches , I prefer shrubs .</t>
  </si>
  <si>
    <t>Je n' aime pas les bouleaux , je préfère les arbustes .</t>
  </si>
  <si>
    <t>Non amo gli arbusti , preferisco le betulle .</t>
  </si>
  <si>
    <t>I do not like shrubs , I prefer birches .</t>
  </si>
  <si>
    <t>Je n' aime pas les arbustes , je préfère les bouleaux .</t>
  </si>
  <si>
    <t>Non amo gli abeti , preferisco l' erba .</t>
  </si>
  <si>
    <t>I do not like firs , I prefer grass .</t>
  </si>
  <si>
    <t>Je n' aime pas les sapins , je préfère la pelouse .</t>
  </si>
  <si>
    <t>Non amo l' erba , preferisco gli abeti .</t>
  </si>
  <si>
    <t>I do not like grass , I prefer firs .</t>
  </si>
  <si>
    <t>Je n' aime pas la pelouse , je préfère les sapins .</t>
  </si>
  <si>
    <t>Non amo gli abeti , preferisco gli alberi .</t>
  </si>
  <si>
    <t>I do not like firs , I prefer trees .</t>
  </si>
  <si>
    <t>Je n' aime pas les sapins , je préfère les arbres .</t>
  </si>
  <si>
    <t>Non amo gli alberi , preferisco gli abeti .</t>
  </si>
  <si>
    <t>I do not like trees , I prefer firs .</t>
  </si>
  <si>
    <t>Je n' aime pas les arbres , je préfère les sapins .</t>
  </si>
  <si>
    <t>Non amo gli abeti , preferisco gli animali .</t>
  </si>
  <si>
    <t>I do not like firs , I prefer animals .</t>
  </si>
  <si>
    <t>Je n' aime pas les sapins , je préfère les animaux .</t>
  </si>
  <si>
    <t>Non amo gli animali , preferisco gli abeti .</t>
  </si>
  <si>
    <t>I do not like animals , I prefer firs .</t>
  </si>
  <si>
    <t>Je n' aime pas les animaux , je préfère les sapins .</t>
  </si>
  <si>
    <t>Non amo gli abeti , preferisco i cespugli .</t>
  </si>
  <si>
    <t>I do not like firs , I prefer bushes .</t>
  </si>
  <si>
    <t>Je n' aime pas les sapins , je préfère les buissons .</t>
  </si>
  <si>
    <t>Non amo i cespugli , preferisco gli abeti .</t>
  </si>
  <si>
    <t>I do not like bushes , I prefer firs .</t>
  </si>
  <si>
    <t>Je n' aime pas les buissons , je préfère les sapins .</t>
  </si>
  <si>
    <t>Non amo gli abeti , preferisco gli arbusti .</t>
  </si>
  <si>
    <t>I do not like firs , I prefer shrubs .</t>
  </si>
  <si>
    <t>Je n' aime pas les sapins , je préfère les arbustes .</t>
  </si>
  <si>
    <t>Non amo gli arbusti , preferisco gli abeti .</t>
  </si>
  <si>
    <t>I do not like shrubs , I prefer firs .</t>
  </si>
  <si>
    <t>Je n' aime pas les arbustes , je préfère les sapins .</t>
  </si>
  <si>
    <t>Non amo i pini , preferisco l' erba .</t>
  </si>
  <si>
    <t>I do not like pines , I prefer grass .</t>
  </si>
  <si>
    <t>Je n' aime pas les pins , je préfère la pelouse .</t>
  </si>
  <si>
    <t>Non amo l' erba , preferisco i pini .</t>
  </si>
  <si>
    <t>I do not like grass , I prefer pines .</t>
  </si>
  <si>
    <t>Je n' aime pas la pelouse , je préfère les pins .</t>
  </si>
  <si>
    <t>Non amo i pini , preferisco gli alberi .</t>
  </si>
  <si>
    <t>I do not like pines , I prefer trees .</t>
  </si>
  <si>
    <t>Je n' aime pas les pins , je préfère les arbres .</t>
  </si>
  <si>
    <t>Non amo gli alberi , preferisco i pini .</t>
  </si>
  <si>
    <t>I do not like trees , I prefer pines .</t>
  </si>
  <si>
    <t>Je n' aime pas les arbres , je préfère les pins .</t>
  </si>
  <si>
    <t>Non amo i pini , preferisco gli animali .</t>
  </si>
  <si>
    <t>I do not like pines , I prefer animals .</t>
  </si>
  <si>
    <t>Je n' aime pas les pins , je préfère les animaux .</t>
  </si>
  <si>
    <t>Non amo gli animali , preferisco i pini .</t>
  </si>
  <si>
    <t>I do not like animals , I prefer pines .</t>
  </si>
  <si>
    <t>Je n' aime pas les animaux , je préfère les pins .</t>
  </si>
  <si>
    <t>Non amo i pini , preferisco i cespugli .</t>
  </si>
  <si>
    <t>I do not like pines , I prefer bushes .</t>
  </si>
  <si>
    <t>Je n' aime pas les pins , je préfère les buissons .</t>
  </si>
  <si>
    <t>Non amo i cespugli , preferisco i pini .</t>
  </si>
  <si>
    <t>I do not like bushes , I prefer pines .</t>
  </si>
  <si>
    <t>Je n' aime pas les buissons , je préfère les pins .</t>
  </si>
  <si>
    <t>Non amo i pini , preferisco gli arbusti .</t>
  </si>
  <si>
    <t>I do not like pines , I prefer shrubs .</t>
  </si>
  <si>
    <t>Je n' aime pas les pins , je préfère les arbustes .</t>
  </si>
  <si>
    <t>Non amo gli arbusti , preferisco i pini .</t>
  </si>
  <si>
    <t>I do not like shrubs , I prefer pines .</t>
  </si>
  <si>
    <t>Je n' aime pas les arbustes , je préfère les pins .</t>
  </si>
  <si>
    <t>Non amo il poliestere , preferisco il legno .</t>
  </si>
  <si>
    <t>I do not like polyester , I prefer wood .</t>
  </si>
  <si>
    <t>Je n' aime pas le polyester , je préfère le bois .</t>
  </si>
  <si>
    <t>Non amo il legno , preferisco il poliestere .</t>
  </si>
  <si>
    <t>I do not like wood , I prefer polyester .</t>
  </si>
  <si>
    <t>Je n' aime pas le bois , je préfère le polyester .</t>
  </si>
  <si>
    <t>Non amo il poliestere , preferisco la plastica .</t>
  </si>
  <si>
    <t>I do not like polyester , I prefer plastic .</t>
  </si>
  <si>
    <t>Je n' aime pas le polyester , je préfère le plastique .</t>
  </si>
  <si>
    <t>Non amo la plastica , preferisco il poliestere .</t>
  </si>
  <si>
    <t>I do not like plastic , I prefer polyester .</t>
  </si>
  <si>
    <t>Je n' aime pas le plastique , je préfère le polyester .</t>
  </si>
  <si>
    <t>Non amo la plastica , preferisco il legno .</t>
  </si>
  <si>
    <t>I do not like plastic , I prefer wood .</t>
  </si>
  <si>
    <t>Je n' aime pas le plastique , je préfère le bois .</t>
  </si>
  <si>
    <t>Non amo il poliestere , preferisco il cotone .</t>
  </si>
  <si>
    <t>I do not like polyester , I prefer cotton .</t>
  </si>
  <si>
    <t>Je n' aime pas le polyester , je préfère le coton .</t>
  </si>
  <si>
    <t>Non amo il cotone , preferisco il poliestere .</t>
  </si>
  <si>
    <t>I do not like cotton , I prefer polyester .</t>
  </si>
  <si>
    <t>Je n' aime pas le coton , je préfère le polyester .</t>
  </si>
  <si>
    <t>Non amo la plastica , preferisco il cotone .</t>
  </si>
  <si>
    <t>I do not like plastic , I prefer cotton .</t>
  </si>
  <si>
    <t>Je n' aime pas le plastique , je préfère le coton .</t>
  </si>
  <si>
    <t>Non amo il poliestere , preferisco il vetro .</t>
  </si>
  <si>
    <t>I do not like polyester , I prefer glass .</t>
  </si>
  <si>
    <t>Je n' aime pas le polyester , je préfère le verre .</t>
  </si>
  <si>
    <t>Non amo il vetro , preferisco il poliestere .</t>
  </si>
  <si>
    <t>I do not like glass , I prefer polyester .</t>
  </si>
  <si>
    <t>Je n' aime pas le verre , je préfère le polyester .</t>
  </si>
  <si>
    <t>Non amo la plastica , preferisco il vetro .</t>
  </si>
  <si>
    <t>I do not like plastic , I prefer glass .</t>
  </si>
  <si>
    <t>Je n' aime pas le plastique , je préfère le verre .</t>
  </si>
  <si>
    <t>Non amo il poliestere , preferisco il cuoio .</t>
  </si>
  <si>
    <t>I do not like polyester , I prefer leather .</t>
  </si>
  <si>
    <t>Je n' aime pas le polyester , je préfère le cuir .</t>
  </si>
  <si>
    <t>Non amo il cuoio , preferisco il poliestere .</t>
  </si>
  <si>
    <t>I do not like leather , I prefer polyester .</t>
  </si>
  <si>
    <t>Je n' aime pas le cuir , je préfère le polyester .</t>
  </si>
  <si>
    <t>Non amo la plastica , preferisco il cuoio .</t>
  </si>
  <si>
    <t>I do not like plastic , I prefer leather .</t>
  </si>
  <si>
    <t>Je n' aime pas le plastique , je préfère le cuir .</t>
  </si>
  <si>
    <t>Non amo il nylon , preferisco il legno .</t>
  </si>
  <si>
    <t>I do not like nylon , I prefer wood .</t>
  </si>
  <si>
    <t>Je n' aime pas le nylon , je préfère le bois .</t>
  </si>
  <si>
    <t>Non amo il legno , preferisco il nylon .</t>
  </si>
  <si>
    <t>I do not like wood , I prefer nylon .</t>
  </si>
  <si>
    <t>Je n' aime pas le bois , je préfère le nylon .</t>
  </si>
  <si>
    <t>Non amo il nylon , preferisco la plastica .</t>
  </si>
  <si>
    <t>I do not like nylon , I prefer plastic .</t>
  </si>
  <si>
    <t>Je n' aime pas le nylon , je préfère le plastique .</t>
  </si>
  <si>
    <t>Non amo la plastica , preferisco il nylon .</t>
  </si>
  <si>
    <t>I do not like plastic , I prefer nylon .</t>
  </si>
  <si>
    <t>Je n' aime pas le plastique , je préfère le nylon .</t>
  </si>
  <si>
    <t>Non amo il nylon , preferisco il cotone .</t>
  </si>
  <si>
    <t>I do not like nylon , I prefer cotton .</t>
  </si>
  <si>
    <t>Je n' aime pas le nylon , je préfère le coton .</t>
  </si>
  <si>
    <t>Non amo il cotone , preferisco il nylon .</t>
  </si>
  <si>
    <t>I do not like cotton , I prefer nylon .</t>
  </si>
  <si>
    <t>Je n' aime pas le coton , je préfère le nylon .</t>
  </si>
  <si>
    <t>Non amo il nylon , preferisco il vetro .</t>
  </si>
  <si>
    <t>I do not like nylon , I prefer glass .</t>
  </si>
  <si>
    <t>Je n' aime pas le nylon , je préfère le verre .</t>
  </si>
  <si>
    <t>Non amo il vetro , preferisco il nylon .</t>
  </si>
  <si>
    <t>I do not like glass , I prefer nylon .</t>
  </si>
  <si>
    <t>Je n' aime pas le verre , je préfère le nylon .</t>
  </si>
  <si>
    <t>Non amo il nylon , preferisco il cuoio .</t>
  </si>
  <si>
    <t>I do not like nylon , I prefer leather .</t>
  </si>
  <si>
    <t>Je n' aime pas le nylon , je préfère le cuir .</t>
  </si>
  <si>
    <t>Non amo il cuoio , preferisco il nylon .</t>
  </si>
  <si>
    <t>I do not like leather , I prefer nylon .</t>
  </si>
  <si>
    <t>Je n' aime pas le cuir , je préfère le nylon .</t>
  </si>
  <si>
    <t>Non amo il vinile , preferisco il legno .</t>
  </si>
  <si>
    <t>I do not like vinyl , I prefer wood .</t>
  </si>
  <si>
    <t>Je n' aime pas le vinyle , je préfère le bois .</t>
  </si>
  <si>
    <t>Non amo il legno , preferisco il vinile .</t>
  </si>
  <si>
    <t>I do not like wood , I prefer vinyl .</t>
  </si>
  <si>
    <t>Je n' aime pas le bois , je préfère le vinyle .</t>
  </si>
  <si>
    <t>Non amo il vinile , preferisco la plastica .</t>
  </si>
  <si>
    <t>I do not like vinyl , I prefer plastic .</t>
  </si>
  <si>
    <t>Je n' aime pas le vinyle , je préfère le plastique .</t>
  </si>
  <si>
    <t>Non amo la plastica , preferisco il vinile .</t>
  </si>
  <si>
    <t>I do not like plastic , I prefer vinyl .</t>
  </si>
  <si>
    <t>Je n' aime pas le plastique , je préfère le vinyle .</t>
  </si>
  <si>
    <t>Non amo il vinile , preferisco il cotone .</t>
  </si>
  <si>
    <t>I do not like vinyl , I prefer cotton .</t>
  </si>
  <si>
    <t>Je n' aime pas le vinyle , je préfère le coton .</t>
  </si>
  <si>
    <t>Non amo il cotone , preferisco il vinile .</t>
  </si>
  <si>
    <t>I do not like cotton , I prefer vinyl .</t>
  </si>
  <si>
    <t>Je n' aime pas le coton , je préfère le vinyle .</t>
  </si>
  <si>
    <t>Non amo il vinile , preferisco il vetro .</t>
  </si>
  <si>
    <t>I do not like vinyl , I prefer glass .</t>
  </si>
  <si>
    <t>Je n' aime pas le vinyle , je préfère le verre .</t>
  </si>
  <si>
    <t>Non amo il vetro , preferisco il vinile .</t>
  </si>
  <si>
    <t>I do not like glass , I prefer vinyl .</t>
  </si>
  <si>
    <t>Je n' aime pas le verre , je préfère le vinyle .</t>
  </si>
  <si>
    <t>Non amo il vinile , preferisco il cuoio .</t>
  </si>
  <si>
    <t>I do not like vinyl , I prefer leather .</t>
  </si>
  <si>
    <t>Je n' aime pas le vinyle , je préfère le cuir .</t>
  </si>
  <si>
    <t>Non amo il cuoio , preferisco il vinile .</t>
  </si>
  <si>
    <t>I do not like leather , I prefer vinyl .</t>
  </si>
  <si>
    <t>Je n' aime pas le cuir , je préfère le vinyle .</t>
  </si>
  <si>
    <t>Non amo il PVC , preferisco il legno .</t>
  </si>
  <si>
    <t>I do not like PVC , I prefer wood .</t>
  </si>
  <si>
    <t>Je n' aime pas le PVC , je préfère le bois .</t>
  </si>
  <si>
    <t>Non amo il legno , preferisco il PVC .</t>
  </si>
  <si>
    <t>I do not like wood , I prefer PVC .</t>
  </si>
  <si>
    <t>Je n' aime pas le bois , je préfère le PVC .</t>
  </si>
  <si>
    <t>Non amo il PVC , preferisco la plastica .</t>
  </si>
  <si>
    <t>I do not like PVC , I prefer plastic .</t>
  </si>
  <si>
    <t>Je n' aime pas le PVC , je préfère le plastique .</t>
  </si>
  <si>
    <t>Non amo la plastica , preferisco il PVC .</t>
  </si>
  <si>
    <t>I do not like plastic , I prefer PVC .</t>
  </si>
  <si>
    <t>Je n' aime pas le plastique , je préfère le PVC .</t>
  </si>
  <si>
    <t>Non amo il PVC , preferisco il cotone .</t>
  </si>
  <si>
    <t>I do not like PVC , I prefer cotton .</t>
  </si>
  <si>
    <t>Je n' aime pas le PVC , je préfère le coton .</t>
  </si>
  <si>
    <t>Non amo il cotone , preferisco il PVC .</t>
  </si>
  <si>
    <t>I do not like cotton , I prefer PVC .</t>
  </si>
  <si>
    <t>Je n' aime pas le coton , je préfère le PVC .</t>
  </si>
  <si>
    <t>Non amo il PVC , preferisco il vetro .</t>
  </si>
  <si>
    <t>I do not like PVC , I prefer glass .</t>
  </si>
  <si>
    <t>Je n' aime pas le PVC , je préfère le verre .</t>
  </si>
  <si>
    <t>Non amo il vetro , preferisco il PVC .</t>
  </si>
  <si>
    <t>I do not like glass , I prefer PVC .</t>
  </si>
  <si>
    <t>Je n' aime pas le verre , je préfère le PVC .</t>
  </si>
  <si>
    <t>Non amo il PVC , preferisco il cuoio .</t>
  </si>
  <si>
    <t>I do not like PVC , I prefer leather .</t>
  </si>
  <si>
    <t>Je n' aime pas le PVC , je préfère le cuir .</t>
  </si>
  <si>
    <t>Non amo il cuoio , preferisco il PVC .</t>
  </si>
  <si>
    <t>I do not like leather , I prefer PVC .</t>
  </si>
  <si>
    <t>Je n' aime pas le cuir , je préfère le PVC .</t>
  </si>
  <si>
    <t>Non amo le sedie , preferisco le posate .</t>
  </si>
  <si>
    <t>I do not like chairs , I prefer cutlery .</t>
  </si>
  <si>
    <t>Je n' aime pas les chaises , je préfère les couverts .</t>
  </si>
  <si>
    <t>Non amo le posate , preferisco le sedie .</t>
  </si>
  <si>
    <t>I do not like cutlery , I prefer chairs .</t>
  </si>
  <si>
    <t>Je n' aime pas les couverts , je préfère les chaises .</t>
  </si>
  <si>
    <t>Non amo le sedie , preferisco i mobili .</t>
  </si>
  <si>
    <t>I do not like chairs , I prefer furniture .</t>
  </si>
  <si>
    <t>Je n' aime pas les chaises , je préfère les meubles .</t>
  </si>
  <si>
    <t>Non amo i mobili , preferisco le sedie .</t>
  </si>
  <si>
    <t>I do not like furniture , I prefer chairs .</t>
  </si>
  <si>
    <t>Je n' aime pas les meubles , je préfère les chaises .</t>
  </si>
  <si>
    <t>Non amo i mobili , preferisco le posate .</t>
  </si>
  <si>
    <t>I do not like furniture , I prefer cutlery .</t>
  </si>
  <si>
    <t>Je n' aime pas les meubles , je préfère les couverts .</t>
  </si>
  <si>
    <t>Non amo le sedie , preferisco i dipinti .</t>
  </si>
  <si>
    <t>I do not like chairs , I prefer paintings .</t>
  </si>
  <si>
    <t>Je n' aime pas les chaises , je préfère les peintures .</t>
  </si>
  <si>
    <t>Non amo i dipinti , preferisco le sedie .</t>
  </si>
  <si>
    <t>I do not like paintings , I prefer chairs .</t>
  </si>
  <si>
    <t>Je n' aime pas les peintures , je préfère les chaises .</t>
  </si>
  <si>
    <t>Non amo i mobili , preferisco i dipinti .</t>
  </si>
  <si>
    <t>I do not like furniture , I prefer paintings .</t>
  </si>
  <si>
    <t>Je n' aime pas les meubles , je préfère les peintures .</t>
  </si>
  <si>
    <t>Non amo le sedie , preferisco la carta da parati .</t>
  </si>
  <si>
    <t>I do not like chairs , I prefer wallpaper .</t>
  </si>
  <si>
    <t>Je n' aime pas les chaises , je préfère le papier peint .</t>
  </si>
  <si>
    <t>Non amo la carta da parati , preferisco le sedie .</t>
  </si>
  <si>
    <t>I do not like wallpaper , I prefer chairs .</t>
  </si>
  <si>
    <t>Je n' aime pas le papier peint , je préfère les chaises .</t>
  </si>
  <si>
    <t>Non amo i mobili , preferisco la carta da parati .</t>
  </si>
  <si>
    <t>I do not like furniture , I prefer wallpaper .</t>
  </si>
  <si>
    <t>Je n' aime pas les meubles , je préfère le papier peint .</t>
  </si>
  <si>
    <t>Non amo le sedie , preferisco il parquet .</t>
  </si>
  <si>
    <t>I do not like chairs , I prefer parquet .</t>
  </si>
  <si>
    <t>Je n' aime pas les chaises , je préfère le parquet .</t>
  </si>
  <si>
    <t>Non amo il parquet , preferisco le sedie .</t>
  </si>
  <si>
    <t>I do not like parquet , I prefer chairs .</t>
  </si>
  <si>
    <t>Je n' aime pas le parquet , je préfère les chaises .</t>
  </si>
  <si>
    <t>Non amo i mobili , preferisco il parquet .</t>
  </si>
  <si>
    <t>I do not like furniture , I prefer parquet .</t>
  </si>
  <si>
    <t>Je n' aime pas les meubles , je préfère le parquet .</t>
  </si>
  <si>
    <t>Non amo i tavoli , preferisco le posate .</t>
  </si>
  <si>
    <t>I do not like tables , I prefer cutlery .</t>
  </si>
  <si>
    <t>Je n' aime pas les tables , je préfère les couverts .</t>
  </si>
  <si>
    <t>Non amo le posate , preferisco i tavoli .</t>
  </si>
  <si>
    <t>I do not like cutlery , I prefer tables .</t>
  </si>
  <si>
    <t>Je n' aime pas les couverts , je préfère les tables .</t>
  </si>
  <si>
    <t>Non amo i tavoli , preferisco i mobili .</t>
  </si>
  <si>
    <t>I do not like tables , I prefer furniture .</t>
  </si>
  <si>
    <t>Je n' aime pas les tables , je préfère les meubles .</t>
  </si>
  <si>
    <t>Non amo i mobili , preferisco i tavoli .</t>
  </si>
  <si>
    <t>I do not like furniture , I prefer tables .</t>
  </si>
  <si>
    <t>Je n' aime pas les meubles , je préfère les tables .</t>
  </si>
  <si>
    <t>Non amo i tavoli , preferisco i dipinti .</t>
  </si>
  <si>
    <t>I do not like tables , I prefer paintings .</t>
  </si>
  <si>
    <t>Je n' aime pas les tables , je préfère les peintures .</t>
  </si>
  <si>
    <t>Non amo i dipinti , preferisco i tavoli .</t>
  </si>
  <si>
    <t>I do not like paintings , I prefer tables .</t>
  </si>
  <si>
    <t>Je n' aime pas les peintures , je préfère les tables .</t>
  </si>
  <si>
    <t>Non amo i tavoli , preferisco la carta da parati .</t>
  </si>
  <si>
    <t>I do not like tables , I prefer wallpaper .</t>
  </si>
  <si>
    <t>Je n' aime pas les tables , je préfère le papier peint .</t>
  </si>
  <si>
    <t>Non amo la carta da parati , preferisco i tavoli .</t>
  </si>
  <si>
    <t>I do not like wallpaper , I prefer tables .</t>
  </si>
  <si>
    <t>Je n' aime pas le papier peint , je préfère les tables .</t>
  </si>
  <si>
    <t>Non amo i tavoli , preferisco il parquet .</t>
  </si>
  <si>
    <t>I do not like tables , I prefer parquet .</t>
  </si>
  <si>
    <t>Je n' aime pas les tables , je préfère le parquet .</t>
  </si>
  <si>
    <t>Non amo il parquet , preferisco i tavoli .</t>
  </si>
  <si>
    <t>I do not like parquet , I prefer tables .</t>
  </si>
  <si>
    <t>Je n' aime pas le parquet , je préfère les tables .</t>
  </si>
  <si>
    <t>Non amo i guardaroba , preferisco le posate .</t>
  </si>
  <si>
    <t>I do not like wardrobes , I prefer cutlery .</t>
  </si>
  <si>
    <t>Je n' aime pas les armoires , je préfère les couverts .</t>
  </si>
  <si>
    <t>Non amo le posate , preferisco i guardaroba .</t>
  </si>
  <si>
    <t>I do not like cutlery , I prefer wardrobes .</t>
  </si>
  <si>
    <t>Je n' aime pas les couverts , je préfère les armoires .</t>
  </si>
  <si>
    <t>Non amo i guardaroba , preferisco i mobili .</t>
  </si>
  <si>
    <t>I do not like wardrobes , I prefer furniture .</t>
  </si>
  <si>
    <t>Je n' aime pas les armoires , je préfère les meubles .</t>
  </si>
  <si>
    <t>Non amo i mobili , preferisco i guardaroba .</t>
  </si>
  <si>
    <t>I do not like furniture , I prefer wardrobes .</t>
  </si>
  <si>
    <t>Je n' aime pas les meubles , je préfère les armoires .</t>
  </si>
  <si>
    <t>Non amo i guardaroba , preferisco i dipinti .</t>
  </si>
  <si>
    <t>I do not like wardrobes , I prefer paintings .</t>
  </si>
  <si>
    <t>Je n' aime pas les armoires , je préfère les peintures .</t>
  </si>
  <si>
    <t>Non amo i dipinti , preferisco i guardaroba .</t>
  </si>
  <si>
    <t>I do not like paintings , I prefer wardrobes .</t>
  </si>
  <si>
    <t>Je n' aime pas les peintures , je préfère les armoires .</t>
  </si>
  <si>
    <t>Non amo i guardaroba , preferisco la carta da parati .</t>
  </si>
  <si>
    <t>I do not like wardrobes , I prefer wallpaper .</t>
  </si>
  <si>
    <t>Je n' aime pas les armoires , je préfère le papier peint .</t>
  </si>
  <si>
    <t>Non amo la carta da parati , preferisco i guardaroba .</t>
  </si>
  <si>
    <t>I do not like wallpaper , I prefer wardrobes .</t>
  </si>
  <si>
    <t>Je n' aime pas le papier peint , je préfère les armoires .</t>
  </si>
  <si>
    <t>Non amo i guardaroba , preferisco il parquet .</t>
  </si>
  <si>
    <t>I do not like wardrobes , I prefer parquet .</t>
  </si>
  <si>
    <t>Je n' aime pas les armoires , je préfère le parquet .</t>
  </si>
  <si>
    <t>Non amo il parquet , preferisco i guardaroba .</t>
  </si>
  <si>
    <t>I do not like parquet , I prefer wardrobes .</t>
  </si>
  <si>
    <t>Je n' aime pas le parquet , je préfère les armoires .</t>
  </si>
  <si>
    <t>Non amo i letti , preferisco le posate .</t>
  </si>
  <si>
    <t>I do not like beds , I prefer cutlery .</t>
  </si>
  <si>
    <t>Je n' aime pas les lits , je préfère les couverts .</t>
  </si>
  <si>
    <t>Non amo le posate , preferisco i letti .</t>
  </si>
  <si>
    <t>I do not like cutlery , I prefer beds .</t>
  </si>
  <si>
    <t>Je n' aime pas les couverts , je préfère les lits .</t>
  </si>
  <si>
    <t>Non amo i letti , preferisco i mobili .</t>
  </si>
  <si>
    <t>I do not like beds , I prefer furniture .</t>
  </si>
  <si>
    <t>Je n' aime pas les lits , je préfère les meubles .</t>
  </si>
  <si>
    <t>Non amo i mobili , preferisco i letti .</t>
  </si>
  <si>
    <t>I do not like furniture , I prefer beds .</t>
  </si>
  <si>
    <t>Je n' aime pas les meubles , je préfère les lits .</t>
  </si>
  <si>
    <t>Non amo i letti , preferisco i dipinti .</t>
  </si>
  <si>
    <t>I do not like beds , I prefer paintings .</t>
  </si>
  <si>
    <t>Je n' aime pas les lits , je préfère les peintures .</t>
  </si>
  <si>
    <t>Non amo i dipinti , preferisco i letti .</t>
  </si>
  <si>
    <t>I do not like paintings , I prefer beds .</t>
  </si>
  <si>
    <t>Je n' aime pas les peintures , je préfère les lits .</t>
  </si>
  <si>
    <t>Non amo i letti , preferisco la carta da parati .</t>
  </si>
  <si>
    <t>I do not like beds , I prefer wallpaper .</t>
  </si>
  <si>
    <t>Je n' aime pas les lits , je préfère le papier peint .</t>
  </si>
  <si>
    <t>Non amo la carta da parati , preferisco i letti .</t>
  </si>
  <si>
    <t>I do not like wallpaper , I prefer beds .</t>
  </si>
  <si>
    <t>Je n' aime pas le papier peint , je préfère les lits .</t>
  </si>
  <si>
    <t>Non amo i letti , preferisco il parquet .</t>
  </si>
  <si>
    <t>I do not like beds , I prefer parquet .</t>
  </si>
  <si>
    <t>Je n' aime pas les lits , je préfère le parquet .</t>
  </si>
  <si>
    <t>Non amo il parquet , preferisco i letti .</t>
  </si>
  <si>
    <t>I do not like parquet , I prefer beds .</t>
  </si>
  <si>
    <t>Je n' aime pas le parquet , je préfère les lits .</t>
  </si>
  <si>
    <t>Non amo il Merlot , preferisco la coca cola .</t>
  </si>
  <si>
    <t>I do not like Merlot , I prefer coca-cola .</t>
  </si>
  <si>
    <t>Je n' aime pas le Merlot , je préfère le coca cola .</t>
  </si>
  <si>
    <t>Non amo la coca cola , preferisco il Merlot .</t>
  </si>
  <si>
    <t>I do not like coca-cola , I prefer Merlot .</t>
  </si>
  <si>
    <t>Je n' aime pas le coca cola , je préfère le Merlot .</t>
  </si>
  <si>
    <t>Non amo il Merlot , preferisco il vino .</t>
  </si>
  <si>
    <t>I do not like Merlot , I prefer wine .</t>
  </si>
  <si>
    <t>Je n' aime pas le Merlot , je préfère le vin .</t>
  </si>
  <si>
    <t>Non amo il vino , preferisco il Merlot .</t>
  </si>
  <si>
    <t>I do not like wine , I prefer Merlot .</t>
  </si>
  <si>
    <t>Je n' aime pas le vin , je préfère le Merlot .</t>
  </si>
  <si>
    <t>Non amo il vino , preferisco la coca cola .</t>
  </si>
  <si>
    <t>I do not like wine , I prefer coca-cola .</t>
  </si>
  <si>
    <t>Je n' aime pas le vin , je préfère le coca cola .</t>
  </si>
  <si>
    <t>Non amo il Merlot , preferisco l' acqua .</t>
  </si>
  <si>
    <t>I do not like Merlot , I prefer water .</t>
  </si>
  <si>
    <t>Je n' aime pas le Merlot , je préfère l' eau .</t>
  </si>
  <si>
    <t>Non amo l' acqua , preferisco il Merlot .</t>
  </si>
  <si>
    <t>I do not like water , I prefer Merlot .</t>
  </si>
  <si>
    <t>Je n' aime pas l' eau , je préfère le Merlot .</t>
  </si>
  <si>
    <t>Non amo il vino , preferisco l' acqua .</t>
  </si>
  <si>
    <t>I do not like wine , I prefer water .</t>
  </si>
  <si>
    <t>Je n' aime pas le vin , je préfère l' eau .</t>
  </si>
  <si>
    <t>Non amo il Merlot , preferisco la sprite .</t>
  </si>
  <si>
    <t>I do not like Merlot , I prefer sprite .</t>
  </si>
  <si>
    <t>Je n' aime pas le Merlot , je préfère la sprite .</t>
  </si>
  <si>
    <t>Non amo la sprite , preferisco il Merlot .</t>
  </si>
  <si>
    <t>I do not like sprite , I prefer Merlot .</t>
  </si>
  <si>
    <t>Je n' aime pas la sprite , je préfère le Merlot .</t>
  </si>
  <si>
    <t>Non amo il vino , preferisco la sprite .</t>
  </si>
  <si>
    <t>I do not like wine , I prefer sprite .</t>
  </si>
  <si>
    <t>Je n' aime pas le vin , je préfère la sprite .</t>
  </si>
  <si>
    <t>Non amo il Merlot , preferisco la birra .</t>
  </si>
  <si>
    <t>I do not like Merlot , I prefer beer .</t>
  </si>
  <si>
    <t>Je n' aime pas le Merlot , je préfère la bière .</t>
  </si>
  <si>
    <t>Non amo la birra , preferisco il Merlot .</t>
  </si>
  <si>
    <t>I do not like beer , I prefer Merlot .</t>
  </si>
  <si>
    <t>Je n' aime pas la bière , je préfère le Merlot .</t>
  </si>
  <si>
    <t>Amo i passeri , eccetto i cani .</t>
  </si>
  <si>
    <t>I like sparrows , except dogs .</t>
  </si>
  <si>
    <t>J' aime les moineaux , sauf les chiens .</t>
  </si>
  <si>
    <t>Non amo il vino , preferisco la birra .</t>
  </si>
  <si>
    <t>I do not like wine , I prefer beer .</t>
  </si>
  <si>
    <t>Je n' aime pas le vin , je préfère la bière .</t>
  </si>
  <si>
    <t>Non amo lo Chardonnay , preferisco la coca cola .</t>
  </si>
  <si>
    <t>I do not like Chardonnay , I prefer coca-cola .</t>
  </si>
  <si>
    <t>Je n' aime pas le Chardonnay , je préfère le coca cola .</t>
  </si>
  <si>
    <t>Non amo la coca cola , preferisco lo Chardonnay .</t>
  </si>
  <si>
    <t>I do not like coca-cola , I prefer Chardonnay .</t>
  </si>
  <si>
    <t>Je n' aime pas le coca cola , je préfère le Chardonnay .</t>
  </si>
  <si>
    <t>Non amo lo Chardonnay , preferisco il vino .</t>
  </si>
  <si>
    <t>I do not like Chardonnay , I prefer wine .</t>
  </si>
  <si>
    <t>Je n' aime pas le Chardonnay , je préfère le vin .</t>
  </si>
  <si>
    <t>Non amo il vino , preferisco lo Chardonnay .</t>
  </si>
  <si>
    <t>I do not like wine , I prefer Chardonnay .</t>
  </si>
  <si>
    <t>Je n' aime pas le vin , je préfère le Chardonnay .</t>
  </si>
  <si>
    <t>Non amo lo Chardonnay , preferisco l' acqua .</t>
  </si>
  <si>
    <t>I do not like Chardonnay , I prefer water .</t>
  </si>
  <si>
    <t>Je n' aime pas le Chardonnay , je préfère l' eau .</t>
  </si>
  <si>
    <t>Non amo l' acqua , preferisco lo Chardonnay .</t>
  </si>
  <si>
    <t>I do not like water , I prefer Chardonnay .</t>
  </si>
  <si>
    <t>Je n' aime pas l' eau , je préfère le Chardonnay .</t>
  </si>
  <si>
    <t>Non amo lo Chardonnay , preferisco la sprite .</t>
  </si>
  <si>
    <t>I do not like Chardonnay , I prefer sprite .</t>
  </si>
  <si>
    <t>Je n' aime pas le Chardonnay , je préfère la sprite .</t>
  </si>
  <si>
    <t>Non amo la sprite , preferisco lo Chardonnay .</t>
  </si>
  <si>
    <t>I do not like sprite , I prefer Chardonnay .</t>
  </si>
  <si>
    <t>Je n' aime pas la sprite , je préfère le Chardonnay .</t>
  </si>
  <si>
    <t>Non amo lo Chardonnay , preferisco la birra .</t>
  </si>
  <si>
    <t>I do not like Chardonnay , I prefer beer .</t>
  </si>
  <si>
    <t>Je n' aime pas le Chardonnay , je préfère la bière .</t>
  </si>
  <si>
    <t>Non amo la birra , preferisco lo Chardonnay .</t>
  </si>
  <si>
    <t>I do not like beer , I prefer Chardonnay .</t>
  </si>
  <si>
    <t>Je n' aime pas la bière , je préfère le Chardonnay .</t>
  </si>
  <si>
    <t>Non amo il Chianti , preferisco la coca cola .</t>
  </si>
  <si>
    <t>I do not like Chianti , I prefer coca-cola .</t>
  </si>
  <si>
    <t>Je n' aime pas le Chianti , je préfère le coca cola .</t>
  </si>
  <si>
    <t>Non amo la coca cola , preferisco il Chianti .</t>
  </si>
  <si>
    <t>I do not like coca-cola , I prefer Chianti .</t>
  </si>
  <si>
    <t>Je n' aime pas le coca cola , je préfère le Chianti .</t>
  </si>
  <si>
    <t>Non amo il Chianti , preferisco il vino .</t>
  </si>
  <si>
    <t>I do not like Chianti , I prefer wine .</t>
  </si>
  <si>
    <t>Je n' aime pas le Chianti , je préfère le vin .</t>
  </si>
  <si>
    <t>Non amo il vino , preferisco il Chianti .</t>
  </si>
  <si>
    <t>I do not like wine , I prefer Chianti .</t>
  </si>
  <si>
    <t>Je n' aime pas le vin , je préfère le Chianti .</t>
  </si>
  <si>
    <t>Non amo il Chianti , preferisco l' acqua .</t>
  </si>
  <si>
    <t>I do not like Chianti , I prefer water .</t>
  </si>
  <si>
    <t>Je n' aime pas le Chianti , je préfère l' eau .</t>
  </si>
  <si>
    <t>Non amo l' acqua , preferisco il Chianti .</t>
  </si>
  <si>
    <t>I do not like water , I prefer Chianti .</t>
  </si>
  <si>
    <t>Je n' aime pas l' eau , je préfère le Chianti .</t>
  </si>
  <si>
    <t>Non amo il Chianti , preferisco la sprite .</t>
  </si>
  <si>
    <t>I do not like Chianti , I prefer sprite .</t>
  </si>
  <si>
    <t>Je n' aime pas le Chianti , je préfère la sprite .</t>
  </si>
  <si>
    <t>Non amo la sprite , preferisco il Chianti .</t>
  </si>
  <si>
    <t>I do not like sprite , I prefer Chianti .</t>
  </si>
  <si>
    <t>Je n' aime pas la sprite , je préfère le Chianti .</t>
  </si>
  <si>
    <t>Non amo il Chianti , preferisco la birra .</t>
  </si>
  <si>
    <t>I do not like Chianti , I prefer beer .</t>
  </si>
  <si>
    <t>Je n' aime pas le Chianti , je préfère la bière .</t>
  </si>
  <si>
    <t>Non amo la birra , preferisco il Chianti .</t>
  </si>
  <si>
    <t>I do not like beer , I prefer Chianti .</t>
  </si>
  <si>
    <t>Je n' aime pas la bière , je préfère le Chianti .</t>
  </si>
  <si>
    <t>Non amo il Primitivo , preferisco la coca cola .</t>
  </si>
  <si>
    <t>I do not like Zinfandel , I prefer coca-cola .</t>
  </si>
  <si>
    <t>Je n' aime pas le Cabernet Sauvignon , je préfère le coca cola .</t>
  </si>
  <si>
    <t>Non amo la coca cola , preferisco il Primitivo .</t>
  </si>
  <si>
    <t>I do not like coca-cola , I prefer Zinfandel .</t>
  </si>
  <si>
    <t>Je n' aime pas le coca cola , je préfère le Cabernet Sauvignon .</t>
  </si>
  <si>
    <t>Non amo il Primitivo , preferisco il vino .</t>
  </si>
  <si>
    <t>I do not like Zinfandel , I prefer wine .</t>
  </si>
  <si>
    <t>Je n' aime pas le Cabernet Sauvignon , je préfère le vin .</t>
  </si>
  <si>
    <t>Non amo il vino , preferisco il Primitivo .</t>
  </si>
  <si>
    <t>I do not like wine , I prefer Zinfandel .</t>
  </si>
  <si>
    <t>Je n' aime pas le vin , je préfère le Cabernet Sauvignon .</t>
  </si>
  <si>
    <t>Non amo il Primitivo , preferisco l' acqua .</t>
  </si>
  <si>
    <t>I do not like Zinfandel , I prefer water .</t>
  </si>
  <si>
    <t>Je n' aime pas le Cabernet Sauvignon , je préfère l' eau .</t>
  </si>
  <si>
    <t>Non amo l' acqua , preferisco il Primitivo .</t>
  </si>
  <si>
    <t>I do not like water , I prefer Zinfandel .</t>
  </si>
  <si>
    <t>Je n' aime pas l' eau , je préfère le Cabernet Sauvignon .</t>
  </si>
  <si>
    <t>Non amo il Primitivo , preferisco la sprite .</t>
  </si>
  <si>
    <t>I do not like Zinfandel , I prefer sprite .</t>
  </si>
  <si>
    <t>Je n' aime pas le Cabernet Sauvignon , je préfère la sprite .</t>
  </si>
  <si>
    <t>Non amo la sprite , preferisco il Primitivo .</t>
  </si>
  <si>
    <t>I do not like sprite , I prefer Zinfandel .</t>
  </si>
  <si>
    <t>Je n' aime pas la sprite , je préfère le Cabernet Sauvignon .</t>
  </si>
  <si>
    <t>Non amo il Primitivo , preferisco la birra .</t>
  </si>
  <si>
    <t>I do not like Zinfandel , I prefer beer .</t>
  </si>
  <si>
    <t>Je n' aime pas le Cabernet Sauvignon , je préfère la bière .</t>
  </si>
  <si>
    <t>Non amo la birra , preferisco il Primitivo .</t>
  </si>
  <si>
    <t>I do not like beer , I prefer Zinfandel .</t>
  </si>
  <si>
    <t>Je n' aime pas la bière , je préfère le Cabernet Sauvignon .</t>
  </si>
  <si>
    <t>Amo i cani , eccetto i passeri .</t>
  </si>
  <si>
    <t>I like dogs , except sparrows .</t>
  </si>
  <si>
    <t>J' aime les chiens , sauf les moineaux .</t>
  </si>
  <si>
    <t>Non amo il rock , preferisco gli sport .</t>
  </si>
  <si>
    <t>I do not like rock , I prefer sports .</t>
  </si>
  <si>
    <t>Je n' aime pas le rock , je préfère les sports .</t>
  </si>
  <si>
    <t>Non amo gli sport , preferisco il rock .</t>
  </si>
  <si>
    <t>I do not like sports , I prefer rock .</t>
  </si>
  <si>
    <t>Je n' aime pas les sports , je préfère le rock .</t>
  </si>
  <si>
    <t>Non amo il rock , preferisco la musica .</t>
  </si>
  <si>
    <t>I do not like rock , I prefer music .</t>
  </si>
  <si>
    <t>Je n' aime pas le rock , je préfère la musique .</t>
  </si>
  <si>
    <t>Non amo la musica , preferisco il rock .</t>
  </si>
  <si>
    <t>I do not like music , I prefer rock .</t>
  </si>
  <si>
    <t>Je n' aime pas la musique , je préfère le rock .</t>
  </si>
  <si>
    <t>Non amo la musica , preferisco gli sport .</t>
  </si>
  <si>
    <t>I do not like music , I prefer sports .</t>
  </si>
  <si>
    <t>Je n' aime pas la musique , je préfère les sports .</t>
  </si>
  <si>
    <t>Non amo il rock , preferisco i giochi da tavolo .</t>
  </si>
  <si>
    <t>I do not like rock , I prefer boardgames .</t>
  </si>
  <si>
    <t>Je n' aime pas le rock , je préfère les jeux de société .</t>
  </si>
  <si>
    <t>Non amo i giochi da tavolo , preferisco il rock .</t>
  </si>
  <si>
    <t>I do not like boardgames , I prefer rock .</t>
  </si>
  <si>
    <t>Je n' aime pas les jeux de société , je préfère le rock .</t>
  </si>
  <si>
    <t>Non amo la musica , preferisco i giochi da tavolo .</t>
  </si>
  <si>
    <t>I do not like music , I prefer boardgames .</t>
  </si>
  <si>
    <t>Je n' aime pas la musique , je préfère les jeux de société .</t>
  </si>
  <si>
    <t>Non amo il rock , preferisco il cibo .</t>
  </si>
  <si>
    <t>I do not like rock , I prefer food .</t>
  </si>
  <si>
    <t>Je n' aime pas le rock , je préfère les aliments .</t>
  </si>
  <si>
    <t>Non amo il cibo , preferisco il rock .</t>
  </si>
  <si>
    <t>I do not like food , I prefer rock .</t>
  </si>
  <si>
    <t>Je n' aime pas les aliments , je préfère le rock .</t>
  </si>
  <si>
    <t>Non amo la musica , preferisco il cibo .</t>
  </si>
  <si>
    <t>I do not like music , I prefer food .</t>
  </si>
  <si>
    <t>Je n' aime pas la musique , je préfère les aliments .</t>
  </si>
  <si>
    <t>Non amo il rock , preferisco i gioielli .</t>
  </si>
  <si>
    <t>I do not like rock , I prefer jewelry .</t>
  </si>
  <si>
    <t>Je n' aime pas le rock , je préfère les bijoux .</t>
  </si>
  <si>
    <t>Non amo i gioielli , preferisco il rock .</t>
  </si>
  <si>
    <t>I do not like jewelry , I prefer rock .</t>
  </si>
  <si>
    <t>Je n' aime pas les bijoux , je préfère le rock .</t>
  </si>
  <si>
    <t>Non amo la musica , preferisco i gioielli .</t>
  </si>
  <si>
    <t>I do not like music , I prefer jewelry .</t>
  </si>
  <si>
    <t>Je n' aime pas la musique , je préfère les bijoux .</t>
  </si>
  <si>
    <t>Non amo il jazz , preferisco gli sport .</t>
  </si>
  <si>
    <t>I do not like jazz , I prefer sports .</t>
  </si>
  <si>
    <t>Je n' aime pas le jazz , je préfère les sports .</t>
  </si>
  <si>
    <t>Non amo gli sport , preferisco il jazz .</t>
  </si>
  <si>
    <t>I do not like sports , I prefer jazz .</t>
  </si>
  <si>
    <t>Je n' aime pas les sports , je préfère le jazz .</t>
  </si>
  <si>
    <t>Non amo il jazz , preferisco la musica .</t>
  </si>
  <si>
    <t>I do not like jazz , I prefer music .</t>
  </si>
  <si>
    <t>Je n' aime pas le jazz , je préfère la musique .</t>
  </si>
  <si>
    <t>Non amo la musica , preferisco il jazz .</t>
  </si>
  <si>
    <t>I do not like music , I prefer jazz .</t>
  </si>
  <si>
    <t>Je n' aime pas la musique , je préfère le jazz .</t>
  </si>
  <si>
    <t>Non amo il jazz , preferisco i giochi da tavolo .</t>
  </si>
  <si>
    <t>I do not like jazz , I prefer boardgames .</t>
  </si>
  <si>
    <t>Je n' aime pas le jazz , je préfère les jeux de société .</t>
  </si>
  <si>
    <t>Non amo i giochi da tavolo , preferisco il jazz .</t>
  </si>
  <si>
    <t>I do not like boardgames , I prefer jazz .</t>
  </si>
  <si>
    <t>Je n' aime pas les jeux de société , je préfère le jazz .</t>
  </si>
  <si>
    <t>Non amo il jazz , preferisco il cibo .</t>
  </si>
  <si>
    <t>I do not like jazz , I prefer food .</t>
  </si>
  <si>
    <t>Je n' aime pas le jazz , je préfère les aliments .</t>
  </si>
  <si>
    <t>Non amo il cibo , preferisco il jazz .</t>
  </si>
  <si>
    <t>I do not like food , I prefer jazz .</t>
  </si>
  <si>
    <t>Je n' aime pas les aliments , je préfère le jazz .</t>
  </si>
  <si>
    <t>Non amo il jazz , preferisco i gioielli .</t>
  </si>
  <si>
    <t>I do not like jazz , I prefer jewelry .</t>
  </si>
  <si>
    <t>Je n' aime pas le jazz , je préfère les bijoux .</t>
  </si>
  <si>
    <t>Non amo i gioielli , preferisco il jazz .</t>
  </si>
  <si>
    <t>I do not like jewelry , I prefer jazz .</t>
  </si>
  <si>
    <t>Je n' aime pas les bijoux , je préfère le jazz .</t>
  </si>
  <si>
    <t>Non amo la techno , preferisco gli sport .</t>
  </si>
  <si>
    <t>I do not like techno , I prefer sports .</t>
  </si>
  <si>
    <t>Je n' aime pas la techno , je préfère les sports .</t>
  </si>
  <si>
    <t>Non amo gli sport , preferisco la techno .</t>
  </si>
  <si>
    <t>I do not like sports , I prefer techno .</t>
  </si>
  <si>
    <t>Je n' aime pas les sports , je préfère la techno .</t>
  </si>
  <si>
    <t>Non amo la techno , preferisco la musica .</t>
  </si>
  <si>
    <t>I do not like techno , I prefer music .</t>
  </si>
  <si>
    <t>Je n' aime pas la techno , je préfère la musique .</t>
  </si>
  <si>
    <t>Non amo la musica , preferisco la techno .</t>
  </si>
  <si>
    <t>I do not like music , I prefer techno .</t>
  </si>
  <si>
    <t>Je n' aime pas la musique , je préfère la techno .</t>
  </si>
  <si>
    <t>Non amo la techno , preferisco i giochi da tavolo .</t>
  </si>
  <si>
    <t>I do not like techno , I prefer boardgames .</t>
  </si>
  <si>
    <t>Je n' aime pas la techno , je préfère les jeux de société .</t>
  </si>
  <si>
    <t>Non amo i giochi da tavolo , preferisco la techno .</t>
  </si>
  <si>
    <t>I do not like boardgames , I prefer techno .</t>
  </si>
  <si>
    <t>Je n' aime pas les jeux de société , je préfère la techno .</t>
  </si>
  <si>
    <t>Non amo la techno , preferisco il cibo .</t>
  </si>
  <si>
    <t>I do not like techno , I prefer food .</t>
  </si>
  <si>
    <t>Je n' aime pas la techno , je préfère les aliments .</t>
  </si>
  <si>
    <t>Non amo il cibo , preferisco la techno .</t>
  </si>
  <si>
    <t>I do not like food , I prefer techno .</t>
  </si>
  <si>
    <t>Je n' aime pas les aliments , je préfère la techno .</t>
  </si>
  <si>
    <t>Non amo la techno , preferisco i gioielli .</t>
  </si>
  <si>
    <t>I do not like techno , I prefer jewelry .</t>
  </si>
  <si>
    <t>Je n' aime pas la techno , je préfère les bijoux .</t>
  </si>
  <si>
    <t>Non amo i gioielli , preferisco la techno .</t>
  </si>
  <si>
    <t>I do not like jewelry , I prefer techno .</t>
  </si>
  <si>
    <t>Je n' aime pas les bijoux , je préfère la techno .</t>
  </si>
  <si>
    <t>Non amo il blues , preferisco gli sport .</t>
  </si>
  <si>
    <t>I do not like blues , I prefer sports .</t>
  </si>
  <si>
    <t>Je n' aime pas le blues , je préfère les sports .</t>
  </si>
  <si>
    <t>Non amo gli sport , preferisco il blues .</t>
  </si>
  <si>
    <t>I do not like sports , I prefer blues .</t>
  </si>
  <si>
    <t>Je n' aime pas les sports , je préfère le blues .</t>
  </si>
  <si>
    <t>Non amo il blues , preferisco la musica .</t>
  </si>
  <si>
    <t>I do not like blues , I prefer music .</t>
  </si>
  <si>
    <t>Je n' aime pas le blues , je préfère la musique .</t>
  </si>
  <si>
    <t>Non amo la musica , preferisco il blues .</t>
  </si>
  <si>
    <t>I do not like music , I prefer blues .</t>
  </si>
  <si>
    <t>Je n' aime pas la musique , je préfère le blues .</t>
  </si>
  <si>
    <t>Non amo il blues , preferisco i giochi da tavolo .</t>
  </si>
  <si>
    <t>I do not like blues , I prefer boardgames .</t>
  </si>
  <si>
    <t>Je n' aime pas le blues , je préfère les jeux de société .</t>
  </si>
  <si>
    <t>Non amo i giochi da tavolo , preferisco il blues .</t>
  </si>
  <si>
    <t>I do not like boardgames , I prefer blues .</t>
  </si>
  <si>
    <t>Je n' aime pas les jeux de société , je préfère le blues .</t>
  </si>
  <si>
    <t>Non amo il blues , preferisco il cibo .</t>
  </si>
  <si>
    <t>I do not like blues , I prefer food .</t>
  </si>
  <si>
    <t>Je n' aime pas le blues , je préfère les aliments .</t>
  </si>
  <si>
    <t>Non amo il cibo , preferisco il blues .</t>
  </si>
  <si>
    <t>I do not like food , I prefer blues .</t>
  </si>
  <si>
    <t>Je n' aime pas les aliments , je préfère le blues .</t>
  </si>
  <si>
    <t>Non amo il blues , preferisco i gioielli .</t>
  </si>
  <si>
    <t>I do not like blues , I prefer jewelry .</t>
  </si>
  <si>
    <t>Je n' aime pas le blues , je préfère les bijoux .</t>
  </si>
  <si>
    <t>Non amo i gioielli , preferisco il blues .</t>
  </si>
  <si>
    <t>I do not like jewelry , I prefer blues .</t>
  </si>
  <si>
    <t>Je n' aime pas les bijoux , je préfère le blues .</t>
  </si>
  <si>
    <t>Amo i gatti , eccetto gli husky .</t>
  </si>
  <si>
    <t>I like cats , except huskies .</t>
  </si>
  <si>
    <t>J' aime les chats , sauf les huskies .</t>
  </si>
  <si>
    <t>Non amo il prosciutto cotto , preferisco il pesce .</t>
  </si>
  <si>
    <t>I do not like ham , I prefer fish .</t>
  </si>
  <si>
    <t>Je n' aime pas le jambon , je préfère le poisson .</t>
  </si>
  <si>
    <t>Non amo il pesce , preferisco il prosciutto cotto .</t>
  </si>
  <si>
    <t>I do not like fish , I prefer ham .</t>
  </si>
  <si>
    <t>Je n' aime pas le poisson , je préfère le jambon .</t>
  </si>
  <si>
    <t>Non amo il prosciutto cotto , preferisco il maiale .</t>
  </si>
  <si>
    <t>I do not like ham , I prefer pork .</t>
  </si>
  <si>
    <t>Je n' aime pas le jambon , je préfère le porc .</t>
  </si>
  <si>
    <t>Non amo il maiale , preferisco il prosciutto cotto .</t>
  </si>
  <si>
    <t>I do not like pork , I prefer ham .</t>
  </si>
  <si>
    <t>Je n' aime pas le porc , je préfère le jambon .</t>
  </si>
  <si>
    <t>Non amo il maiale , preferisco il pesce .</t>
  </si>
  <si>
    <t>I do not like pork , I prefer fish .</t>
  </si>
  <si>
    <t>Je n' aime pas le porc , je préfère le poisson .</t>
  </si>
  <si>
    <t>Non amo il prosciutto cotto , preferisco i broccoli .</t>
  </si>
  <si>
    <t>I do not like ham , I prefer broccoli .</t>
  </si>
  <si>
    <t>Je n' aime pas le jambon , je préfère le brocoli .</t>
  </si>
  <si>
    <t>Non amo i broccoli , preferisco il prosciutto cotto .</t>
  </si>
  <si>
    <t>I do not like broccoli , I prefer ham .</t>
  </si>
  <si>
    <t>Je n' aime pas le brocoli , je préfère le jambon .</t>
  </si>
  <si>
    <t>Non amo il maiale , preferisco i broccoli .</t>
  </si>
  <si>
    <t>I do not like pork , I prefer broccoli .</t>
  </si>
  <si>
    <t>Je n' aime pas le porc , je préfère le brocoli .</t>
  </si>
  <si>
    <t>Non amo il prosciutto cotto , preferisco le mele .</t>
  </si>
  <si>
    <t>I do not like ham , I prefer apples .</t>
  </si>
  <si>
    <t>Je n' aime pas le jambon , je préfère les pommes .</t>
  </si>
  <si>
    <t>Non amo le mele , preferisco il prosciutto cotto .</t>
  </si>
  <si>
    <t>I do not like apples , I prefer ham .</t>
  </si>
  <si>
    <t>Je n' aime pas les pommes , je préfère le jambon .</t>
  </si>
  <si>
    <t>Non amo il maiale , preferisco le mele .</t>
  </si>
  <si>
    <t>I do not like pork , I prefer apples .</t>
  </si>
  <si>
    <t>Je n' aime pas le porc , je préfère les pommes .</t>
  </si>
  <si>
    <t>Non amo il prosciutto cotto , preferisco le carote .</t>
  </si>
  <si>
    <t>I do not like ham , I prefer carrots .</t>
  </si>
  <si>
    <t>Je n' aime pas le jambon , je préfère les carottes .</t>
  </si>
  <si>
    <t>Non amo le carote , preferisco il prosciutto cotto .</t>
  </si>
  <si>
    <t>I do not like carrots , I prefer ham .</t>
  </si>
  <si>
    <t>Je n' aime pas les carottes , je préfère le jambon .</t>
  </si>
  <si>
    <t>Non amo il maiale , preferisco le carote .</t>
  </si>
  <si>
    <t>I do not like pork , I prefer carrots .</t>
  </si>
  <si>
    <t>Je n' aime pas le porc , je préfère les carottes .</t>
  </si>
  <si>
    <t>Non amo il prosciutto , preferisco il pesce .</t>
  </si>
  <si>
    <t>I do not like prosciutto , I prefer fish .</t>
  </si>
  <si>
    <t>Je n' aime pas le prosciutto , je préfère le poisson .</t>
  </si>
  <si>
    <t>Non amo il pesce , preferisco il prosciutto .</t>
  </si>
  <si>
    <t>I do not like fish , I prefer prosciutto .</t>
  </si>
  <si>
    <t>Je n' aime pas le poisson , je préfère le prosciutto .</t>
  </si>
  <si>
    <t>Non amo il prosciutto , preferisco il maiale .</t>
  </si>
  <si>
    <t>I do not like prosciutto , I prefer pork .</t>
  </si>
  <si>
    <t>Je n' aime pas le prosciutto , je préfère le porc .</t>
  </si>
  <si>
    <t>Non amo il maiale , preferisco il prosciutto .</t>
  </si>
  <si>
    <t>I do not like pork , I prefer prosciutto .</t>
  </si>
  <si>
    <t>Je n' aime pas le porc , je préfère le prosciutto .</t>
  </si>
  <si>
    <t>Non amo il prosciutto , preferisco i broccoli .</t>
  </si>
  <si>
    <t>I do not like prosciutto , I prefer broccoli .</t>
  </si>
  <si>
    <t>Je n' aime pas le prosciutto , je préfère le brocoli .</t>
  </si>
  <si>
    <t>Non amo i broccoli , preferisco il prosciutto .</t>
  </si>
  <si>
    <t>I do not like broccoli , I prefer prosciutto .</t>
  </si>
  <si>
    <t>Je n' aime pas le brocoli , je préfère le prosciutto .</t>
  </si>
  <si>
    <t>Non amo il prosciutto , preferisco le mele .</t>
  </si>
  <si>
    <t>I do not like prosciutto , I prefer apples .</t>
  </si>
  <si>
    <t>Je n' aime pas le prosciutto , je préfère les pommes .</t>
  </si>
  <si>
    <t>Non amo le mele , preferisco il prosciutto .</t>
  </si>
  <si>
    <t>I do not like apples , I prefer prosciutto .</t>
  </si>
  <si>
    <t>Je n' aime pas les pommes , je préfère le prosciutto .</t>
  </si>
  <si>
    <t>Non amo il prosciutto , preferisco le carote .</t>
  </si>
  <si>
    <t>I do not like prosciutto , I prefer carrots .</t>
  </si>
  <si>
    <t>Je n' aime pas le prosciutto , je préfère les carottes .</t>
  </si>
  <si>
    <t>Non amo le carote , preferisco il prosciutto .</t>
  </si>
  <si>
    <t>I do not like carrots , I prefer prosciutto .</t>
  </si>
  <si>
    <t>Je n' aime pas les carottes , je préfère le prosciutto .</t>
  </si>
  <si>
    <t>Non amo il bacon , preferisco il pesce .</t>
  </si>
  <si>
    <t>I do not like bacon , I prefer fish .</t>
  </si>
  <si>
    <t>Je n' aime pas le bacon , je préfère le poisson .</t>
  </si>
  <si>
    <t>Non amo il pesce , preferisco il bacon .</t>
  </si>
  <si>
    <t>I do not like fish , I prefer bacon .</t>
  </si>
  <si>
    <t>Je n' aime pas le poisson , je préfère le bacon .</t>
  </si>
  <si>
    <t>Non amo il bacon , preferisco il maiale .</t>
  </si>
  <si>
    <t>I do not like bacon , I prefer pork .</t>
  </si>
  <si>
    <t>Je n' aime pas le bacon , je préfère le porc .</t>
  </si>
  <si>
    <t>Non amo il maiale , preferisco il bacon .</t>
  </si>
  <si>
    <t>I do not like pork , I prefer bacon .</t>
  </si>
  <si>
    <t>Je n' aime pas le porc , je préfère le bacon .</t>
  </si>
  <si>
    <t>Non amo il bacon , preferisco i broccoli .</t>
  </si>
  <si>
    <t>I do not like bacon , I prefer broccoli .</t>
  </si>
  <si>
    <t>Je n' aime pas le bacon , je préfère le brocoli .</t>
  </si>
  <si>
    <t>Non amo i broccoli , preferisco il bacon .</t>
  </si>
  <si>
    <t>I do not like broccoli , I prefer bacon .</t>
  </si>
  <si>
    <t>Je n' aime pas le brocoli , je préfère le bacon .</t>
  </si>
  <si>
    <t>Non amo il bacon , preferisco le mele .</t>
  </si>
  <si>
    <t>I do not like bacon , I prefer apples .</t>
  </si>
  <si>
    <t>Je n' aime pas le bacon , je préfère les pommes .</t>
  </si>
  <si>
    <t>Non amo le mele , preferisco il bacon .</t>
  </si>
  <si>
    <t>I do not like apples , I prefer bacon .</t>
  </si>
  <si>
    <t>Je n' aime pas les pommes , je préfère le bacon .</t>
  </si>
  <si>
    <t>Non amo il bacon , preferisco le carote .</t>
  </si>
  <si>
    <t>I do not like bacon , I prefer carrots .</t>
  </si>
  <si>
    <t>Je n' aime pas le bacon , je préfère les carottes .</t>
  </si>
  <si>
    <t>Non amo le carote , preferisco il bacon .</t>
  </si>
  <si>
    <t>I do not like carrots , I prefer bacon .</t>
  </si>
  <si>
    <t>Je n' aime pas les carottes , je préfère le bacon .</t>
  </si>
  <si>
    <t>Non amo il lardo , preferisco il pesce .</t>
  </si>
  <si>
    <t>I do not like lard , I prefer fish .</t>
  </si>
  <si>
    <t>Je n' aime pas les lardons , je préfère le poisson .</t>
  </si>
  <si>
    <t>Non amo il pesce , preferisco il lardo .</t>
  </si>
  <si>
    <t>I do not like fish , I prefer lard .</t>
  </si>
  <si>
    <t>Je n' aime pas le poisson , je préfère les lardons .</t>
  </si>
  <si>
    <t>Non amo il lardo , preferisco il maiale .</t>
  </si>
  <si>
    <t>I do not like lard , I prefer pork .</t>
  </si>
  <si>
    <t>Je n' aime pas les lardons , je préfère le porc .</t>
  </si>
  <si>
    <t>Non amo il maiale , preferisco il lardo .</t>
  </si>
  <si>
    <t>I do not like pork , I prefer lard .</t>
  </si>
  <si>
    <t>Je n' aime pas le porc , je préfère les lardons .</t>
  </si>
  <si>
    <t>Non amo il lardo , preferisco i broccoli .</t>
  </si>
  <si>
    <t>I do not like lard , I prefer broccoli .</t>
  </si>
  <si>
    <t>Je n' aime pas les lardons , je préfère le brocoli .</t>
  </si>
  <si>
    <t>Non amo i broccoli , preferisco il lardo .</t>
  </si>
  <si>
    <t>I do not like broccoli , I prefer lard .</t>
  </si>
  <si>
    <t>Je n' aime pas le brocoli , je préfère les lardons .</t>
  </si>
  <si>
    <t>Non amo il lardo , preferisco le mele .</t>
  </si>
  <si>
    <t>I do not like lard , I prefer apples .</t>
  </si>
  <si>
    <t>Je n' aime pas les lardons , je préfère les pommes .</t>
  </si>
  <si>
    <t>Non amo le mele , preferisco il lardo .</t>
  </si>
  <si>
    <t>I do not like apples , I prefer lard .</t>
  </si>
  <si>
    <t>Je n' aime pas les pommes , je préfère les lardons .</t>
  </si>
  <si>
    <t>Non amo il lardo , preferisco le carote .</t>
  </si>
  <si>
    <t>I do not like lard , I prefer carrots .</t>
  </si>
  <si>
    <t>Je n' aime pas les lardons , je préfère les carottes .</t>
  </si>
  <si>
    <t>Non amo le carote , preferisco il lardo .</t>
  </si>
  <si>
    <t>I do not like carrots , I prefer lard .</t>
  </si>
  <si>
    <t>Je n' aime pas les carottes , je préfère les lardons .</t>
  </si>
  <si>
    <t>Non amo il salmone , preferisco il pollo .</t>
  </si>
  <si>
    <t>I do not like salmon , I prefer chicken .</t>
  </si>
  <si>
    <t>Je n' aime pas le saumon , je préfère le poulet .</t>
  </si>
  <si>
    <t>Non amo il pollo , preferisco il salmone .</t>
  </si>
  <si>
    <t>I do not like chicken , I prefer salmon .</t>
  </si>
  <si>
    <t>Je n' aime pas le poulet , je préfère le saumon .</t>
  </si>
  <si>
    <t>Non amo il salmone , preferisco i prodotti del mare .</t>
  </si>
  <si>
    <t>I do not like salmon , I prefer seafood .</t>
  </si>
  <si>
    <t>Je n' aime pas le saumon , je préfère les produits de la mer .</t>
  </si>
  <si>
    <t>Non amo i prodotti del mare , preferisco il salmone .</t>
  </si>
  <si>
    <t>I do not like seafood , I prefer salmon .</t>
  </si>
  <si>
    <t>Je n' aime pas les produits de la mer , je préfère le saumon .</t>
  </si>
  <si>
    <t>Non amo i prodotti del mare , preferisco il pollo .</t>
  </si>
  <si>
    <t>I do not like seafood , I prefer chicken .</t>
  </si>
  <si>
    <t>Je n' aime pas les produits de la mer , je préfère le poulet .</t>
  </si>
  <si>
    <t>Non amo il salmone , preferisco il vitello .</t>
  </si>
  <si>
    <t>I do not like salmon , I prefer veal .</t>
  </si>
  <si>
    <t>Je n' aime pas le saumon , je préfère le veau .</t>
  </si>
  <si>
    <t>Non amo il vitello , preferisco il salmone .</t>
  </si>
  <si>
    <t>I do not like veal , I prefer salmon .</t>
  </si>
  <si>
    <t>Je n' aime pas le veau , je préfère le saumon .</t>
  </si>
  <si>
    <t>Non amo i prodotti del mare , preferisco il vitello .</t>
  </si>
  <si>
    <t>I do not like seafood , I prefer veal .</t>
  </si>
  <si>
    <t>Je n' aime pas les produits de la mer , je préfère le veau .</t>
  </si>
  <si>
    <t>Non amo il salmone , preferisco il tacchino .</t>
  </si>
  <si>
    <t>I do not like salmon , I prefer turkey .</t>
  </si>
  <si>
    <t>Je n' aime pas le saumon , je préfère la dinde .</t>
  </si>
  <si>
    <t>Non amo il tacchino , preferisco il salmone .</t>
  </si>
  <si>
    <t>I do not like turkey , I prefer salmon .</t>
  </si>
  <si>
    <t>Je n' aime pas la dinde , je préfère le saumon .</t>
  </si>
  <si>
    <t>Non amo i prodotti del mare , preferisco il tacchino .</t>
  </si>
  <si>
    <t>I do not like seafood , I prefer turkey .</t>
  </si>
  <si>
    <t>Je n' aime pas les produits de la mer , je préfère la dinde .</t>
  </si>
  <si>
    <t>Non amo il salmone , preferisco il manzo .</t>
  </si>
  <si>
    <t>I do not like salmon , I prefer beef .</t>
  </si>
  <si>
    <t>Je n' aime pas le saumon , je préfère le boeuf .</t>
  </si>
  <si>
    <t>Non amo il manzo , preferisco il salmone .</t>
  </si>
  <si>
    <t>I do not like beef , I prefer salmon .</t>
  </si>
  <si>
    <t>Je n' aime pas le boeuf , je préfère le saumon .</t>
  </si>
  <si>
    <t>Non amo i prodotti del mare , preferisco il manzo .</t>
  </si>
  <si>
    <t>I do not like seafood , I prefer beef .</t>
  </si>
  <si>
    <t>Je n' aime pas les produits de la mer , je préfère le boeuf .</t>
  </si>
  <si>
    <t>Non amo i granchi , preferisco il pollo .</t>
  </si>
  <si>
    <t>I do not like crabs , I prefer chicken .</t>
  </si>
  <si>
    <t>Je n' aime pas les crabes , je préfère le poulet .</t>
  </si>
  <si>
    <t>Non amo il pollo , preferisco i granchi .</t>
  </si>
  <si>
    <t>I do not like chicken , I prefer crabs .</t>
  </si>
  <si>
    <t>Je n' aime pas le poulet , je préfère les crabes .</t>
  </si>
  <si>
    <t>Non amo i granchi , preferisco i prodotti del mare .</t>
  </si>
  <si>
    <t>I do not like crabs , I prefer seafood .</t>
  </si>
  <si>
    <t>Je n' aime pas les crabes , je préfère les produits de la mer .</t>
  </si>
  <si>
    <t>Non amo i prodotti del mare , preferisco i granchi .</t>
  </si>
  <si>
    <t>I do not like seafood , I prefer crabs .</t>
  </si>
  <si>
    <t>Je n' aime pas les produits de la mer , je préfère les crabes .</t>
  </si>
  <si>
    <t>Non amo i granchi , preferisco il vitello .</t>
  </si>
  <si>
    <t>I do not like crabs , I prefer veal .</t>
  </si>
  <si>
    <t>Je n' aime pas les crabes , je préfère le veau .</t>
  </si>
  <si>
    <t>Non amo il vitello , preferisco i granchi .</t>
  </si>
  <si>
    <t>I do not like veal , I prefer crabs .</t>
  </si>
  <si>
    <t>Je n' aime pas le veau , je préfère les crabes .</t>
  </si>
  <si>
    <t>Non amo i granchi , preferisco il tacchino .</t>
  </si>
  <si>
    <t>I do not like crabs , I prefer turkey .</t>
  </si>
  <si>
    <t>Je n' aime pas les crabes , je préfère la dinde .</t>
  </si>
  <si>
    <t>Non amo il tacchino , preferisco i granchi .</t>
  </si>
  <si>
    <t>I do not like turkey , I prefer crabs .</t>
  </si>
  <si>
    <t>Je n' aime pas la dinde , je préfère les crabes .</t>
  </si>
  <si>
    <t>Non amo i granchi , preferisco il manzo .</t>
  </si>
  <si>
    <t>I do not like crabs , I prefer beef .</t>
  </si>
  <si>
    <t>Je n' aime pas les crabes , je préfère le boeuf .</t>
  </si>
  <si>
    <t>Non amo il manzo , preferisco i granchi .</t>
  </si>
  <si>
    <t>I do not like beef , I prefer crabs .</t>
  </si>
  <si>
    <t>Je n' aime pas le boeuf , je préfère les crabes .</t>
  </si>
  <si>
    <t>Non amo le ostriche , preferisco il pollo .</t>
  </si>
  <si>
    <t>I do not like oysters , I prefer chicken .</t>
  </si>
  <si>
    <t>Je n' aime pas les huîtres , je préfère le poulet .</t>
  </si>
  <si>
    <t>Non amo il pollo , preferisco le ostriche .</t>
  </si>
  <si>
    <t>I do not like chicken , I prefer oysters .</t>
  </si>
  <si>
    <t>Je n' aime pas le poulet , je préfère les huîtres .</t>
  </si>
  <si>
    <t>Non amo le ostriche , preferisco i prodotti del mare .</t>
  </si>
  <si>
    <t>I do not like oysters , I prefer seafood .</t>
  </si>
  <si>
    <t>Je n' aime pas les huîtres , je préfère les produits de la mer .</t>
  </si>
  <si>
    <t>Non amo i prodotti del mare , preferisco le ostriche .</t>
  </si>
  <si>
    <t>I do not like seafood , I prefer oysters .</t>
  </si>
  <si>
    <t>Je n' aime pas les produits de la mer , je préfère les huîtres .</t>
  </si>
  <si>
    <t>Non amo le ostriche , preferisco il vitello .</t>
  </si>
  <si>
    <t>I do not like oysters , I prefer veal .</t>
  </si>
  <si>
    <t>Je n' aime pas les huîtres , je préfère le veau .</t>
  </si>
  <si>
    <t>Non amo il vitello , preferisco le ostriche .</t>
  </si>
  <si>
    <t>I do not like veal , I prefer oysters .</t>
  </si>
  <si>
    <t>Je n' aime pas le veau , je préfère les huîtres .</t>
  </si>
  <si>
    <t>Non amo le ostriche , preferisco il tacchino .</t>
  </si>
  <si>
    <t>I do not like oysters , I prefer turkey .</t>
  </si>
  <si>
    <t>Je n' aime pas les huîtres , je préfère la dinde .</t>
  </si>
  <si>
    <t>Non amo il tacchino , preferisco le ostriche .</t>
  </si>
  <si>
    <t>I do not like turkey , I prefer oysters .</t>
  </si>
  <si>
    <t>Je n' aime pas la dinde , je préfère les huîtres .</t>
  </si>
  <si>
    <t>Non amo le ostriche , preferisco il manzo .</t>
  </si>
  <si>
    <t>I do not like oysters , I prefer beef .</t>
  </si>
  <si>
    <t>Je n' aime pas les huîtres , je préfère le boeuf .</t>
  </si>
  <si>
    <t>Non amo il manzo , preferisco le ostriche .</t>
  </si>
  <si>
    <t>I do not like beef , I prefer oysters .</t>
  </si>
  <si>
    <t>Je n' aime pas le boeuf , je préfère les huîtres .</t>
  </si>
  <si>
    <t>Non amo il caviale , preferisco il pollo .</t>
  </si>
  <si>
    <t>I do not like caviar , I prefer chicken .</t>
  </si>
  <si>
    <t>Je n' aime pas le caviar , je préfère le poulet .</t>
  </si>
  <si>
    <t>Non amo il pollo , preferisco il caviale .</t>
  </si>
  <si>
    <t>I do not like chicken , I prefer caviar .</t>
  </si>
  <si>
    <t>Je n' aime pas le poulet , je préfère le caviar .</t>
  </si>
  <si>
    <t>Non amo il caviale , preferisco i prodotti del mare .</t>
  </si>
  <si>
    <t>I do not like caviar , I prefer seafood .</t>
  </si>
  <si>
    <t>Je n' aime pas le caviar , je préfère les produits de la mer .</t>
  </si>
  <si>
    <t>Non amo i prodotti del mare , preferisco il caviale .</t>
  </si>
  <si>
    <t>I do not like seafood , I prefer caviar .</t>
  </si>
  <si>
    <t>Je n' aime pas les produits de la mer , je préfère le caviar .</t>
  </si>
  <si>
    <t>Non amo il caviale , preferisco il vitello .</t>
  </si>
  <si>
    <t>I do not like caviar , I prefer veal .</t>
  </si>
  <si>
    <t>Je n' aime pas le caviar , je préfère le veau .</t>
  </si>
  <si>
    <t>Non amo il vitello , preferisco il caviale .</t>
  </si>
  <si>
    <t>I do not like veal , I prefer caviar .</t>
  </si>
  <si>
    <t>Je n' aime pas le veau , je préfère le caviar .</t>
  </si>
  <si>
    <t>Non amo il caviale , preferisco il tacchino .</t>
  </si>
  <si>
    <t>I do not like caviar , I prefer turkey .</t>
  </si>
  <si>
    <t>Je n' aime pas le caviar , je préfère la dinde .</t>
  </si>
  <si>
    <t>Non amo il tacchino , preferisco il caviale .</t>
  </si>
  <si>
    <t>I do not like turkey , I prefer caviar .</t>
  </si>
  <si>
    <t>Je n' aime pas la dinde , je préfère le caviar .</t>
  </si>
  <si>
    <t>Non amo il caviale , preferisco il manzo .</t>
  </si>
  <si>
    <t>I do not like caviar , I prefer beef .</t>
  </si>
  <si>
    <t>Je n' aime pas le caviar , je préfère le boeuf .</t>
  </si>
  <si>
    <t>Non amo il manzo , preferisco il caviale .</t>
  </si>
  <si>
    <t>I do not like beef , I prefer caviar .</t>
  </si>
  <si>
    <t>Je n' aime pas le boeuf , je préfère le caviar .</t>
  </si>
  <si>
    <t>Adoro il salmone , eccetto il pollo .</t>
  </si>
  <si>
    <t>I like salmon , except chicken .</t>
  </si>
  <si>
    <t>J' adore le saumon , sauf le poulet .</t>
  </si>
  <si>
    <t>Adoro il pollo , eccetto il salmone .</t>
  </si>
  <si>
    <t>I like chicken , except salmon .</t>
  </si>
  <si>
    <t>J' adore le poulet , sauf le saumon .</t>
  </si>
  <si>
    <t>Adoro il salmone , eccetto i prodotti del mare .</t>
  </si>
  <si>
    <t>I like salmon , except seafood .</t>
  </si>
  <si>
    <t>J' adore le saumon , sauf les produits de la mer .</t>
  </si>
  <si>
    <t>Adoro i prodotti del mare , eccetto il salmone .</t>
  </si>
  <si>
    <t>I like seafood , except salmon .</t>
  </si>
  <si>
    <t>J' adore les produits de la mer , sauf le saumon .</t>
  </si>
  <si>
    <t>Adoro i prodotti del mare , eccetto il pollo .</t>
  </si>
  <si>
    <t>I like seafood , except chicken .</t>
  </si>
  <si>
    <t>J' adore les produits de la mer , sauf le poulet .</t>
  </si>
  <si>
    <t>Adoro il salmone , eccetto il vitello .</t>
  </si>
  <si>
    <t>I like salmon , except veal .</t>
  </si>
  <si>
    <t>J' adore le saumon , sauf le veau .</t>
  </si>
  <si>
    <t>Adoro il vitello , eccetto il salmone .</t>
  </si>
  <si>
    <t>I like veal , except salmon .</t>
  </si>
  <si>
    <t>J' adore le veau , sauf le saumon .</t>
  </si>
  <si>
    <t>Non amo i thriller , preferisco i saggi .</t>
  </si>
  <si>
    <t>I do not like thrillers , I prefer essays .</t>
  </si>
  <si>
    <t>Je n' aime pas les thrillers , je préfère les essais .</t>
  </si>
  <si>
    <t>Non amo i saggi , preferisco i thriller .</t>
  </si>
  <si>
    <t>I do not like essays , I prefer thrillers .</t>
  </si>
  <si>
    <t>Je n' aime pas les essais , je préfère les thrillers .</t>
  </si>
  <si>
    <t>Non amo i thriller , preferisco i film .</t>
  </si>
  <si>
    <t>I do not like thrillers , I prefer movies .</t>
  </si>
  <si>
    <t>Je n' aime pas les thrillers , je préfère les films .</t>
  </si>
  <si>
    <t>Non amo i film , preferisco i thriller .</t>
  </si>
  <si>
    <t>I do not like movies , I prefer thrillers .</t>
  </si>
  <si>
    <t>Je n' aime pas les films , je préfère les thrillers .</t>
  </si>
  <si>
    <t>Non amo i film , preferisco i saggi .</t>
  </si>
  <si>
    <t>I do not like movies , I prefer essays .</t>
  </si>
  <si>
    <t>Je n' aime pas les films , je préfère les essais .</t>
  </si>
  <si>
    <t>Non amo i thriller , preferisco i sussidiari .</t>
  </si>
  <si>
    <t>I do not like thrillers , I prefer textbooks .</t>
  </si>
  <si>
    <t>Je n' aime pas les thrillers , je préfère les manuels scolaires .</t>
  </si>
  <si>
    <t>Non amo i sussidiari , preferisco i thriller .</t>
  </si>
  <si>
    <t>I do not like textbooks , I prefer thrillers .</t>
  </si>
  <si>
    <t>Je n' aime pas les manuels scolaires , je préfère les thrillers .</t>
  </si>
  <si>
    <t>Non amo i film , preferisco i sussidiari .</t>
  </si>
  <si>
    <t>I do not like movies , I prefer textbooks .</t>
  </si>
  <si>
    <t>Je n' aime pas les films , je préfère les manuels scolaires .</t>
  </si>
  <si>
    <t>Non amo i thriller , preferisco i giochi da tavolo .</t>
  </si>
  <si>
    <t>I do not like thrillers , I prefer boardgames .</t>
  </si>
  <si>
    <t>Je n' aime pas les thrillers , je préfère les jeux de société .</t>
  </si>
  <si>
    <t>Non amo i giochi da tavolo , preferisco i thriller .</t>
  </si>
  <si>
    <t>I do not like boardgames , I prefer thrillers .</t>
  </si>
  <si>
    <t>Je n' aime pas les jeux de société , je préfère les thrillers .</t>
  </si>
  <si>
    <t>Non amo i film , preferisco i giochi da tavolo .</t>
  </si>
  <si>
    <t>I do not like movies , I prefer boardgames .</t>
  </si>
  <si>
    <t>Je n' aime pas les films , je préfère les jeux de société .</t>
  </si>
  <si>
    <t>Non amo i thriller , preferisco i videogiochi .</t>
  </si>
  <si>
    <t>I do not like thrillers , I prefer videogames .</t>
  </si>
  <si>
    <t>Je n' aime pas les thrillers , je préfère les jeux vidéo .</t>
  </si>
  <si>
    <t>Non amo i videogiochi , preferisco i thriller .</t>
  </si>
  <si>
    <t>I do not like videogames , I prefer thrillers .</t>
  </si>
  <si>
    <t>Je n' aime pas les jeux vidéo , je préfère les thrillers .</t>
  </si>
  <si>
    <t>Non amo i film , preferisco i videogiochi .</t>
  </si>
  <si>
    <t>I do not like movies , I prefer videogames .</t>
  </si>
  <si>
    <t>Je n' aime pas les films , je préfère les jeux vidéo .</t>
  </si>
  <si>
    <t>Non amo i western , preferisco i saggi .</t>
  </si>
  <si>
    <t>I do not like westerns , I prefer essays .</t>
  </si>
  <si>
    <t>Je n' aime pas les westerns , je préfère les essais .</t>
  </si>
  <si>
    <t>Non amo i saggi , preferisco i western .</t>
  </si>
  <si>
    <t>I do not like essays , I prefer westerns .</t>
  </si>
  <si>
    <t>Je n' aime pas les essais , je préfère les westerns .</t>
  </si>
  <si>
    <t>Non amo i western , preferisco i film .</t>
  </si>
  <si>
    <t>I do not like westerns , I prefer movies .</t>
  </si>
  <si>
    <t>Je n' aime pas les westerns , je préfère les films .</t>
  </si>
  <si>
    <t>Non amo i film , preferisco i western .</t>
  </si>
  <si>
    <t>I do not like movies , I prefer westerns .</t>
  </si>
  <si>
    <t>Je n' aime pas les films , je préfère les westerns .</t>
  </si>
  <si>
    <t>Non amo i western , preferisco i sussidiari .</t>
  </si>
  <si>
    <t>I do not like westerns , I prefer textbooks .</t>
  </si>
  <si>
    <t>Je n' aime pas les westerns , je préfère les manuels scolaires .</t>
  </si>
  <si>
    <t>Non amo i sussidiari , preferisco i western .</t>
  </si>
  <si>
    <t>I do not like textbooks , I prefer westerns .</t>
  </si>
  <si>
    <t>Je n' aime pas les manuels scolaires , je préfère les westerns .</t>
  </si>
  <si>
    <t>Adoro i prodotti del mare , eccetto il vitello .</t>
  </si>
  <si>
    <t>I like seafood , except veal .</t>
  </si>
  <si>
    <t>J' adore les produits de la mer , sauf le veau .</t>
  </si>
  <si>
    <t>Non amo i western , preferisco i giochi da tavolo .</t>
  </si>
  <si>
    <t>I do not like westerns , I prefer boardgames .</t>
  </si>
  <si>
    <t>Je n' aime pas les westerns , je préfère les jeux de société .</t>
  </si>
  <si>
    <t>Non amo i giochi da tavolo , preferisco i western .</t>
  </si>
  <si>
    <t>I do not like boardgames , I prefer westerns .</t>
  </si>
  <si>
    <t>Je n' aime pas les jeux de société , je préfère les westerns .</t>
  </si>
  <si>
    <t>Non amo i western , preferisco i videogiochi .</t>
  </si>
  <si>
    <t>I do not like westerns , I prefer videogames .</t>
  </si>
  <si>
    <t>Je n' aime pas les westerns , je préfère les jeux vidéo .</t>
  </si>
  <si>
    <t>Non amo i videogiochi , preferisco i western .</t>
  </si>
  <si>
    <t>I do not like videogames , I prefer westerns .</t>
  </si>
  <si>
    <t>Je n' aime pas les jeux vidéo , je préfère les westerns .</t>
  </si>
  <si>
    <t>Adoro il salmone , eccetto il tacchino .</t>
  </si>
  <si>
    <t>I like salmon , except turkey .</t>
  </si>
  <si>
    <t>J' adore le saumon , sauf la dinde .</t>
  </si>
  <si>
    <t>Non amo le commedie , preferisco i saggi .</t>
  </si>
  <si>
    <t>I do not like comedies , I prefer essays .</t>
  </si>
  <si>
    <t>Je n' aime pas les comédies , je préfère les essais .</t>
  </si>
  <si>
    <t>Non amo i saggi , preferisco le commedie .</t>
  </si>
  <si>
    <t>I do not like essays , I prefer comedies .</t>
  </si>
  <si>
    <t>Je n' aime pas les essais , je préfère les comédies .</t>
  </si>
  <si>
    <t>Non amo le commedie , preferisco i film .</t>
  </si>
  <si>
    <t>I do not like comedies , I prefer movies .</t>
  </si>
  <si>
    <t>Je n' aime pas les comédies , je préfère les films .</t>
  </si>
  <si>
    <t>Non amo i film , preferisco le commedie .</t>
  </si>
  <si>
    <t>I do not like movies , I prefer comedies .</t>
  </si>
  <si>
    <t>Je n' aime pas les films , je préfère les comédies .</t>
  </si>
  <si>
    <t>Non amo le commedie , preferisco i sussidiari .</t>
  </si>
  <si>
    <t>I do not like comedies , I prefer textbooks .</t>
  </si>
  <si>
    <t>Je n' aime pas les comédies , je préfère les manuels scolaires .</t>
  </si>
  <si>
    <t>Non amo i sussidiari , preferisco le commedie .</t>
  </si>
  <si>
    <t>I do not like textbooks , I prefer comedies .</t>
  </si>
  <si>
    <t>Je n' aime pas les manuels scolaires , je préfère les comédies .</t>
  </si>
  <si>
    <t>Adoro il tacchino , eccetto il salmone .</t>
  </si>
  <si>
    <t>I like turkey , except salmon .</t>
  </si>
  <si>
    <t>J' adore la dinde , sauf le saumon .</t>
  </si>
  <si>
    <t>Non amo le commedie , preferisco i giochi da tavolo .</t>
  </si>
  <si>
    <t>I do not like comedies , I prefer boardgames .</t>
  </si>
  <si>
    <t>Je n' aime pas les comédies , je préfère les jeux de société .</t>
  </si>
  <si>
    <t>Non amo i giochi da tavolo , preferisco le commedie .</t>
  </si>
  <si>
    <t>I do not like boardgames , I prefer comedies .</t>
  </si>
  <si>
    <t>Je n' aime pas les jeux de société , je préfère les comédies .</t>
  </si>
  <si>
    <t>Non amo le commedie , preferisco i videogiochi .</t>
  </si>
  <si>
    <t>I do not like comedies , I prefer videogames .</t>
  </si>
  <si>
    <t>Je n' aime pas les comédies , je préfère les jeux vidéo .</t>
  </si>
  <si>
    <t>Non amo i videogiochi , preferisco le commedie .</t>
  </si>
  <si>
    <t>I do not like videogames , I prefer comedies .</t>
  </si>
  <si>
    <t>Je n' aime pas les jeux vidéo , je préfère les comédies .</t>
  </si>
  <si>
    <t>Non amo i documentari , preferisco i saggi .</t>
  </si>
  <si>
    <t>I do not like documentaries , I prefer essays .</t>
  </si>
  <si>
    <t>Je n' aime pas les documentaires , je préfère les essais .</t>
  </si>
  <si>
    <t>Non amo i saggi , preferisco i documentari .</t>
  </si>
  <si>
    <t>I do not like essays , I prefer documentaries .</t>
  </si>
  <si>
    <t>Je n' aime pas les essais , je préfère les documentaires .</t>
  </si>
  <si>
    <t>Non amo i documentari , preferisco i film .</t>
  </si>
  <si>
    <t>I do not like documentaries , I prefer movies .</t>
  </si>
  <si>
    <t>Je n' aime pas les documentaires , je préfère les films .</t>
  </si>
  <si>
    <t>Non amo i film , preferisco i documentari .</t>
  </si>
  <si>
    <t>I do not like movies , I prefer documentaries .</t>
  </si>
  <si>
    <t>Je n' aime pas les films , je préfère les documentaires .</t>
  </si>
  <si>
    <t>Non amo i documentari , preferisco i sussidiari .</t>
  </si>
  <si>
    <t>I do not like documentaries , I prefer textbooks .</t>
  </si>
  <si>
    <t>Je n' aime pas les documentaires , je préfère les manuels scolaires .</t>
  </si>
  <si>
    <t>Non amo i sussidiari , preferisco i documentari .</t>
  </si>
  <si>
    <t>I do not like textbooks , I prefer documentaries .</t>
  </si>
  <si>
    <t>Je n' aime pas les manuels scolaires , je préfère les documentaires .</t>
  </si>
  <si>
    <t>Non amo i documentari , preferisco i giochi da tavolo .</t>
  </si>
  <si>
    <t>I do not like documentaries , I prefer boardgames .</t>
  </si>
  <si>
    <t>Je n' aime pas les documentaires , je préfère les jeux de société .</t>
  </si>
  <si>
    <t>Non amo i giochi da tavolo , preferisco i documentari .</t>
  </si>
  <si>
    <t>I do not like boardgames , I prefer documentaries .</t>
  </si>
  <si>
    <t>Je n' aime pas les jeux de société , je préfère les documentaires .</t>
  </si>
  <si>
    <t>Non amo i documentari , preferisco i videogiochi .</t>
  </si>
  <si>
    <t>I do not like documentaries , I prefer videogames .</t>
  </si>
  <si>
    <t>Je n' aime pas les documentaires , je préfère les jeux vidéo .</t>
  </si>
  <si>
    <t>Non amo i videogiochi , preferisco i documentari .</t>
  </si>
  <si>
    <t>I do not like videogames , I prefer documentaries .</t>
  </si>
  <si>
    <t>Je n' aime pas les jeux vidéo , je préfère les documentaires .</t>
  </si>
  <si>
    <t>Adoro i prodotti del mare , eccetto il tacchino .</t>
  </si>
  <si>
    <t>I like seafood , except turkey .</t>
  </si>
  <si>
    <t>J' adore les produits de la mer , sauf la dinde .</t>
  </si>
  <si>
    <t>Non amo i braccialetti , preferisco le borsette .</t>
  </si>
  <si>
    <t>I do not like bracelets , I prefer handbags .</t>
  </si>
  <si>
    <t>Je n' aime pas les bracelets , je préfère les sacs à main .</t>
  </si>
  <si>
    <t>Non amo le borsette , preferisco i braccialetti .</t>
  </si>
  <si>
    <t>I do not like handbags , I prefer bracelets .</t>
  </si>
  <si>
    <t>Je n' aime pas les sacs à main , je préfère les bracelets .</t>
  </si>
  <si>
    <t>Non amo i braccialetti , preferisco i gioielli .</t>
  </si>
  <si>
    <t>I do not like bracelets , I prefer jewelry .</t>
  </si>
  <si>
    <t>Je n' aime pas les bracelets , je préfère les bijoux .</t>
  </si>
  <si>
    <t>Non amo i gioielli , preferisco i braccialetti .</t>
  </si>
  <si>
    <t>I do not like jewelry , I prefer bracelets .</t>
  </si>
  <si>
    <t>Je n' aime pas les bijoux , je préfère les bracelets .</t>
  </si>
  <si>
    <t>Non amo i gioielli , preferisco le borsette .</t>
  </si>
  <si>
    <t>I do not like jewelry , I prefer handbags .</t>
  </si>
  <si>
    <t>Je n' aime pas les bijoux , je préfère les sacs à main .</t>
  </si>
  <si>
    <t>Non amo i braccialetti , preferisco le sciarpe .</t>
  </si>
  <si>
    <t>I do not like bracelets , I prefer scarfs .</t>
  </si>
  <si>
    <t>Je n' aime pas les bracelets , je préfère les écharpes .</t>
  </si>
  <si>
    <t>Non amo le sciarpe , preferisco i braccialetti .</t>
  </si>
  <si>
    <t>I do not like scarfs , I prefer bracelets .</t>
  </si>
  <si>
    <t>Je n' aime pas les écharpes , je préfère les bracelets .</t>
  </si>
  <si>
    <t>Adoro il salmone , eccetto il manzo .</t>
  </si>
  <si>
    <t>I like salmon , except beef .</t>
  </si>
  <si>
    <t>J' adore le saumon , sauf le boeuf .</t>
  </si>
  <si>
    <t>Non amo i gioielli , preferisco le sciarpe .</t>
  </si>
  <si>
    <t>I do not like jewelry , I prefer scarfs .</t>
  </si>
  <si>
    <t>Je n' aime pas les bijoux , je préfère les écharpes .</t>
  </si>
  <si>
    <t>Non amo i braccialetti , preferisco gli occhiali .</t>
  </si>
  <si>
    <t>I do not like bracelets , I prefer glasses .</t>
  </si>
  <si>
    <t>Je n' aime pas les bracelets , je préfère les lunettes .</t>
  </si>
  <si>
    <t>Non amo gli occhiali , preferisco i braccialetti .</t>
  </si>
  <si>
    <t>I do not like glasses , I prefer bracelets .</t>
  </si>
  <si>
    <t>Je n' aime pas les lunettes , je préfère les bracelets .</t>
  </si>
  <si>
    <t>Non amo i gioielli , preferisco gli occhiali .</t>
  </si>
  <si>
    <t>I do not like jewelry , I prefer glasses .</t>
  </si>
  <si>
    <t>Je n' aime pas les bijoux , je préfère les lunettes .</t>
  </si>
  <si>
    <t>Non amo i braccialetti , preferisco le scarpe .</t>
  </si>
  <si>
    <t>I do not like bracelets , I prefer shoes .</t>
  </si>
  <si>
    <t>Je n' aime pas les bracelets , je préfère les chaussures .</t>
  </si>
  <si>
    <t>Non amo le scarpe , preferisco i braccialetti .</t>
  </si>
  <si>
    <t>I do not like shoes , I prefer bracelets .</t>
  </si>
  <si>
    <t>Je n' aime pas les chaussures , je préfère les bracelets .</t>
  </si>
  <si>
    <t>Adoro il manzo , eccetto il salmone .</t>
  </si>
  <si>
    <t>I like beef , except salmon .</t>
  </si>
  <si>
    <t>J' adore le boeuf , sauf le saumon .</t>
  </si>
  <si>
    <t>Non amo i gioielli , preferisco le scarpe .</t>
  </si>
  <si>
    <t>I do not like jewelry , I prefer shoes .</t>
  </si>
  <si>
    <t>Je n' aime pas les bijoux , je préfère les chaussures .</t>
  </si>
  <si>
    <t>Non amo le collane , preferisco le borsette .</t>
  </si>
  <si>
    <t>I do not like necklaces , I prefer handbags .</t>
  </si>
  <si>
    <t>Je n' aime pas les colliers , je préfère les sacs à main .</t>
  </si>
  <si>
    <t>Non amo le borsette , preferisco le collane .</t>
  </si>
  <si>
    <t>I do not like handbags , I prefer necklaces .</t>
  </si>
  <si>
    <t>Je n' aime pas les sacs à main , je préfère les colliers .</t>
  </si>
  <si>
    <t>Non amo le collane , preferisco i gioielli .</t>
  </si>
  <si>
    <t>I do not like necklaces , I prefer jewelry .</t>
  </si>
  <si>
    <t>Je n' aime pas les colliers , je préfère les bijoux .</t>
  </si>
  <si>
    <t>Non amo i gioielli , preferisco le collane .</t>
  </si>
  <si>
    <t>I do not like jewelry , I prefer necklaces .</t>
  </si>
  <si>
    <t>Je n' aime pas les bijoux , je préfère les colliers .</t>
  </si>
  <si>
    <t>Non amo le collane , preferisco le sciarpe .</t>
  </si>
  <si>
    <t>I do not like necklaces , I prefer scarfs .</t>
  </si>
  <si>
    <t>Je n' aime pas les colliers , je préfère les écharpes .</t>
  </si>
  <si>
    <t>Non amo le sciarpe , preferisco le collane .</t>
  </si>
  <si>
    <t>I do not like scarfs , I prefer necklaces .</t>
  </si>
  <si>
    <t>Je n' aime pas les écharpes , je préfère les colliers .</t>
  </si>
  <si>
    <t>Non amo le collane , preferisco gli occhiali .</t>
  </si>
  <si>
    <t>I do not like necklaces , I prefer glasses .</t>
  </si>
  <si>
    <t>Je n' aime pas les colliers , je préfère les lunettes .</t>
  </si>
  <si>
    <t>Non amo gli occhiali , preferisco le collane .</t>
  </si>
  <si>
    <t>I do not like glasses , I prefer necklaces .</t>
  </si>
  <si>
    <t>Je n' aime pas les lunettes , je préfère les colliers .</t>
  </si>
  <si>
    <t>Non amo le collane , preferisco le scarpe .</t>
  </si>
  <si>
    <t>I do not like necklaces , I prefer shoes .</t>
  </si>
  <si>
    <t>Je n' aime pas les colliers , je préfère les chaussures .</t>
  </si>
  <si>
    <t>Non amo le scarpe , preferisco le collane .</t>
  </si>
  <si>
    <t>I do not like shoes , I prefer necklaces .</t>
  </si>
  <si>
    <t>Je n' aime pas les chaussures , je préfère les colliers .</t>
  </si>
  <si>
    <t>Non amo gli orecchini , preferisco le borsette .</t>
  </si>
  <si>
    <t>I do not like earrings , I prefer handbags .</t>
  </si>
  <si>
    <t>Je n' aime pas les boucles d' oreille , je préfère les sacs à main .</t>
  </si>
  <si>
    <t>Non amo le borsette , preferisco gli orecchini .</t>
  </si>
  <si>
    <t>I do not like handbags , I prefer earrings .</t>
  </si>
  <si>
    <t>Je n' aime pas les sacs à main , je préfère les boucles d' oreille .</t>
  </si>
  <si>
    <t>Non amo gli orecchini , preferisco i gioielli .</t>
  </si>
  <si>
    <t>I do not like earrings , I prefer jewelry .</t>
  </si>
  <si>
    <t>Je n' aime pas les boucles d' oreille , je préfère les bijoux .</t>
  </si>
  <si>
    <t>Non amo i gioielli , preferisco gli orecchini .</t>
  </si>
  <si>
    <t>I do not like jewelry , I prefer earrings .</t>
  </si>
  <si>
    <t>Je n' aime pas les bijoux , je préfère les boucles d' oreille .</t>
  </si>
  <si>
    <t>Non amo gli orecchini , preferisco le sciarpe .</t>
  </si>
  <si>
    <t>I do not like earrings , I prefer scarfs .</t>
  </si>
  <si>
    <t>Je n' aime pas les boucles d' oreille , je préfère les écharpes .</t>
  </si>
  <si>
    <t>Non amo le sciarpe , preferisco gli orecchini .</t>
  </si>
  <si>
    <t>I do not like scarfs , I prefer earrings .</t>
  </si>
  <si>
    <t>Je n' aime pas les écharpes , je préfère les boucles d' oreille .</t>
  </si>
  <si>
    <t>Adoro i prodotti del mare , eccetto il manzo .</t>
  </si>
  <si>
    <t>I like seafood , except beef .</t>
  </si>
  <si>
    <t>J' adore les produits de la mer , sauf le boeuf .</t>
  </si>
  <si>
    <t>Non amo gli orecchini , preferisco gli occhiali .</t>
  </si>
  <si>
    <t>I do not like earrings , I prefer glasses .</t>
  </si>
  <si>
    <t>Je n' aime pas les boucles d' oreille , je préfère les lunettes .</t>
  </si>
  <si>
    <t>Non amo gli occhiali , preferisco gli orecchini .</t>
  </si>
  <si>
    <t>I do not like glasses , I prefer earrings .</t>
  </si>
  <si>
    <t>Je n' aime pas les lunettes , je préfère les boucles d' oreille .</t>
  </si>
  <si>
    <t>Non amo gli orecchini , preferisco le scarpe .</t>
  </si>
  <si>
    <t>I do not like earrings , I prefer shoes .</t>
  </si>
  <si>
    <t>Je n' aime pas les boucles d' oreille , je préfère les chaussures .</t>
  </si>
  <si>
    <t>Non amo le scarpe , preferisco gli orecchini .</t>
  </si>
  <si>
    <t>I do not like shoes , I prefer earrings .</t>
  </si>
  <si>
    <t>Je n' aime pas les chaussures , je préfère les boucles d' oreille .</t>
  </si>
  <si>
    <t>Non amo gli anelli , preferisco le borsette .</t>
  </si>
  <si>
    <t>I do not like rings , I prefer handbags .</t>
  </si>
  <si>
    <t>Je n' aime pas les bagues , je préfère les sacs à main .</t>
  </si>
  <si>
    <t>Non amo le borsette , preferisco gli anelli .</t>
  </si>
  <si>
    <t>I do not like handbags , I prefer rings .</t>
  </si>
  <si>
    <t>Je n' aime pas les sacs à main , je préfère les bagues .</t>
  </si>
  <si>
    <t>Non amo gli anelli , preferisco i gioielli .</t>
  </si>
  <si>
    <t>I do not like rings , I prefer jewelry .</t>
  </si>
  <si>
    <t>Je n' aime pas les bagues , je préfère les bijoux .</t>
  </si>
  <si>
    <t>Non amo i gioielli , preferisco gli anelli .</t>
  </si>
  <si>
    <t>I do not like jewelry , I prefer rings .</t>
  </si>
  <si>
    <t>Je n' aime pas les bijoux , je préfère les bagues .</t>
  </si>
  <si>
    <t>Non amo gli anelli , preferisco le sciarpe .</t>
  </si>
  <si>
    <t>I do not like rings , I prefer scarfs .</t>
  </si>
  <si>
    <t>Je n' aime pas les bagues , je préfère les écharpes .</t>
  </si>
  <si>
    <t>Non amo le sciarpe , preferisco gli anelli .</t>
  </si>
  <si>
    <t>I do not like scarfs , I prefer rings .</t>
  </si>
  <si>
    <t>Je n' aime pas les écharpes , je préfère les bagues .</t>
  </si>
  <si>
    <t>Non amo gli anelli , preferisco gli occhiali .</t>
  </si>
  <si>
    <t>I do not like rings , I prefer glasses .</t>
  </si>
  <si>
    <t>Je n' aime pas les bagues , je préfère les lunettes .</t>
  </si>
  <si>
    <t>Non amo gli occhiali , preferisco gli anelli .</t>
  </si>
  <si>
    <t>I do not like glasses , I prefer rings .</t>
  </si>
  <si>
    <t>Je n' aime pas les lunettes , je préfère les bagues .</t>
  </si>
  <si>
    <t>Non amo gli anelli , preferisco le scarpe .</t>
  </si>
  <si>
    <t>I do not like rings , I prefer shoes .</t>
  </si>
  <si>
    <t>Je n' aime pas les bagues , je préfère les chaussures .</t>
  </si>
  <si>
    <t>Non amo le scarpe , preferisco gli anelli .</t>
  </si>
  <si>
    <t>I do not like shoes , I prefer rings .</t>
  </si>
  <si>
    <t>Je n' aime pas les chaussures , je préfère les bagues .</t>
  </si>
  <si>
    <t>Non amo i gatti , preferisco le giraffe .</t>
  </si>
  <si>
    <t>I do not like cats , I prefer giraffes .</t>
  </si>
  <si>
    <t>Je n' aime pas les chats , je préfère les giraffes .</t>
  </si>
  <si>
    <t>Non amo le giraffe , preferisco i gatti .</t>
  </si>
  <si>
    <t>I do not like giraffes , I prefer cats .</t>
  </si>
  <si>
    <t>Je n' aime pas les giraffes , je préfère les chats .</t>
  </si>
  <si>
    <t>Non amo i gatti , preferisco gli animali domestici .</t>
  </si>
  <si>
    <t>I do not like cats , I prefer pets .</t>
  </si>
  <si>
    <t>Je n' aime pas les chats , je préfère les animaux de compagnie .</t>
  </si>
  <si>
    <t>Non amo gli animali domestici , preferisco i gatti .</t>
  </si>
  <si>
    <t>I do not like pets , I prefer cats .</t>
  </si>
  <si>
    <t>Je n' aime pas les animaux de compagnie , je préfère les chats .</t>
  </si>
  <si>
    <t>Non amo gli animali domestici , preferisco le giraffe .</t>
  </si>
  <si>
    <t>I do not like pets , I prefer giraffes .</t>
  </si>
  <si>
    <t>Je n' aime pas les animaux de compagnie , je préfère les giraffes .</t>
  </si>
  <si>
    <t>Non amo i gatti , preferisco gli orsi .</t>
  </si>
  <si>
    <t>I do not like cats , I prefer bears .</t>
  </si>
  <si>
    <t>Je n' aime pas les chats , je préfère les ours .</t>
  </si>
  <si>
    <t>Non amo gli orsi , preferisco i gatti .</t>
  </si>
  <si>
    <t>I do not like bears , I prefer cats .</t>
  </si>
  <si>
    <t>Je n' aime pas les ours , je préfère les chats .</t>
  </si>
  <si>
    <t>Non amo gli animali domestici , preferisco gli orsi .</t>
  </si>
  <si>
    <t>I do not like pets , I prefer bears .</t>
  </si>
  <si>
    <t>Je n' aime pas les animaux de compagnie , je préfère les ours .</t>
  </si>
  <si>
    <t>Non amo i gatti , preferisco le meduse .</t>
  </si>
  <si>
    <t>I do not like cats , I prefer jellyfish .</t>
  </si>
  <si>
    <t>Je n' aime pas les chats , je préfère les méduses .</t>
  </si>
  <si>
    <t>Non amo le meduse , preferisco i gatti .</t>
  </si>
  <si>
    <t>I do not like jellyfish , I prefer cats .</t>
  </si>
  <si>
    <t>Je n' aime pas les méduses , je préfère les chats .</t>
  </si>
  <si>
    <t>Non amo gli animali domestici , preferisco le meduse .</t>
  </si>
  <si>
    <t>I do not like pets , I prefer jellyfish .</t>
  </si>
  <si>
    <t>Je n' aime pas les animaux de compagnie , je préfère les méduses .</t>
  </si>
  <si>
    <t>Non amo i gatti , preferisco le balene .</t>
  </si>
  <si>
    <t>I do not like cats , I prefer whales .</t>
  </si>
  <si>
    <t>Je n' aime pas les chats , je préfère les baleines .</t>
  </si>
  <si>
    <t>Non amo le balene , preferisco i gatti .</t>
  </si>
  <si>
    <t>I do not like whales , I prefer cats .</t>
  </si>
  <si>
    <t>Je n' aime pas les baleines , je préfère les chats .</t>
  </si>
  <si>
    <t>Non amo gli animali domestici , preferisco le balene .</t>
  </si>
  <si>
    <t>I do not like pets , I prefer whales .</t>
  </si>
  <si>
    <t>Je n' aime pas les animaux de compagnie , je préfère les baleines .</t>
  </si>
  <si>
    <t>Non amo i cani , preferisco le giraffe .</t>
  </si>
  <si>
    <t>I do not like dogs , I prefer giraffes .</t>
  </si>
  <si>
    <t>Je n' aime pas les chiens , je préfère les giraffes .</t>
  </si>
  <si>
    <t>Non amo le giraffe , preferisco i cani .</t>
  </si>
  <si>
    <t>I do not like giraffes , I prefer dogs .</t>
  </si>
  <si>
    <t>Je n' aime pas les giraffes , je préfère les chiens .</t>
  </si>
  <si>
    <t>Non amo i cani , preferisco gli animali domestici .</t>
  </si>
  <si>
    <t>I do not like dogs , I prefer pets .</t>
  </si>
  <si>
    <t>Je n' aime pas les chiens , je préfère les animaux de compagnie .</t>
  </si>
  <si>
    <t>Non amo gli animali domestici , preferisco i cani .</t>
  </si>
  <si>
    <t>I do not like pets , I prefer dogs .</t>
  </si>
  <si>
    <t>Je n' aime pas les animaux de compagnie , je préfère les chiens .</t>
  </si>
  <si>
    <t>Non amo i cani , preferisco gli orsi .</t>
  </si>
  <si>
    <t>I do not like dogs , I prefer bears .</t>
  </si>
  <si>
    <t>Je n' aime pas les chiens , je préfère les ours .</t>
  </si>
  <si>
    <t>Non amo gli orsi , preferisco i cani .</t>
  </si>
  <si>
    <t>I do not like bears , I prefer dogs .</t>
  </si>
  <si>
    <t>Je n' aime pas les ours , je préfère les chiens .</t>
  </si>
  <si>
    <t>Non amo i cani , preferisco le meduse .</t>
  </si>
  <si>
    <t>I do not like dogs , I prefer jellyfish .</t>
  </si>
  <si>
    <t>Je n' aime pas les chiens , je préfère les méduses .</t>
  </si>
  <si>
    <t>Non amo le meduse , preferisco i cani .</t>
  </si>
  <si>
    <t>I do not like jellyfish , I prefer dogs .</t>
  </si>
  <si>
    <t>Je n' aime pas les méduses , je préfère les chiens .</t>
  </si>
  <si>
    <t>Non amo i cani , preferisco le balene .</t>
  </si>
  <si>
    <t>I do not like dogs , I prefer whales .</t>
  </si>
  <si>
    <t>Je n' aime pas les chiens , je préfère les baleines .</t>
  </si>
  <si>
    <t>Non amo le balene , preferisco i cani .</t>
  </si>
  <si>
    <t>I do not like whales , I prefer dogs .</t>
  </si>
  <si>
    <t>Je n' aime pas les baleines , je préfère les chiens .</t>
  </si>
  <si>
    <t>Non amo i conigli , preferisco le giraffe .</t>
  </si>
  <si>
    <t>I do not like rabbits , I prefer giraffes .</t>
  </si>
  <si>
    <t>Je n' aime pas les lapins , je préfère les giraffes .</t>
  </si>
  <si>
    <t>Non amo le giraffe , preferisco i conigli .</t>
  </si>
  <si>
    <t>I do not like giraffes , I prefer rabbits .</t>
  </si>
  <si>
    <t>Je n' aime pas les giraffes , je préfère les lapins .</t>
  </si>
  <si>
    <t>Non amo i conigli , preferisco gli animali domestici .</t>
  </si>
  <si>
    <t>I do not like rabbits , I prefer pets .</t>
  </si>
  <si>
    <t>Je n' aime pas les lapins , je préfère les animaux de compagnie .</t>
  </si>
  <si>
    <t>Non amo gli animali domestici , preferisco i conigli .</t>
  </si>
  <si>
    <t>I do not like pets , I prefer rabbits .</t>
  </si>
  <si>
    <t>Je n' aime pas les animaux de compagnie , je préfère les lapins .</t>
  </si>
  <si>
    <t>Non amo i conigli , preferisco gli orsi .</t>
  </si>
  <si>
    <t>I do not like rabbits , I prefer bears .</t>
  </si>
  <si>
    <t>Je n' aime pas les lapins , je préfère les ours .</t>
  </si>
  <si>
    <t>Non amo gli orsi , preferisco i conigli .</t>
  </si>
  <si>
    <t>I do not like bears , I prefer rabbits .</t>
  </si>
  <si>
    <t>Je n' aime pas les ours , je préfère les lapins .</t>
  </si>
  <si>
    <t>Non amo i conigli , preferisco le meduse .</t>
  </si>
  <si>
    <t>I do not like rabbits , I prefer jellyfish .</t>
  </si>
  <si>
    <t>Je n' aime pas les lapins , je préfère les méduses .</t>
  </si>
  <si>
    <t>Non amo le meduse , preferisco i conigli .</t>
  </si>
  <si>
    <t>I do not like jellyfish , I prefer rabbits .</t>
  </si>
  <si>
    <t>Je n' aime pas les méduses , je préfère les lapins .</t>
  </si>
  <si>
    <t>Non amo i conigli , preferisco le balene .</t>
  </si>
  <si>
    <t>I do not like rabbits , I prefer whales .</t>
  </si>
  <si>
    <t>Je n' aime pas les lapins , je préfère les baleines .</t>
  </si>
  <si>
    <t>Non amo le balene , preferisco i conigli .</t>
  </si>
  <si>
    <t>I do not like whales , I prefer rabbits .</t>
  </si>
  <si>
    <t>Je n' aime pas les baleines , je préfère les lapins .</t>
  </si>
  <si>
    <t>Non amo i criceti , preferisco le giraffe .</t>
  </si>
  <si>
    <t>I do not like hamsters , I prefer giraffes .</t>
  </si>
  <si>
    <t>Je n' aime pas les hamsters , je préfère les giraffes .</t>
  </si>
  <si>
    <t>Non amo le giraffe , preferisco i criceti .</t>
  </si>
  <si>
    <t>I do not like giraffes , I prefer hamsters .</t>
  </si>
  <si>
    <t>Je n' aime pas les giraffes , je préfère les hamsters .</t>
  </si>
  <si>
    <t>Non amo i criceti , preferisco gli animali domestici .</t>
  </si>
  <si>
    <t>I do not like hamsters , I prefer pets .</t>
  </si>
  <si>
    <t>Je n' aime pas les hamsters , je préfère les animaux de compagnie .</t>
  </si>
  <si>
    <t>Non amo gli animali domestici , preferisco i criceti .</t>
  </si>
  <si>
    <t>I do not like pets , I prefer hamsters .</t>
  </si>
  <si>
    <t>Je n' aime pas les animaux de compagnie , je préfère les hamsters .</t>
  </si>
  <si>
    <t>Non amo i criceti , preferisco gli orsi .</t>
  </si>
  <si>
    <t>I do not like hamsters , I prefer bears .</t>
  </si>
  <si>
    <t>Je n' aime pas les hamsters , je préfère les ours .</t>
  </si>
  <si>
    <t>Non amo gli orsi , preferisco i criceti .</t>
  </si>
  <si>
    <t>I do not like bears , I prefer hamsters .</t>
  </si>
  <si>
    <t>Je n' aime pas les ours , je préfère les hamsters .</t>
  </si>
  <si>
    <t>Non amo i criceti , preferisco le meduse .</t>
  </si>
  <si>
    <t>I do not like hamsters , I prefer jellyfish .</t>
  </si>
  <si>
    <t>Je n' aime pas les hamsters , je préfère les méduses .</t>
  </si>
  <si>
    <t>Non amo le meduse , preferisco i criceti .</t>
  </si>
  <si>
    <t>I do not like jellyfish , I prefer hamsters .</t>
  </si>
  <si>
    <t>Je n' aime pas les méduses , je préfère les hamsters .</t>
  </si>
  <si>
    <t>Non amo i criceti , preferisco le balene .</t>
  </si>
  <si>
    <t>I do not like hamsters , I prefer whales .</t>
  </si>
  <si>
    <t>Je n' aime pas les hamsters , je préfère les baleines .</t>
  </si>
  <si>
    <t>Non amo le balene , preferisco i criceti .</t>
  </si>
  <si>
    <t>I do not like whales , I prefer hamsters .</t>
  </si>
  <si>
    <t>Je n' aime pas les baleines , je préfère les hamsters .</t>
  </si>
  <si>
    <t>Adoro i granchi , eccetto il pollo .</t>
  </si>
  <si>
    <t>I like crabs , except chicken .</t>
  </si>
  <si>
    <t>J' adore les crabes , sauf le poulet .</t>
  </si>
  <si>
    <t>Adoro il pollo , eccetto i granchi .</t>
  </si>
  <si>
    <t>I like chicken , except crabs .</t>
  </si>
  <si>
    <t>J' adore le poulet , sauf les crabes .</t>
  </si>
  <si>
    <t>Adoro i granchi , eccetto i prodotti del mare .</t>
  </si>
  <si>
    <t>I like crabs , except seafood .</t>
  </si>
  <si>
    <t>J' adore les crabes , sauf les produits de la mer .</t>
  </si>
  <si>
    <t>Adoro i prodotti del mare , eccetto i granchi .</t>
  </si>
  <si>
    <t>I like seafood , except crabs .</t>
  </si>
  <si>
    <t>J' adore les produits de la mer , sauf les crabes .</t>
  </si>
  <si>
    <t>Adoro i granchi , eccetto il vitello .</t>
  </si>
  <si>
    <t>I like crabs , except veal .</t>
  </si>
  <si>
    <t>J' adore les crabes , sauf le veau .</t>
  </si>
  <si>
    <t>Adoro il vitello , eccetto i granchi .</t>
  </si>
  <si>
    <t>I like veal , except crabs .</t>
  </si>
  <si>
    <t>J' adore le veau , sauf les crabes .</t>
  </si>
  <si>
    <t>Non si fida della vista , preferisce le dicerie .</t>
  </si>
  <si>
    <t>He does not trust his sight , he prefers rumors .</t>
  </si>
  <si>
    <t>Il ne fait pas confiance à sa vision , il préfère les rumeurs .</t>
  </si>
  <si>
    <t>Non si fida delle dicerie , preferisce la vista .</t>
  </si>
  <si>
    <t>He does not trust rumors , he prefers his sight .</t>
  </si>
  <si>
    <t>Il ne fait pas confiance aux rumeurs , il préfère sa vision .</t>
  </si>
  <si>
    <t>Non si fida della vista , preferisce i sensi .</t>
  </si>
  <si>
    <t>He does not trust his sight , he prefers his senses .</t>
  </si>
  <si>
    <t>Il ne fait pas confiance à sa vision , il préfère ses sens .</t>
  </si>
  <si>
    <t>Non si fida dei sensi , preferisce la vista .</t>
  </si>
  <si>
    <t>He does not trust his senses , he prefers his sight .</t>
  </si>
  <si>
    <t>Il ne fait pas confiance à ses sens , il préfère sa vision .</t>
  </si>
  <si>
    <t>Non si fida dei sensi , preferisce le dicerie .</t>
  </si>
  <si>
    <t>He does not trust his senses , he prefers rumors .</t>
  </si>
  <si>
    <t>Il ne fait pas confiance à ses sens , il préfère les rumeurs .</t>
  </si>
  <si>
    <t>Non si fida della vista , preferisce i notiziari .</t>
  </si>
  <si>
    <t>He does not trust his sight , he prefers reports .</t>
  </si>
  <si>
    <t>Il ne fait pas confiance à sa vision , il préfère les rapports .</t>
  </si>
  <si>
    <t>Non si fida dei notiziari , preferisce la vista .</t>
  </si>
  <si>
    <t>He does not trust reports , he prefers his sight .</t>
  </si>
  <si>
    <t>Il ne fait pas confiance aux rapports , il préfère sa vision .</t>
  </si>
  <si>
    <t>Non si fida dei sensi , preferisce i notiziari .</t>
  </si>
  <si>
    <t>He does not trust his senses , he prefers reports .</t>
  </si>
  <si>
    <t>Il ne fait pas confiance à ses sens , il préfère les rapports .</t>
  </si>
  <si>
    <t>Non si fida della vista , preferisce le ricostruzioni .</t>
  </si>
  <si>
    <t>He does not trust his sight , he prefers reconstructions .</t>
  </si>
  <si>
    <t>Il ne fait pas confiance à sa vision , il préfère les reconstructions .</t>
  </si>
  <si>
    <t>Non si fida delle ricostruzioni , preferisce la vista .</t>
  </si>
  <si>
    <t>He does not trust reconstructions , he prefers his sight .</t>
  </si>
  <si>
    <t>Il ne fait pas confiance aux reconstructions , il préfère sa vision .</t>
  </si>
  <si>
    <t>Non si fida dei sensi , preferisce le ricostruzioni .</t>
  </si>
  <si>
    <t>He does not trust his senses , he prefers reconstructions .</t>
  </si>
  <si>
    <t>Il ne fait pas confiance à ses sens , il préfère les reconstructions .</t>
  </si>
  <si>
    <t>Non si fida della vista , preferisce le congetture .</t>
  </si>
  <si>
    <t>He does not trust his sight , he prefers guesses .</t>
  </si>
  <si>
    <t>Il ne fait pas confiance à sa vision , il préfère les suppositions .</t>
  </si>
  <si>
    <t>Non si fida delle congetture , preferisce la vista .</t>
  </si>
  <si>
    <t>He does not trust guesses , he prefers his sight .</t>
  </si>
  <si>
    <t>Il ne fait pas confiance aux suppositions , il préfère sa vision .</t>
  </si>
  <si>
    <t>Non si fida dei sensi , preferisce le congetture .</t>
  </si>
  <si>
    <t>He does not trust his senses , he prefers guesses .</t>
  </si>
  <si>
    <t>Il ne fait pas confiance à ses sens , il préfère les suppositions .</t>
  </si>
  <si>
    <t>Non si fida dell' udito , preferisce le dicerie .</t>
  </si>
  <si>
    <t>He does not trust his hearing , he prefers rumors .</t>
  </si>
  <si>
    <t>Il ne fait pas confiance à son odorat , il préfère les rumeurs .</t>
  </si>
  <si>
    <t>Non si fida delle dicerie , preferisce l' udito .</t>
  </si>
  <si>
    <t>He does not trust rumors , he prefers his hearing .</t>
  </si>
  <si>
    <t>Il ne fait pas confiance aux rumeurs , il préfère son odorat .</t>
  </si>
  <si>
    <t>Non si fida dell' udito , preferisce i sensi .</t>
  </si>
  <si>
    <t>He does not trust his hearing , he prefers his senses .</t>
  </si>
  <si>
    <t>Il ne fait pas confiance à son odorat , il préfère ses sens .</t>
  </si>
  <si>
    <t>Non si fida dei sensi , preferisce l' udito .</t>
  </si>
  <si>
    <t>He does not trust his senses , he prefers his hearing .</t>
  </si>
  <si>
    <t>Il ne fait pas confiance à ses sens , il préfère son odorat .</t>
  </si>
  <si>
    <t>Non si fida dell' udito , preferisce i notiziari .</t>
  </si>
  <si>
    <t>He does not trust his hearing , he prefers reports .</t>
  </si>
  <si>
    <t>Il ne fait pas confiance à son odorat , il préfère les rapports .</t>
  </si>
  <si>
    <t>Non si fida dei notiziari , preferisce l' udito .</t>
  </si>
  <si>
    <t>He does not trust reports , he prefers his hearing .</t>
  </si>
  <si>
    <t>Il ne fait pas confiance aux rapports , il préfère son odorat .</t>
  </si>
  <si>
    <t>Non si fida dell' udito , preferisce le ricostruzioni .</t>
  </si>
  <si>
    <t>He does not trust his hearing , he prefers reconstructions .</t>
  </si>
  <si>
    <t>Il ne fait pas confiance à son odorat , il préfère les reconstructions .</t>
  </si>
  <si>
    <t>Non si fida delle ricostruzioni , preferisce l' udito .</t>
  </si>
  <si>
    <t>He does not trust reconstructions , he prefers his hearing .</t>
  </si>
  <si>
    <t>Il ne fait pas confiance aux reconstructions , il préfère son odorat .</t>
  </si>
  <si>
    <t>Non si fida dell' udito , preferisce le congetture .</t>
  </si>
  <si>
    <t>He does not trust his hearing , he prefers guesses .</t>
  </si>
  <si>
    <t>Il ne fait pas confiance à son odorat , il préfère les suppositions .</t>
  </si>
  <si>
    <t>Non si fida delle congetture , preferisce l' udito .</t>
  </si>
  <si>
    <t>He does not trust guesses , he prefers his hearing .</t>
  </si>
  <si>
    <t>Il ne fait pas confiance aux suppositions , il préfère son odorat .</t>
  </si>
  <si>
    <t>Adoro i granchi , eccetto il tacchino .</t>
  </si>
  <si>
    <t>I like crabs , except turkey .</t>
  </si>
  <si>
    <t>J' adore les crabes , sauf la dinde .</t>
  </si>
  <si>
    <t>Non si fida del tatto , preferisce le dicerie .</t>
  </si>
  <si>
    <t>He does not trust his touch , he prefers rumors .</t>
  </si>
  <si>
    <t>Il ne fait pas confiance à son sens du toucher , il préfère les rumeurs .</t>
  </si>
  <si>
    <t>Non si fida delle dicerie , preferisce il tatto .</t>
  </si>
  <si>
    <t>He does not trust rumors , he prefers his touch .</t>
  </si>
  <si>
    <t>Il ne fait pas confiance aux rumeurs , il préfère son sens du toucher .</t>
  </si>
  <si>
    <t>Non si fida del tatto , preferisce i sensi .</t>
  </si>
  <si>
    <t>He does not trust his touch , he prefers his senses .</t>
  </si>
  <si>
    <t>Il ne fait pas confiance à son sens du toucher , il préfère ses sens .</t>
  </si>
  <si>
    <t>Non si fida dei sensi , preferisce il tatto .</t>
  </si>
  <si>
    <t>He does not trust his senses , he prefers his touch .</t>
  </si>
  <si>
    <t>Il ne fait pas confiance à ses sens , il préfère son sens du toucher .</t>
  </si>
  <si>
    <t>Non si fida del tatto , preferisce i notiziari .</t>
  </si>
  <si>
    <t>He does not trust his touch , he prefers reports .</t>
  </si>
  <si>
    <t>Il ne fait pas confiance à son sens du toucher , il préfère les rapports .</t>
  </si>
  <si>
    <t>Non si fida dei notiziari , preferisce il tatto .</t>
  </si>
  <si>
    <t>He does not trust reports , he prefers his touch .</t>
  </si>
  <si>
    <t>Il ne fait pas confiance aux rapports , il préfère son sens du toucher .</t>
  </si>
  <si>
    <t>Adoro il tacchino , eccetto i granchi .</t>
  </si>
  <si>
    <t>I like turkey , except crabs .</t>
  </si>
  <si>
    <t>J' adore la dinde , sauf les crabes .</t>
  </si>
  <si>
    <t>Non si fida del tatto , preferisce le ricostruzioni .</t>
  </si>
  <si>
    <t>He does not trust his touch , he prefers reconstructions .</t>
  </si>
  <si>
    <t>Il ne fait pas confiance à son sens du toucher , il préfère les reconstructions .</t>
  </si>
  <si>
    <t>Non si fida delle ricostruzioni , preferisce il tatto .</t>
  </si>
  <si>
    <t>He does not trust reconstructions , he prefers his touch .</t>
  </si>
  <si>
    <t>Il ne fait pas confiance aux reconstructions , il préfère son sens du toucher .</t>
  </si>
  <si>
    <t>Non si fida del tatto , preferisce le congetture .</t>
  </si>
  <si>
    <t>He does not trust his touch , he prefers guesses .</t>
  </si>
  <si>
    <t>Il ne fait pas confiance à son sens du toucher , il préfère les suppositions .</t>
  </si>
  <si>
    <t>Non si fida delle congetture , preferisce il tatto .</t>
  </si>
  <si>
    <t>He does not trust guesses , he prefers his touch .</t>
  </si>
  <si>
    <t>Il ne fait pas confiance aux suppositions , il préfère son sens du toucher .</t>
  </si>
  <si>
    <t>Non si fida del gusto , preferisce le dicerie .</t>
  </si>
  <si>
    <t>He does not trust his taste , he prefers rumors .</t>
  </si>
  <si>
    <t>Il ne fait pas confiance à son sens du goût , il préfère les rumeurs .</t>
  </si>
  <si>
    <t>Non si fida delle dicerie , preferisce il gusto .</t>
  </si>
  <si>
    <t>He does not trust rumors , he prefers his taste .</t>
  </si>
  <si>
    <t>Il ne fait pas confiance aux rumeurs , il préfère son sens du goût .</t>
  </si>
  <si>
    <t>Non si fida del gusto , preferisce i sensi .</t>
  </si>
  <si>
    <t>He does not trust his taste , he prefers his senses .</t>
  </si>
  <si>
    <t>Il ne fait pas confiance à son sens du goût , il préfère ses sens .</t>
  </si>
  <si>
    <t>Non si fida dei sensi , preferisce il gusto .</t>
  </si>
  <si>
    <t>He does not trust his senses , he prefers his taste .</t>
  </si>
  <si>
    <t>Il ne fait pas confiance à ses sens , il préfère son sens du goût .</t>
  </si>
  <si>
    <t>Non si fida del gusto , preferisce i notiziari .</t>
  </si>
  <si>
    <t>He does not trust his taste , he prefers reports .</t>
  </si>
  <si>
    <t>Il ne fait pas confiance à son sens du goût , il préfère les rapports .</t>
  </si>
  <si>
    <t>Non si fida dei notiziari , preferisce il gusto .</t>
  </si>
  <si>
    <t>He does not trust reports , he prefers his taste .</t>
  </si>
  <si>
    <t>Il ne fait pas confiance aux rapports , il préfère son sens du goût .</t>
  </si>
  <si>
    <t>Non si fida del gusto , preferisce le ricostruzioni .</t>
  </si>
  <si>
    <t>He does not trust his taste , he prefers reconstructions .</t>
  </si>
  <si>
    <t>Il ne fait pas confiance à son sens du goût , il préfère les reconstructions .</t>
  </si>
  <si>
    <t>Non si fida delle ricostruzioni , preferisce il gusto .</t>
  </si>
  <si>
    <t>He does not trust reconstructions , he prefers his taste .</t>
  </si>
  <si>
    <t>Il ne fait pas confiance aux reconstructions , il préfère son sens du goût .</t>
  </si>
  <si>
    <t>Non si fida del gusto , preferisce le congetture .</t>
  </si>
  <si>
    <t>He does not trust his taste , he prefers guesses .</t>
  </si>
  <si>
    <t>Il ne fait pas confiance à son sens du goût , il préfère les suppositions .</t>
  </si>
  <si>
    <t>Non si fida delle congetture , preferisce il gusto .</t>
  </si>
  <si>
    <t>He does not trust guesses , he prefers his taste .</t>
  </si>
  <si>
    <t>Il ne fait pas confiance aux suppositions , il préfère son sens du goût .</t>
  </si>
  <si>
    <t>Non ama la gioia , preferisce la saggezza .</t>
  </si>
  <si>
    <t>He does not like joy , he prefers wisdom .</t>
  </si>
  <si>
    <t>Il n' aime pas la joie , il préfère la sagesse .</t>
  </si>
  <si>
    <t>Non ama la saggezza , preferisce la gioia .</t>
  </si>
  <si>
    <t>He does not like wisdom , he prefers joy .</t>
  </si>
  <si>
    <t>Il n' aime pas la sagesse , il préfère la joie .</t>
  </si>
  <si>
    <t>Non ama la gioia , preferisce le emozioni .</t>
  </si>
  <si>
    <t>He does not like joy , he prefers emotions .</t>
  </si>
  <si>
    <t>Il n' aime pas la joie , il préfère les émotions .</t>
  </si>
  <si>
    <t>Non ama le emozioni , preferisce la gioia .</t>
  </si>
  <si>
    <t>He does not like emotions , he prefers joy .</t>
  </si>
  <si>
    <t>Il n' aime pas les émotions , il préfère la joie .</t>
  </si>
  <si>
    <t>Non ama le emozioni , preferisce la saggezza .</t>
  </si>
  <si>
    <t>He does not like emotions , he prefers wisdom .</t>
  </si>
  <si>
    <t>Il n' aime pas les émotions , il préfère la sagesse .</t>
  </si>
  <si>
    <t>Non ama la gioia , preferisce la stupidità .</t>
  </si>
  <si>
    <t>He does not like joy , he prefers stupidity .</t>
  </si>
  <si>
    <t>Il n' aime pas la joie , il préfère la stupidité .</t>
  </si>
  <si>
    <t>Non ama la stupidità , preferisce la gioia .</t>
  </si>
  <si>
    <t>He does not like stupidity , he prefers joy .</t>
  </si>
  <si>
    <t>Il n' aime pas la stupidité , il préfère la joie .</t>
  </si>
  <si>
    <t>Adoro i granchi , eccetto il manzo .</t>
  </si>
  <si>
    <t>I like crabs , except beef .</t>
  </si>
  <si>
    <t>J' adore les crabes , sauf le boeuf .</t>
  </si>
  <si>
    <t>Non ama le emozioni , preferisce la stupidità .</t>
  </si>
  <si>
    <t>He does not like emotions , he prefers stupidity .</t>
  </si>
  <si>
    <t>Il n' aime pas les émotions , il préfère la stupidité .</t>
  </si>
  <si>
    <t>Non ama la gioia , preferisce la logica .</t>
  </si>
  <si>
    <t>He does not like joy , he prefers logic .</t>
  </si>
  <si>
    <t>Il n' aime pas la joie , il préfère la logique .</t>
  </si>
  <si>
    <t>Non ama la logica , preferisce la gioia .</t>
  </si>
  <si>
    <t>He does not like logic , he prefers joy .</t>
  </si>
  <si>
    <t>Il n' aime pas la logique , il préfère la joie .</t>
  </si>
  <si>
    <t>Non ama le emozioni , preferisce la logica .</t>
  </si>
  <si>
    <t>He does not like emotions , he prefers logic .</t>
  </si>
  <si>
    <t>Il n' aime pas les émotions , il préfère la logique .</t>
  </si>
  <si>
    <t>Non ama la gioia , preferisce i calcoli .</t>
  </si>
  <si>
    <t>He does not like joy , he prefers calculations .</t>
  </si>
  <si>
    <t>Il n' aime pas la joie , il préfère les calculs .</t>
  </si>
  <si>
    <t>Non ama i calcoli , preferisce la gioia .</t>
  </si>
  <si>
    <t>He does not like calculations , he prefers joy .</t>
  </si>
  <si>
    <t>Il n' aime pas les calculs , il préfère la joie .</t>
  </si>
  <si>
    <t>Adoro il manzo , eccetto i granchi .</t>
  </si>
  <si>
    <t>I like beef , except crabs .</t>
  </si>
  <si>
    <t>J' adore le boeuf , sauf les crabes .</t>
  </si>
  <si>
    <t>Non ama le emozioni , preferisce i calcoli .</t>
  </si>
  <si>
    <t>He does not like emotions , he prefers calculations .</t>
  </si>
  <si>
    <t>Il n' aime pas les émotions , il préfère les calculs .</t>
  </si>
  <si>
    <t>Non ama la paura , preferisce la saggezza .</t>
  </si>
  <si>
    <t>He does not like fear , he prefers wisdom .</t>
  </si>
  <si>
    <t>Il n' aime pas la peur , il préfère la sagesse .</t>
  </si>
  <si>
    <t>Non ama la saggezza , preferisce la paura .</t>
  </si>
  <si>
    <t>He does not like wisdom , he prefers fear .</t>
  </si>
  <si>
    <t>Il n' aime pas la sagesse , il préfère la peur .</t>
  </si>
  <si>
    <t>Non ama la paura , preferisce le emozioni .</t>
  </si>
  <si>
    <t>He does not like fear , he prefers emotions .</t>
  </si>
  <si>
    <t>Il n' aime pas la peur , il préfère les émotions .</t>
  </si>
  <si>
    <t>Non ama le emozioni , preferisce la paura .</t>
  </si>
  <si>
    <t>He does not like emotions , he prefers fear .</t>
  </si>
  <si>
    <t>Il n' aime pas les émotions , il préfère la peur .</t>
  </si>
  <si>
    <t>Non ama la paura , preferisce la stupidità .</t>
  </si>
  <si>
    <t>He does not like fear , he prefers stupidity .</t>
  </si>
  <si>
    <t>Il n' aime pas la peur , il préfère la stupidité .</t>
  </si>
  <si>
    <t>Non ama la stupidità , preferisce la paura .</t>
  </si>
  <si>
    <t>He does not like stupidity , he prefers fear .</t>
  </si>
  <si>
    <t>Il n' aime pas la stupidité , il préfère la peur .</t>
  </si>
  <si>
    <t>Non ama la paura , preferisce la logica .</t>
  </si>
  <si>
    <t>He does not like fear , he prefers logic .</t>
  </si>
  <si>
    <t>Il n' aime pas la peur , il préfère la logique .</t>
  </si>
  <si>
    <t>Non ama la logica , preferisce la paura .</t>
  </si>
  <si>
    <t>He does not like logic , he prefers fear .</t>
  </si>
  <si>
    <t>Il n' aime pas la logique , il préfère la peur .</t>
  </si>
  <si>
    <t>Non ama la paura , preferisce i calcoli .</t>
  </si>
  <si>
    <t>He does not like fear , he prefers calculations .</t>
  </si>
  <si>
    <t>Il n' aime pas la peur , il préfère les calculs .</t>
  </si>
  <si>
    <t>Non ama i calcoli , preferisce la paura .</t>
  </si>
  <si>
    <t>He does not like calculations , he prefers fear .</t>
  </si>
  <si>
    <t>Il n' aime pas les calculs , il préfère la peur .</t>
  </si>
  <si>
    <t>Non ama l' amore , preferisce la saggezza .</t>
  </si>
  <si>
    <t>He does not like love , he prefers wisdom .</t>
  </si>
  <si>
    <t>Il n' aime pas l' amour , il préfère la sagesse .</t>
  </si>
  <si>
    <t>Non ama la saggezza , preferisce l' amore .</t>
  </si>
  <si>
    <t>He does not like wisdom , he prefers love .</t>
  </si>
  <si>
    <t>Il n' aime pas la sagesse , il préfère l' amour .</t>
  </si>
  <si>
    <t>Non ama l' amore , preferisce le emozioni .</t>
  </si>
  <si>
    <t>He does not like love , he prefers emotions .</t>
  </si>
  <si>
    <t>Il n' aime pas l' amour , il préfère les émotions .</t>
  </si>
  <si>
    <t>Non ama le emozioni , preferisce l' amore .</t>
  </si>
  <si>
    <t>He does not like emotions , he prefers love .</t>
  </si>
  <si>
    <t>Il n' aime pas les émotions , il préfère l' amour .</t>
  </si>
  <si>
    <t>Non ama l' amore , preferisce la stupidità .</t>
  </si>
  <si>
    <t>He does not like love , he prefers stupidity .</t>
  </si>
  <si>
    <t>Il n' aime pas l' amour , il préfère la stupidité .</t>
  </si>
  <si>
    <t>Non ama la stupidità , preferisce l' amore .</t>
  </si>
  <si>
    <t>He does not like stupidity , he prefers love .</t>
  </si>
  <si>
    <t>Il n' aime pas la stupidité , il préfère l' amour .</t>
  </si>
  <si>
    <t>Non ama l' amore , preferisce la logica .</t>
  </si>
  <si>
    <t>He does not like love , he prefers logic .</t>
  </si>
  <si>
    <t>Il n' aime pas l' amour , il préfère la logique .</t>
  </si>
  <si>
    <t>Non ama la logica , preferisce l' amore .</t>
  </si>
  <si>
    <t>He does not like logic , he prefers love .</t>
  </si>
  <si>
    <t>Il n' aime pas la logique , il préfère l' amour .</t>
  </si>
  <si>
    <t>Non ama l' amore , preferisce i calcoli .</t>
  </si>
  <si>
    <t>He does not like love , he prefers calculations .</t>
  </si>
  <si>
    <t>Il n' aime pas l' amour , il préfère les calculs .</t>
  </si>
  <si>
    <t>Non ama i calcoli , preferisce l' amore .</t>
  </si>
  <si>
    <t>He does not like calculations , he prefers love .</t>
  </si>
  <si>
    <t>Il n' aime pas les calculs , il préfère l' amour .</t>
  </si>
  <si>
    <t>Non ama la tristezza , preferisce la saggezza .</t>
  </si>
  <si>
    <t>He does not like sadness , he prefers wisdom .</t>
  </si>
  <si>
    <t>Il n' aime pas la tristesse , il préfère la sagesse .</t>
  </si>
  <si>
    <t>Non ama la saggezza , preferisce la tristezza .</t>
  </si>
  <si>
    <t>He does not like wisdom , he prefers sadness .</t>
  </si>
  <si>
    <t>Il n' aime pas la sagesse , il préfère la tristesse .</t>
  </si>
  <si>
    <t>Non ama la tristezza , preferisce le emozioni .</t>
  </si>
  <si>
    <t>He does not like sadness , he prefers emotions .</t>
  </si>
  <si>
    <t>Il n' aime pas la tristesse , il préfère les émotions .</t>
  </si>
  <si>
    <t>Non ama le emozioni , preferisce la tristezza .</t>
  </si>
  <si>
    <t>He does not like emotions , he prefers sadness .</t>
  </si>
  <si>
    <t>Il n' aime pas les émotions , il préfère la tristesse .</t>
  </si>
  <si>
    <t>Non ama la tristezza , preferisce la stupidità .</t>
  </si>
  <si>
    <t>He does not like sadness , he prefers stupidity .</t>
  </si>
  <si>
    <t>Il n' aime pas la tristesse , il préfère la stupidité .</t>
  </si>
  <si>
    <t>Non ama la stupidità , preferisce la tristezza .</t>
  </si>
  <si>
    <t>He does not like stupidity , he prefers sadness .</t>
  </si>
  <si>
    <t>Il n' aime pas la stupidité , il préfère la tristesse .</t>
  </si>
  <si>
    <t>Non ama la tristezza , preferisce la logica .</t>
  </si>
  <si>
    <t>He does not like sadness , he prefers logic .</t>
  </si>
  <si>
    <t>Il n' aime pas la tristesse , il préfère la logique .</t>
  </si>
  <si>
    <t>Non ama la logica , preferisce la tristezza .</t>
  </si>
  <si>
    <t>He does not like logic , he prefers sadness .</t>
  </si>
  <si>
    <t>Il n' aime pas la logique , il préfère la tristesse .</t>
  </si>
  <si>
    <t>Non ama la tristezza , preferisce i calcoli .</t>
  </si>
  <si>
    <t>He does not like sadness , he prefers calculations .</t>
  </si>
  <si>
    <t>Il n' aime pas la tristesse , il préfère les calculs .</t>
  </si>
  <si>
    <t>Non ama i calcoli , preferisce la tristezza .</t>
  </si>
  <si>
    <t>He does not like calculations , he prefers sadness .</t>
  </si>
  <si>
    <t>Il n' aime pas les calculs , il préfère la tristesse .</t>
  </si>
  <si>
    <t>Non amo i sussidiari , preferisco la musica .</t>
  </si>
  <si>
    <t>I do not like textbooks , I prefer music .</t>
  </si>
  <si>
    <t>Je n' aime pas les manuels scolaires , je préfère la musique .</t>
  </si>
  <si>
    <t>Non amo la musica , preferisco i sussidiari .</t>
  </si>
  <si>
    <t>I do not like music , I prefer textbooks .</t>
  </si>
  <si>
    <t>Je n' aime pas la musique , je préfère les manuels scolaires .</t>
  </si>
  <si>
    <t>Non amo i sussidiari , preferisco i libri .</t>
  </si>
  <si>
    <t>I do not like textbooks , I prefer books .</t>
  </si>
  <si>
    <t>Je n' aime pas les manuels scolaires , je préfère les livres .</t>
  </si>
  <si>
    <t>Non amo i libri , preferisco i sussidiari .</t>
  </si>
  <si>
    <t>I do not like books , I prefer textbooks .</t>
  </si>
  <si>
    <t>Je n' aime pas les livres , je préfère les manuels scolaires .</t>
  </si>
  <si>
    <t>Non amo i libri , preferisco la musica .</t>
  </si>
  <si>
    <t>I do not like books , I prefer music .</t>
  </si>
  <si>
    <t>Je n' aime pas les livres , je préfère la musique .</t>
  </si>
  <si>
    <t>Non amo i sussidiari , preferisco il cinema .</t>
  </si>
  <si>
    <t>I do not like textbooks , I prefer films .</t>
  </si>
  <si>
    <t>Je n' aime pas les manuels scolaires , je préfère le cinéma .</t>
  </si>
  <si>
    <t>Non amo il cinema , preferisco i sussidiari .</t>
  </si>
  <si>
    <t>I do not like films , I prefer textbooks .</t>
  </si>
  <si>
    <t>Je n' aime pas le cinéma , je préfère les manuels scolaires .</t>
  </si>
  <si>
    <t>Non amo i libri , preferisco il cinema .</t>
  </si>
  <si>
    <t>I do not like books , I prefer films .</t>
  </si>
  <si>
    <t>Je n' aime pas les livres , je préfère le cinéma .</t>
  </si>
  <si>
    <t>Non amo i sussidiari , preferisco i cartoni animati .</t>
  </si>
  <si>
    <t>I do not like textbooks , I prefer cartoons .</t>
  </si>
  <si>
    <t>Je n' aime pas les manuels scolaires , je préfère les dessins animés .</t>
  </si>
  <si>
    <t>Non amo i cartoni animati , preferisco i sussidiari .</t>
  </si>
  <si>
    <t>I do not like cartoons , I prefer textbooks .</t>
  </si>
  <si>
    <t>Je n' aime pas les dessins animés , je préfère les manuels scolaires .</t>
  </si>
  <si>
    <t>Non amo i libri , preferisco i cartoni animati .</t>
  </si>
  <si>
    <t>I do not like books , I prefer cartoons .</t>
  </si>
  <si>
    <t>Je n' aime pas les livres , je préfère les dessins animés .</t>
  </si>
  <si>
    <t>Non amo i sussidiari , preferisco i dipinti .</t>
  </si>
  <si>
    <t>I do not like textbooks , I prefer paintings .</t>
  </si>
  <si>
    <t>Je n' aime pas les manuels scolaires , je préfère les peintures .</t>
  </si>
  <si>
    <t>Non amo i dipinti , preferisco i sussidiari .</t>
  </si>
  <si>
    <t>I do not like paintings , I prefer textbooks .</t>
  </si>
  <si>
    <t>Je n' aime pas les peintures , je préfère les manuels scolaires .</t>
  </si>
  <si>
    <t>Non amo i libri , preferisco i dipinti .</t>
  </si>
  <si>
    <t>I do not like books , I prefer paintings .</t>
  </si>
  <si>
    <t>Je n' aime pas les livres , je préfère les peintures .</t>
  </si>
  <si>
    <t>Non amo i saggi , preferisco la musica .</t>
  </si>
  <si>
    <t>I do not like essays , I prefer music .</t>
  </si>
  <si>
    <t>Je n' aime pas les essais , je préfère la musique .</t>
  </si>
  <si>
    <t>Non amo la musica , preferisco i saggi .</t>
  </si>
  <si>
    <t>I do not like music , I prefer essays .</t>
  </si>
  <si>
    <t>Je n' aime pas la musique , je préfère les essais .</t>
  </si>
  <si>
    <t>Non amo i saggi , preferisco i libri .</t>
  </si>
  <si>
    <t>I do not like essays , I prefer books .</t>
  </si>
  <si>
    <t>Je n' aime pas les essais , je préfère les livres .</t>
  </si>
  <si>
    <t>Non amo i libri , preferisco i saggi .</t>
  </si>
  <si>
    <t>I do not like books , I prefer essays .</t>
  </si>
  <si>
    <t>Je n' aime pas les livres , je préfère les essais .</t>
  </si>
  <si>
    <t>Non amo i saggi , preferisco il cinema .</t>
  </si>
  <si>
    <t>I do not like essays , I prefer films .</t>
  </si>
  <si>
    <t>Je n' aime pas les essais , je préfère le cinéma .</t>
  </si>
  <si>
    <t>Non amo il cinema , preferisco i saggi .</t>
  </si>
  <si>
    <t>I do not like films , I prefer essays .</t>
  </si>
  <si>
    <t>Je n' aime pas le cinéma , je préfère les essais .</t>
  </si>
  <si>
    <t>Non amo i saggi , preferisco i cartoni animati .</t>
  </si>
  <si>
    <t>I do not like essays , I prefer cartoons .</t>
  </si>
  <si>
    <t>Je n' aime pas les essais , je préfère les dessins animés .</t>
  </si>
  <si>
    <t>Non amo i cartoni animati , preferisco i saggi .</t>
  </si>
  <si>
    <t>I do not like cartoons , I prefer essays .</t>
  </si>
  <si>
    <t>Je n' aime pas les dessins animés , je préfère les essais .</t>
  </si>
  <si>
    <t>Non amo i saggi , preferisco i dipinti .</t>
  </si>
  <si>
    <t>I do not like essays , I prefer paintings .</t>
  </si>
  <si>
    <t>Je n' aime pas les essais , je préfère les peintures .</t>
  </si>
  <si>
    <t>Non amo i dipinti , preferisco i saggi .</t>
  </si>
  <si>
    <t>I do not like paintings , I prefer essays .</t>
  </si>
  <si>
    <t>Je n' aime pas les peintures , je préfère les essais .</t>
  </si>
  <si>
    <t>Non amo i romanzi , preferisco la musica .</t>
  </si>
  <si>
    <t>I do not like novels , I prefer music .</t>
  </si>
  <si>
    <t>Je n' aime pas les romans , je préfère la musique .</t>
  </si>
  <si>
    <t>Non amo la musica , preferisco i romanzi .</t>
  </si>
  <si>
    <t>I do not like music , I prefer novels .</t>
  </si>
  <si>
    <t>Je n' aime pas la musique , je préfère les romans .</t>
  </si>
  <si>
    <t>Non amo i romanzi , preferisco i libri .</t>
  </si>
  <si>
    <t>I do not like novels , I prefer books .</t>
  </si>
  <si>
    <t>Je n' aime pas les romans , je préfère les livres .</t>
  </si>
  <si>
    <t>Non amo i libri , preferisco i romanzi .</t>
  </si>
  <si>
    <t>I do not like books , I prefer novels .</t>
  </si>
  <si>
    <t>Je n' aime pas les livres , je préfère les romans .</t>
  </si>
  <si>
    <t>Non amo i romanzi , preferisco il cinema .</t>
  </si>
  <si>
    <t>I do not like novels , I prefer films .</t>
  </si>
  <si>
    <t>Je n' aime pas les romans , je préfère le cinéma .</t>
  </si>
  <si>
    <t>Non amo il cinema , preferisco i romanzi .</t>
  </si>
  <si>
    <t>I do not like films , I prefer novels .</t>
  </si>
  <si>
    <t>Je n' aime pas le cinéma , je préfère les romans .</t>
  </si>
  <si>
    <t>Non amo i romanzi , preferisco i cartoni animati .</t>
  </si>
  <si>
    <t>I do not like novels , I prefer cartoons .</t>
  </si>
  <si>
    <t>Je n' aime pas les romans , je préfère les dessins animés .</t>
  </si>
  <si>
    <t>Non amo i cartoni animati , preferisco i romanzi .</t>
  </si>
  <si>
    <t>I do not like cartoons , I prefer novels .</t>
  </si>
  <si>
    <t>Je n' aime pas les dessins animés , je préfère les romans .</t>
  </si>
  <si>
    <t>Non amo i romanzi , preferisco i dipinti .</t>
  </si>
  <si>
    <t>I do not like novels , I prefer paintings .</t>
  </si>
  <si>
    <t>Je n' aime pas les romans , je préfère les peintures .</t>
  </si>
  <si>
    <t>Non amo i dipinti , preferisco i romanzi .</t>
  </si>
  <si>
    <t>I do not like paintings , I prefer novels .</t>
  </si>
  <si>
    <t>Je n' aime pas les peintures , je préfère les romans .</t>
  </si>
  <si>
    <t>Non amo i manuali , preferisco la musica .</t>
  </si>
  <si>
    <t>I do not like handbooks , I prefer music .</t>
  </si>
  <si>
    <t>Je n' aime pas les manuels , je préfère la musique .</t>
  </si>
  <si>
    <t>Non amo la musica , preferisco i manuali .</t>
  </si>
  <si>
    <t>I do not like music , I prefer handbooks .</t>
  </si>
  <si>
    <t>Je n' aime pas la musique , je préfère les manuels .</t>
  </si>
  <si>
    <t>Non amo i manuali , preferisco i libri .</t>
  </si>
  <si>
    <t>I do not like handbooks , I prefer books .</t>
  </si>
  <si>
    <t>Je n' aime pas les manuels , je préfère les livres .</t>
  </si>
  <si>
    <t>Non amo i libri , preferisco i manuali .</t>
  </si>
  <si>
    <t>I do not like books , I prefer handbooks .</t>
  </si>
  <si>
    <t>Je n' aime pas les livres , je préfère les manuels .</t>
  </si>
  <si>
    <t>Non amo i manuali , preferisco il cinema .</t>
  </si>
  <si>
    <t>I do not like handbooks , I prefer films .</t>
  </si>
  <si>
    <t>Je n' aime pas les manuels , je préfère le cinéma .</t>
  </si>
  <si>
    <t>Non amo il cinema , preferisco i manuali .</t>
  </si>
  <si>
    <t>I do not like films , I prefer handbooks .</t>
  </si>
  <si>
    <t>Je n' aime pas le cinéma , je préfère les manuels .</t>
  </si>
  <si>
    <t>Non amo i manuali , preferisco i cartoni animati .</t>
  </si>
  <si>
    <t>I do not like handbooks , I prefer cartoons .</t>
  </si>
  <si>
    <t>Je n' aime pas les manuels , je préfère les dessins animés .</t>
  </si>
  <si>
    <t>Non amo i cartoni animati , preferisco i manuali .</t>
  </si>
  <si>
    <t>I do not like cartoons , I prefer handbooks .</t>
  </si>
  <si>
    <t>Je n' aime pas les dessins animés , je préfère les manuels .</t>
  </si>
  <si>
    <t>Non amo i manuali , preferisco i dipinti .</t>
  </si>
  <si>
    <t>I do not like handbooks , I prefer paintings .</t>
  </si>
  <si>
    <t>Je n' aime pas les manuels , je préfère les peintures .</t>
  </si>
  <si>
    <t>Non amo i dipinti , preferisco i manuali .</t>
  </si>
  <si>
    <t>I do not like paintings , I prefer handbooks .</t>
  </si>
  <si>
    <t>Je n' aime pas les peintures , je préfère les manuels .</t>
  </si>
  <si>
    <t>Non amo gli impiegati , preferisco le fabbriche .</t>
  </si>
  <si>
    <t>I do not like clerks , I prefer factories .</t>
  </si>
  <si>
    <t>Je n' aime pas les greffiers , je préfère les usines .</t>
  </si>
  <si>
    <t>Non amo le fabbriche , preferisco gli impiegati .</t>
  </si>
  <si>
    <t>I do not like factories , I prefer clerks .</t>
  </si>
  <si>
    <t>Je n' aime pas les usines , je préfère les greffiers .</t>
  </si>
  <si>
    <t>Non amo gli impiegati , preferisco i lavoratori .</t>
  </si>
  <si>
    <t>I do not like clerks , I prefer workers .</t>
  </si>
  <si>
    <t>Je n' aime pas les greffiers , je préfère les travailleurs .</t>
  </si>
  <si>
    <t>Non amo i lavoratori , preferisco gli impiegati .</t>
  </si>
  <si>
    <t>I do not like workers , I prefer clerks .</t>
  </si>
  <si>
    <t>Je n' aime pas les travailleurs , je préfère les greffiers .</t>
  </si>
  <si>
    <t>Non amo i lavoratori , preferisco le fabbriche .</t>
  </si>
  <si>
    <t>I do not like workers , I prefer factories .</t>
  </si>
  <si>
    <t>Je n' aime pas les travailleurs , je préfère les usines .</t>
  </si>
  <si>
    <t>Non amo gli impiegati , preferisco i ristoranti .</t>
  </si>
  <si>
    <t>I do not like clerks , I prefer restaurants .</t>
  </si>
  <si>
    <t>Je n' aime pas les greffiers , je préfère les restaurants .</t>
  </si>
  <si>
    <t>Non amo i ristoranti , preferisco gli impiegati .</t>
  </si>
  <si>
    <t>I do not like restaurants , I prefer clerks .</t>
  </si>
  <si>
    <t>Je n' aime pas les restaurants , je préfère les greffiers .</t>
  </si>
  <si>
    <t>Non amo i lavoratori , preferisco i ristoranti .</t>
  </si>
  <si>
    <t>I do not like workers , I prefer restaurants .</t>
  </si>
  <si>
    <t>Je n' aime pas les travailleurs , je préfère les restaurants .</t>
  </si>
  <si>
    <t>Non amo gli impiegati , preferisco le scuole .</t>
  </si>
  <si>
    <t>I do not like clerks , I prefer schools .</t>
  </si>
  <si>
    <t>Je n' aime pas les greffiers , je préfère les écoles .</t>
  </si>
  <si>
    <t>Non amo le scuole , preferisco gli impiegati .</t>
  </si>
  <si>
    <t>I do not like schools , I prefer clerks .</t>
  </si>
  <si>
    <t>Je n' aime pas les écoles , je préfère les greffiers .</t>
  </si>
  <si>
    <t>Non amo i lavoratori , preferisco le scuole .</t>
  </si>
  <si>
    <t>I do not like workers , I prefer schools .</t>
  </si>
  <si>
    <t>Je n' aime pas les travailleurs , je préfère les écoles .</t>
  </si>
  <si>
    <t>Non amo gli impiegati , preferisco gli uffici .</t>
  </si>
  <si>
    <t>I do not like clerks , I prefer offices .</t>
  </si>
  <si>
    <t>Je n' aime pas les greffiers , je préfère les bureaux .</t>
  </si>
  <si>
    <t>Non amo gli uffici , preferisco gli impiegati .</t>
  </si>
  <si>
    <t>I do not like offices , I prefer clerks .</t>
  </si>
  <si>
    <t>Je n' aime pas les bureaux , je préfère les greffiers .</t>
  </si>
  <si>
    <t>Non amo i lavoratori , preferisco gli uffici .</t>
  </si>
  <si>
    <t>I do not like workers , I prefer offices .</t>
  </si>
  <si>
    <t>Je n' aime pas les travailleurs , je préfère les bureaux .</t>
  </si>
  <si>
    <t>Non amo i camerieri , preferisco le fabbriche .</t>
  </si>
  <si>
    <t>I do not like waiters , I prefer factories .</t>
  </si>
  <si>
    <t>Je n' aime pas les serveurs , je préfère les usines .</t>
  </si>
  <si>
    <t>Non amo le fabbriche , preferisco i camerieri .</t>
  </si>
  <si>
    <t>I do not like factories , I prefer waiters .</t>
  </si>
  <si>
    <t>Je n' aime pas les usines , je préfère les serveurs .</t>
  </si>
  <si>
    <t>Non amo i camerieri , preferisco i lavoratori .</t>
  </si>
  <si>
    <t>I do not like waiters , I prefer workers .</t>
  </si>
  <si>
    <t>Je n' aime pas les serveurs , je préfère les travailleurs .</t>
  </si>
  <si>
    <t>Non amo i lavoratori , preferisco i camerieri .</t>
  </si>
  <si>
    <t>I do not like workers , I prefer waiters .</t>
  </si>
  <si>
    <t>Je n' aime pas les travailleurs , je préfère les serveurs .</t>
  </si>
  <si>
    <t>Non amo i camerieri , preferisco i ristoranti .</t>
  </si>
  <si>
    <t>I do not like waiters , I prefer restaurants .</t>
  </si>
  <si>
    <t>Je n' aime pas les serveurs , je préfère les restaurants .</t>
  </si>
  <si>
    <t>Non amo i ristoranti , preferisco i camerieri .</t>
  </si>
  <si>
    <t>I do not like restaurants , I prefer waiters .</t>
  </si>
  <si>
    <t>Je n' aime pas les restaurants , je préfère les serveurs .</t>
  </si>
  <si>
    <t>Non amo i camerieri , preferisco le scuole .</t>
  </si>
  <si>
    <t>I do not like waiters , I prefer schools .</t>
  </si>
  <si>
    <t>Je n' aime pas les serveurs , je préfère les écoles .</t>
  </si>
  <si>
    <t>Non amo le scuole , preferisco i camerieri .</t>
  </si>
  <si>
    <t>I do not like schools , I prefer waiters .</t>
  </si>
  <si>
    <t>Je n' aime pas les écoles , je préfère les serveurs .</t>
  </si>
  <si>
    <t>Non amo i camerieri , preferisco gli uffici .</t>
  </si>
  <si>
    <t>I do not like waiters , I prefer offices .</t>
  </si>
  <si>
    <t>Je n' aime pas les serveurs , je préfère les bureaux .</t>
  </si>
  <si>
    <t>Non amo gli uffici , preferisco i camerieri .</t>
  </si>
  <si>
    <t>I do not like offices , I prefer waiters .</t>
  </si>
  <si>
    <t>Je n' aime pas les bureaux , je préfère les serveurs .</t>
  </si>
  <si>
    <t>Non amo i guardiani , preferisco le fabbriche .</t>
  </si>
  <si>
    <t>I do not like caretakers , I prefer factories .</t>
  </si>
  <si>
    <t>Je n' aime pas les gardiens , je préfère les usines .</t>
  </si>
  <si>
    <t>Non amo le fabbriche , preferisco i guardiani .</t>
  </si>
  <si>
    <t>I do not like factories , I prefer caretakers .</t>
  </si>
  <si>
    <t>Je n' aime pas les usines , je préfère les gardiens .</t>
  </si>
  <si>
    <t>Non amo i guardiani , preferisco i lavoratori .</t>
  </si>
  <si>
    <t>I do not like caretakers , I prefer workers .</t>
  </si>
  <si>
    <t>Je n' aime pas les gardiens , je préfère les travailleurs .</t>
  </si>
  <si>
    <t>Non amo i lavoratori , preferisco i guardiani .</t>
  </si>
  <si>
    <t>I do not like workers , I prefer caretakers .</t>
  </si>
  <si>
    <t>Je n' aime pas les travailleurs , je préfère les gardiens .</t>
  </si>
  <si>
    <t>Non amo i guardiani , preferisco i ristoranti .</t>
  </si>
  <si>
    <t>I do not like caretakers , I prefer restaurants .</t>
  </si>
  <si>
    <t>Je n' aime pas les gardiens , je préfère les restaurants .</t>
  </si>
  <si>
    <t>Non amo i ristoranti , preferisco i guardiani .</t>
  </si>
  <si>
    <t>I do not like restaurants , I prefer caretakers .</t>
  </si>
  <si>
    <t>Je n' aime pas les restaurants , je préfère les gardiens .</t>
  </si>
  <si>
    <t>Non amo i guardiani , preferisco le scuole .</t>
  </si>
  <si>
    <t>I do not like caretakers , I prefer schools .</t>
  </si>
  <si>
    <t>Je n' aime pas les gardiens , je préfère les écoles .</t>
  </si>
  <si>
    <t>Non amo le scuole , preferisco i guardiani .</t>
  </si>
  <si>
    <t>I do not like schools , I prefer caretakers .</t>
  </si>
  <si>
    <t>Je n' aime pas les écoles , je préfère les gardiens .</t>
  </si>
  <si>
    <t>Non amo i guardiani , preferisco gli uffici .</t>
  </si>
  <si>
    <t>I do not like caretakers , I prefer offices .</t>
  </si>
  <si>
    <t>Je n' aime pas les gardiens , je préfère les bureaux .</t>
  </si>
  <si>
    <t>Non amo gli uffici , preferisco i guardiani .</t>
  </si>
  <si>
    <t>I do not like offices , I prefer caretakers .</t>
  </si>
  <si>
    <t>Je n' aime pas les bureaux , je préfère les gardiens .</t>
  </si>
  <si>
    <t>Non amo i professori , preferisco le fabbriche .</t>
  </si>
  <si>
    <t>I do not like professors , I prefer factories .</t>
  </si>
  <si>
    <t>Je n' aime pas les professeurs , je préfère les usines .</t>
  </si>
  <si>
    <t>Non amo le fabbriche , preferisco i professori .</t>
  </si>
  <si>
    <t>I do not like factories , I prefer professors .</t>
  </si>
  <si>
    <t>Je n' aime pas les usines , je préfère les professeurs .</t>
  </si>
  <si>
    <t>Non amo i professori , preferisco i lavoratori .</t>
  </si>
  <si>
    <t>I do not like professors , I prefer workers .</t>
  </si>
  <si>
    <t>Je n' aime pas les professeurs , je préfère les travailleurs .</t>
  </si>
  <si>
    <t>Non amo i lavoratori , preferisco i professori .</t>
  </si>
  <si>
    <t>I do not like workers , I prefer professors .</t>
  </si>
  <si>
    <t>Je n' aime pas les travailleurs , je préfère les professeurs .</t>
  </si>
  <si>
    <t>Non amo i professori , preferisco i ristoranti .</t>
  </si>
  <si>
    <t>I do not like professors , I prefer restaurants .</t>
  </si>
  <si>
    <t>Je n' aime pas les professeurs , je préfère les restaurants .</t>
  </si>
  <si>
    <t>Non amo i ristoranti , preferisco i professori .</t>
  </si>
  <si>
    <t>I do not like restaurants , I prefer professors .</t>
  </si>
  <si>
    <t>Je n' aime pas les restaurants , je préfère les professeurs .</t>
  </si>
  <si>
    <t>Non amo i professori , preferisco le scuole .</t>
  </si>
  <si>
    <t>I do not like professors , I prefer schools .</t>
  </si>
  <si>
    <t>Je n' aime pas les professeurs , je préfère les écoles .</t>
  </si>
  <si>
    <t>Non amo le scuole , preferisco i professori .</t>
  </si>
  <si>
    <t>I do not like schools , I prefer professors .</t>
  </si>
  <si>
    <t>Je n' aime pas les écoles , je préfère les professeurs .</t>
  </si>
  <si>
    <t>Non amo i professori , preferisco gli uffici .</t>
  </si>
  <si>
    <t>I do not like professors , I prefer offices .</t>
  </si>
  <si>
    <t>Je n' aime pas les professeurs , je préfère les bureaux .</t>
  </si>
  <si>
    <t>Non amo gli uffici , preferisco i professori .</t>
  </si>
  <si>
    <t>I do not like offices , I prefer professors .</t>
  </si>
  <si>
    <t>Je n' aime pas les bureaux , je préfère les professeurs .</t>
  </si>
  <si>
    <t>Non amo i biologi , preferisco gli impiegati .</t>
  </si>
  <si>
    <t>I do not like biologists , I prefer clerks .</t>
  </si>
  <si>
    <t>Je n' aime pas les biologistes , je préfère les greffiers .</t>
  </si>
  <si>
    <t>Non amo gli impiegati , preferisco i biologi .</t>
  </si>
  <si>
    <t>I do not like clerks , I prefer biologists .</t>
  </si>
  <si>
    <t>Je n' aime pas les greffiers , je préfère les biologistes .</t>
  </si>
  <si>
    <t>Non amo i biologi , preferisco gli scienziati .</t>
  </si>
  <si>
    <t>I do not like biologists , I prefer scientists .</t>
  </si>
  <si>
    <t>Je n' aime pas les biologistes , je préfère les scientifiques .</t>
  </si>
  <si>
    <t>Non amo gli scienziati , preferisco i biologi .</t>
  </si>
  <si>
    <t>I do not like scientists , I prefer biologists .</t>
  </si>
  <si>
    <t>Je n' aime pas les scientifiques , je préfère les biologistes .</t>
  </si>
  <si>
    <t>Non amo gli scienziati , preferisco gli impiegati .</t>
  </si>
  <si>
    <t>I do not like scientists , I prefer clerks .</t>
  </si>
  <si>
    <t>Je n' aime pas les scientifiques , je préfère les greffiers .</t>
  </si>
  <si>
    <t>Non amo i biologi , preferisco i camerieri .</t>
  </si>
  <si>
    <t>I do not like biologists , I prefer waiters .</t>
  </si>
  <si>
    <t>Je n' aime pas les biologistes , je préfère les serveurs .</t>
  </si>
  <si>
    <t>Non amo i camerieri , preferisco i biologi .</t>
  </si>
  <si>
    <t>I do not like waiters , I prefer biologists .</t>
  </si>
  <si>
    <t>Je n' aime pas les serveurs , je préfère les biologistes .</t>
  </si>
  <si>
    <t>Non amo gli scienziati , preferisco i camerieri .</t>
  </si>
  <si>
    <t>I do not like scientists , I prefer waiters .</t>
  </si>
  <si>
    <t>Je n' aime pas les scientifiques , je préfère les serveurs .</t>
  </si>
  <si>
    <t>Non amo i biologi , preferisco i guardiani .</t>
  </si>
  <si>
    <t>I do not like biologists , I prefer caretakers .</t>
  </si>
  <si>
    <t>Je n' aime pas les biologistes , je préfère les gardiens .</t>
  </si>
  <si>
    <t>Non amo i guardiani , preferisco i biologi .</t>
  </si>
  <si>
    <t>I do not like caretakers , I prefer biologists .</t>
  </si>
  <si>
    <t>Je n' aime pas les gardiens , je préfère les biologistes .</t>
  </si>
  <si>
    <t>Non amo gli scienziati , preferisco i guardiani .</t>
  </si>
  <si>
    <t>I do not like scientists , I prefer caretakers .</t>
  </si>
  <si>
    <t>Je n' aime pas les scientifiques , je préfère les gardiens .</t>
  </si>
  <si>
    <t>Non amo i biologi , preferisco i portieri .</t>
  </si>
  <si>
    <t>I do not like biologists , I prefer janitors .</t>
  </si>
  <si>
    <t>Je n' aime pas les biologistes , je préfère les concierges .</t>
  </si>
  <si>
    <t>Non amo i portieri , preferisco i biologi .</t>
  </si>
  <si>
    <t>I do not like janitors , I prefer biologists .</t>
  </si>
  <si>
    <t>Je n' aime pas les concierges , je préfère les biologistes .</t>
  </si>
  <si>
    <t>Adoro le ostriche , eccetto il pollo .</t>
  </si>
  <si>
    <t>I like oysters , except chicken .</t>
  </si>
  <si>
    <t>J' adore les huîtres , sauf le poulet .</t>
  </si>
  <si>
    <t>Non amo gli scienziati , preferisco i portieri .</t>
  </si>
  <si>
    <t>I do not like scientists , I prefer janitors .</t>
  </si>
  <si>
    <t>Je n' aime pas les scientifiques , je préfère les concierges .</t>
  </si>
  <si>
    <t>Non amo i genetisti , preferisco gli impiegati .</t>
  </si>
  <si>
    <t>I do not like geneticists , I prefer clerks .</t>
  </si>
  <si>
    <t>Je n' aime pas les généticiens , je préfère les greffiers .</t>
  </si>
  <si>
    <t>Non amo gli impiegati , preferisco i genetisti .</t>
  </si>
  <si>
    <t>I do not like clerks , I prefer geneticists .</t>
  </si>
  <si>
    <t>Je n' aime pas les greffiers , je préfère les généticiens .</t>
  </si>
  <si>
    <t>Non amo i genetisti , preferisco gli scienziati .</t>
  </si>
  <si>
    <t>I do not like geneticists , I prefer scientists .</t>
  </si>
  <si>
    <t>Je n' aime pas les généticiens , je préfère les scientifiques .</t>
  </si>
  <si>
    <t>Non amo gli scienziati , preferisco i genetisti .</t>
  </si>
  <si>
    <t>I do not like scientists , I prefer geneticists .</t>
  </si>
  <si>
    <t>Je n' aime pas les scientifiques , je préfère les généticiens .</t>
  </si>
  <si>
    <t>Non amo i genetisti , preferisco i camerieri .</t>
  </si>
  <si>
    <t>I do not like geneticists , I prefer waiters .</t>
  </si>
  <si>
    <t>Je n' aime pas les généticiens , je préfère les serveurs .</t>
  </si>
  <si>
    <t>Non amo i camerieri , preferisco i genetisti .</t>
  </si>
  <si>
    <t>I do not like waiters , I prefer geneticists .</t>
  </si>
  <si>
    <t>Je n' aime pas les serveurs , je préfère les généticiens .</t>
  </si>
  <si>
    <t>Adoro il pollo , eccetto le ostriche .</t>
  </si>
  <si>
    <t>I like chicken , except oysters .</t>
  </si>
  <si>
    <t>J' adore le poulet , sauf les huîtres .</t>
  </si>
  <si>
    <t>Non amo i genetisti , preferisco i guardiani .</t>
  </si>
  <si>
    <t>I do not like geneticists , I prefer caretakers .</t>
  </si>
  <si>
    <t>Je n' aime pas les généticiens , je préfère les gardiens .</t>
  </si>
  <si>
    <t>Non amo i guardiani , preferisco i genetisti .</t>
  </si>
  <si>
    <t>I do not like caretakers , I prefer geneticists .</t>
  </si>
  <si>
    <t>Je n' aime pas les gardiens , je préfère les généticiens .</t>
  </si>
  <si>
    <t>Non amo i genetisti , preferisco i portieri .</t>
  </si>
  <si>
    <t>I do not like geneticists , I prefer janitors .</t>
  </si>
  <si>
    <t>Je n' aime pas les généticiens , je préfère les concierges .</t>
  </si>
  <si>
    <t>Non amo i portieri , preferisco i genetisti .</t>
  </si>
  <si>
    <t>I do not like janitors , I prefer geneticists .</t>
  </si>
  <si>
    <t>Je n' aime pas les concierges , je préfère les généticiens .</t>
  </si>
  <si>
    <t>Adoro le ostriche , eccetto i prodotti del mare .</t>
  </si>
  <si>
    <t>I like oysters , except seafood .</t>
  </si>
  <si>
    <t>J' adore les huîtres , sauf les produits de la mer .</t>
  </si>
  <si>
    <t>Non amo gli astronomi , preferisco gli impiegati .</t>
  </si>
  <si>
    <t>I do not like astronomers , I prefer clerks .</t>
  </si>
  <si>
    <t>Je n' aime pas les astronomes , je préfère les greffiers .</t>
  </si>
  <si>
    <t>Non amo gli impiegati , preferisco gli astronomi .</t>
  </si>
  <si>
    <t>I do not like clerks , I prefer astronomers .</t>
  </si>
  <si>
    <t>Je n' aime pas les greffiers , je préfère les astronomes .</t>
  </si>
  <si>
    <t>Non amo gli astronomi , preferisco gli scienziati .</t>
  </si>
  <si>
    <t>I do not like astronomers , I prefer scientists .</t>
  </si>
  <si>
    <t>Je n' aime pas les astronomes , je préfère les scientifiques .</t>
  </si>
  <si>
    <t>Non amo gli scienziati , preferisco gli astronomi .</t>
  </si>
  <si>
    <t>I do not like scientists , I prefer astronomers .</t>
  </si>
  <si>
    <t>Je n' aime pas les scientifiques , je préfère les astronomes .</t>
  </si>
  <si>
    <t>Non amo gli astronomi , preferisco i camerieri .</t>
  </si>
  <si>
    <t>I do not like astronomers , I prefer waiters .</t>
  </si>
  <si>
    <t>Je n' aime pas les astronomes , je préfère les serveurs .</t>
  </si>
  <si>
    <t>Non amo i camerieri , preferisco gli astronomi .</t>
  </si>
  <si>
    <t>I do not like waiters , I prefer astronomers .</t>
  </si>
  <si>
    <t>Je n' aime pas les serveurs , je préfère les astronomes .</t>
  </si>
  <si>
    <t>Adoro i prodotti del mare , eccetto le ostriche .</t>
  </si>
  <si>
    <t>I like seafood , except oysters .</t>
  </si>
  <si>
    <t>J' adore les produits de la mer , sauf les huîtres .</t>
  </si>
  <si>
    <t>Non amo gli astronomi , preferisco i guardiani .</t>
  </si>
  <si>
    <t>I do not like astronomers , I prefer caretakers .</t>
  </si>
  <si>
    <t>Je n' aime pas les astronomes , je préfère les gardiens .</t>
  </si>
  <si>
    <t>Non amo i guardiani , preferisco gli astronomi .</t>
  </si>
  <si>
    <t>I do not like caretakers , I prefer astronomers .</t>
  </si>
  <si>
    <t>Je n' aime pas les gardiens , je préfère les astronomes .</t>
  </si>
  <si>
    <t>Non amo gli astronomi , preferisco i portieri .</t>
  </si>
  <si>
    <t>I do not like astronomers , I prefer janitors .</t>
  </si>
  <si>
    <t>Je n' aime pas les astronomes , je préfère les concierges .</t>
  </si>
  <si>
    <t>Non amo i portieri , preferisco gli astronomi .</t>
  </si>
  <si>
    <t>I do not like janitors , I prefer astronomers .</t>
  </si>
  <si>
    <t>Je n' aime pas les concierges , je préfère les astronomes .</t>
  </si>
  <si>
    <t>Non amo i fisici , preferisco gli impiegati .</t>
  </si>
  <si>
    <t>I do not like physicists , I prefer clerks .</t>
  </si>
  <si>
    <t>Je n' aime pas les physiciens , je préfère les greffiers .</t>
  </si>
  <si>
    <t>Non amo gli impiegati , preferisco i fisici .</t>
  </si>
  <si>
    <t>I do not like clerks , I prefer physicists .</t>
  </si>
  <si>
    <t>Je n' aime pas les greffiers , je préfère les physiciens .</t>
  </si>
  <si>
    <t>Non amo i fisici , preferisco gli scienziati .</t>
  </si>
  <si>
    <t>I do not like physicists , I prefer scientists .</t>
  </si>
  <si>
    <t>Je n' aime pas les physiciens , je préfère les scientifiques .</t>
  </si>
  <si>
    <t>Non amo gli scienziati , preferisco i fisici .</t>
  </si>
  <si>
    <t>I do not like scientists , I prefer physicists .</t>
  </si>
  <si>
    <t>Je n' aime pas les scientifiques , je préfère les physiciens .</t>
  </si>
  <si>
    <t>Non amo i fisici , preferisco i camerieri .</t>
  </si>
  <si>
    <t>I do not like physicists , I prefer waiters .</t>
  </si>
  <si>
    <t>Je n' aime pas les physiciens , je préfère les serveurs .</t>
  </si>
  <si>
    <t>Non amo i camerieri , preferisco i fisici .</t>
  </si>
  <si>
    <t>I do not like waiters , I prefer physicists .</t>
  </si>
  <si>
    <t>Je n' aime pas les serveurs , je préfère les physiciens .</t>
  </si>
  <si>
    <t>Adoro le ostriche , eccetto il vitello .</t>
  </si>
  <si>
    <t>I like oysters , except veal .</t>
  </si>
  <si>
    <t>J' adore les huîtres , sauf le veau .</t>
  </si>
  <si>
    <t>Non amo i fisici , preferisco i guardiani .</t>
  </si>
  <si>
    <t>I do not like physicists , I prefer caretakers .</t>
  </si>
  <si>
    <t>Je n' aime pas les physiciens , je préfère les gardiens .</t>
  </si>
  <si>
    <t>Non amo i guardiani , preferisco i fisici .</t>
  </si>
  <si>
    <t>I do not like caretakers , I prefer physicists .</t>
  </si>
  <si>
    <t>Je n' aime pas les gardiens , je préfère les physiciens .</t>
  </si>
  <si>
    <t>Non amo i fisici , preferisco i portieri .</t>
  </si>
  <si>
    <t>I do not like physicists , I prefer janitors .</t>
  </si>
  <si>
    <t>Je n' aime pas les physiciens , je préfère les concierges .</t>
  </si>
  <si>
    <t>Non amo i portieri , preferisco i fisici .</t>
  </si>
  <si>
    <t>I do not like janitors , I prefer physicists .</t>
  </si>
  <si>
    <t>Je n' aime pas les concierges , je préfère les physiciens .</t>
  </si>
  <si>
    <t>Adoro il vitello , eccetto le ostriche .</t>
  </si>
  <si>
    <t>I like veal , except oysters .</t>
  </si>
  <si>
    <t>J' adore le veau , sauf les huîtres .</t>
  </si>
  <si>
    <t>Adoro le ostriche , eccetto il tacchino .</t>
  </si>
  <si>
    <t>I like oysters , except turkey .</t>
  </si>
  <si>
    <t>J' adore les huîtres , sauf la dinde .</t>
  </si>
  <si>
    <t>Adoro il tacchino , eccetto le ostriche .</t>
  </si>
  <si>
    <t>I like turkey , except oysters .</t>
  </si>
  <si>
    <t>J' adore la dinde , sauf les huîtres .</t>
  </si>
  <si>
    <t>Adoro le ostriche , eccetto il manzo .</t>
  </si>
  <si>
    <t>I like oysters , except beef .</t>
  </si>
  <si>
    <t>J' adore les huîtres , sauf le boeuf .</t>
  </si>
  <si>
    <t>Adoro il manzo , eccetto le ostriche .</t>
  </si>
  <si>
    <t>I like beef , except oysters .</t>
  </si>
  <si>
    <t>J' adore le boeuf , sauf les huîtres .</t>
  </si>
  <si>
    <t>Adoro il caviale , eccetto il pollo .</t>
  </si>
  <si>
    <t>I like caviar , except chicken .</t>
  </si>
  <si>
    <t>J' adore le caviar , sauf le poulet .</t>
  </si>
  <si>
    <t>Adoro il pollo , eccetto il caviale .</t>
  </si>
  <si>
    <t>I like chicken , except caviar .</t>
  </si>
  <si>
    <t>J' adore le poulet , sauf le caviar .</t>
  </si>
  <si>
    <t>Adoro il caviale , eccetto i prodotti del mare .</t>
  </si>
  <si>
    <t>I like caviar , except seafood .</t>
  </si>
  <si>
    <t>J' adore le caviar , sauf les produits de la mer .</t>
  </si>
  <si>
    <t>Adoro i prodotti del mare , eccetto il caviale .</t>
  </si>
  <si>
    <t>I like seafood , except caviar .</t>
  </si>
  <si>
    <t>J' adore les produits de la mer , sauf le caviar .</t>
  </si>
  <si>
    <t>Adoro il caviale , eccetto il vitello .</t>
  </si>
  <si>
    <t>I like caviar , except veal .</t>
  </si>
  <si>
    <t>J' adore le caviar , sauf le veau .</t>
  </si>
  <si>
    <t>Adoro il vitello , eccetto il caviale .</t>
  </si>
  <si>
    <t>I like veal , except caviar .</t>
  </si>
  <si>
    <t>J' adore le veau , sauf le caviar .</t>
  </si>
  <si>
    <t>Amo gli husky più dei gatti .</t>
  </si>
  <si>
    <t>I like huskies more than cats .</t>
  </si>
  <si>
    <t>J' aime les huskies plus que les chats .</t>
  </si>
  <si>
    <t>Amo i gatti più degli husky .</t>
  </si>
  <si>
    <t>I like cats more than huskies .</t>
  </si>
  <si>
    <t>J' aime les chats plus que les huskies .</t>
  </si>
  <si>
    <t>Amo gli husky più dei cani .</t>
  </si>
  <si>
    <t>I like huskies more than dogs .</t>
  </si>
  <si>
    <t>J' aime les huskies plus que les chiens .</t>
  </si>
  <si>
    <t>Amo i cani più degli husky .</t>
  </si>
  <si>
    <t>I like dogs more than huskies .</t>
  </si>
  <si>
    <t>J' aime les chiens plus que les huskies .</t>
  </si>
  <si>
    <t>Amo i cani più dei gatti .</t>
  </si>
  <si>
    <t>I like dogs more than cats .</t>
  </si>
  <si>
    <t>J' aime les chiens plus que les chats .</t>
  </si>
  <si>
    <t>Amo gli husky più dei criceti .</t>
  </si>
  <si>
    <t>I like huskies more than hamsters .</t>
  </si>
  <si>
    <t>J' aime les huskies plus que les hamsters .</t>
  </si>
  <si>
    <t>Amo i criceti più degli husky .</t>
  </si>
  <si>
    <t>I like hamsters more than huskies .</t>
  </si>
  <si>
    <t>J' aime les hamsters plus que les huskies .</t>
  </si>
  <si>
    <t>Amo i cani più dei criceti .</t>
  </si>
  <si>
    <t>I like dogs more than hamsters .</t>
  </si>
  <si>
    <t>J' aime les chiens plus que les hamsters .</t>
  </si>
  <si>
    <t>Amo gli husky più dei pappagalli .</t>
  </si>
  <si>
    <t>I like huskies more than parrots .</t>
  </si>
  <si>
    <t>J' aime les huskies plus que les perrouquets .</t>
  </si>
  <si>
    <t>Amo i pappagalli più degli husky .</t>
  </si>
  <si>
    <t>I like parrots more than huskies .</t>
  </si>
  <si>
    <t>J' aime les perrouquets plus que les huskies .</t>
  </si>
  <si>
    <t>Amo i cani più dei pappagalli .</t>
  </si>
  <si>
    <t>I like dogs more than parrots .</t>
  </si>
  <si>
    <t>J' aime les chiens plus que les perrouquets .</t>
  </si>
  <si>
    <t>Amo gli husky più dei conigli .</t>
  </si>
  <si>
    <t>I like huskies more than rabbits .</t>
  </si>
  <si>
    <t>J' aime les huskies plus que les lapins .</t>
  </si>
  <si>
    <t>Amo i conigli più degli husky .</t>
  </si>
  <si>
    <t>I like rabbits more than huskies .</t>
  </si>
  <si>
    <t>J' aime les lapins plus que les huskies .</t>
  </si>
  <si>
    <t>Amo i cani più dei conigli .</t>
  </si>
  <si>
    <t>I like dogs more than rabbits .</t>
  </si>
  <si>
    <t>J' aime les chiens plus que les lapins .</t>
  </si>
  <si>
    <t>Adoro il caviale , eccetto il tacchino .</t>
  </si>
  <si>
    <t>I like caviar , except turkey .</t>
  </si>
  <si>
    <t>J' adore le caviar , sauf la dinde .</t>
  </si>
  <si>
    <t>Adoro il tacchino , eccetto il caviale .</t>
  </si>
  <si>
    <t>I like turkey , except caviar .</t>
  </si>
  <si>
    <t>J' adore la dinde , sauf le caviar .</t>
  </si>
  <si>
    <t>Amo i bobtail più dei gatti .</t>
  </si>
  <si>
    <t>I like bobtails more than cats .</t>
  </si>
  <si>
    <t>J' aime les bobtails plus que les chats .</t>
  </si>
  <si>
    <t>Amo i gatti più dei bobtail .</t>
  </si>
  <si>
    <t>I like cats more than bobtails .</t>
  </si>
  <si>
    <t>J' aime les chats plus que les bobtails .</t>
  </si>
  <si>
    <t>Amo i bobtail più dei cani .</t>
  </si>
  <si>
    <t>I like bobtails more than dogs .</t>
  </si>
  <si>
    <t>J' aime les bobtails plus que les chiens .</t>
  </si>
  <si>
    <t>Amo i cani più dei bobtail .</t>
  </si>
  <si>
    <t>I like dogs more than bobtails .</t>
  </si>
  <si>
    <t>J' aime les chiens plus que les bobtails .</t>
  </si>
  <si>
    <t>Amo i bobtail più dei criceti .</t>
  </si>
  <si>
    <t>I like bobtails more than hamsters .</t>
  </si>
  <si>
    <t>J' aime les bobtails plus que les hamsters .</t>
  </si>
  <si>
    <t>Amo i criceti più dei bobtail .</t>
  </si>
  <si>
    <t>I like hamsters more than bobtails .</t>
  </si>
  <si>
    <t>J' aime les hamsters plus que les bobtails .</t>
  </si>
  <si>
    <t>Amo i bobtail più dei pappagalli .</t>
  </si>
  <si>
    <t>I like bobtails more than parrots .</t>
  </si>
  <si>
    <t>J' aime les bobtails plus que les perrouquets .</t>
  </si>
  <si>
    <t>Amo i pappagalli più dei bobtail .</t>
  </si>
  <si>
    <t>I like parrots more than bobtails .</t>
  </si>
  <si>
    <t>J' aime les perrouquets plus que les bobtails .</t>
  </si>
  <si>
    <t>Amo i bobtail più dei conigli .</t>
  </si>
  <si>
    <t>I like bobtails more than rabbits .</t>
  </si>
  <si>
    <t>J' aime les bobtails plus que les lapins .</t>
  </si>
  <si>
    <t>Amo i conigli più dei bobtail .</t>
  </si>
  <si>
    <t>I like rabbits more than bobtails .</t>
  </si>
  <si>
    <t>J' aime les lapins plus que les bobtails .</t>
  </si>
  <si>
    <t>Adoro il caviale , eccetto il manzo .</t>
  </si>
  <si>
    <t>I like caviar , except beef .</t>
  </si>
  <si>
    <t>J' adore le caviar , sauf le boeuf .</t>
  </si>
  <si>
    <t>Adoro il manzo , eccetto il caviale .</t>
  </si>
  <si>
    <t>I like beef , except caviar .</t>
  </si>
  <si>
    <t>J' adore le boeuf , sauf le caviar .</t>
  </si>
  <si>
    <t>Amo i bulldog più dei gatti .</t>
  </si>
  <si>
    <t>I like bulldogs more than cats .</t>
  </si>
  <si>
    <t>J' aime les bouledogues plus que les chats .</t>
  </si>
  <si>
    <t>Amo i gatti più dei bulldog .</t>
  </si>
  <si>
    <t>I like cats more than bulldogs .</t>
  </si>
  <si>
    <t>J' aime les chats plus que les bouledogues .</t>
  </si>
  <si>
    <t>Amo i bulldog più dei cani .</t>
  </si>
  <si>
    <t>I like bulldogs more than dogs .</t>
  </si>
  <si>
    <t>J' aime les bouledogues plus que les chiens .</t>
  </si>
  <si>
    <t>Amo i cani più dei bulldog .</t>
  </si>
  <si>
    <t>I like dogs more than bulldogs .</t>
  </si>
  <si>
    <t>J' aime les chiens plus que les bouledogues .</t>
  </si>
  <si>
    <t>Amo i bulldog più dei criceti .</t>
  </si>
  <si>
    <t>I like bulldogs more than hamsters .</t>
  </si>
  <si>
    <t>J' aime les bouledogues plus que les hamsters .</t>
  </si>
  <si>
    <t>Amo i criceti più dei bulldog .</t>
  </si>
  <si>
    <t>I like hamsters more than bulldogs .</t>
  </si>
  <si>
    <t>J' aime les hamsters plus que les bouledogues .</t>
  </si>
  <si>
    <t>Amo i bulldog più dei pappagalli .</t>
  </si>
  <si>
    <t>I like bulldogs more than parrots .</t>
  </si>
  <si>
    <t>J' aime les bouledogues plus que les perrouquets .</t>
  </si>
  <si>
    <t>Amo i pappagalli più dei bulldog .</t>
  </si>
  <si>
    <t>I like parrots more than bulldogs .</t>
  </si>
  <si>
    <t>J' aime les perrouquets plus que les bouledogues .</t>
  </si>
  <si>
    <t>Amo i bulldog più dei conigli .</t>
  </si>
  <si>
    <t>I like bulldogs more than rabbits .</t>
  </si>
  <si>
    <t>J' aime les bouledogues plus que les lapins .</t>
  </si>
  <si>
    <t>Amo i conigli più dei bulldog .</t>
  </si>
  <si>
    <t>I like rabbits more than bulldogs .</t>
  </si>
  <si>
    <t>J' aime les lapins plus que les bouledogues .</t>
  </si>
  <si>
    <t>Amo i bassotti più dei gatti .</t>
  </si>
  <si>
    <t>I like beagles more than cats .</t>
  </si>
  <si>
    <t>J' aime les beagles plus que les chats .</t>
  </si>
  <si>
    <t>Amo i gatti più dei bassotti .</t>
  </si>
  <si>
    <t>I like cats more than beagles .</t>
  </si>
  <si>
    <t>J' aime les chats plus que les beagles .</t>
  </si>
  <si>
    <t>Amo i bassotti più dei cani .</t>
  </si>
  <si>
    <t>I like beagles more than dogs .</t>
  </si>
  <si>
    <t>J' aime les beagles plus que les chiens .</t>
  </si>
  <si>
    <t>Amo i cani più dei bassotti .</t>
  </si>
  <si>
    <t>I like dogs more than beagles .</t>
  </si>
  <si>
    <t>J' aime les chiens plus que les beagles .</t>
  </si>
  <si>
    <t>Amo i bassotti più dei criceti .</t>
  </si>
  <si>
    <t>I like beagles more than hamsters .</t>
  </si>
  <si>
    <t>J' aime les beagles plus que les hamsters .</t>
  </si>
  <si>
    <t>Amo i criceti più dei bassotti .</t>
  </si>
  <si>
    <t>I like hamsters more than beagles .</t>
  </si>
  <si>
    <t>J' aime les hamsters plus que les beagles .</t>
  </si>
  <si>
    <t>Amo i bassotti più dei pappagalli .</t>
  </si>
  <si>
    <t>I like beagles more than parrots .</t>
  </si>
  <si>
    <t>J' aime les beagles plus que les perrouquets .</t>
  </si>
  <si>
    <t>Amo i pappagalli più dei bassotti .</t>
  </si>
  <si>
    <t>I like parrots more than beagles .</t>
  </si>
  <si>
    <t>J' aime les perrouquets plus que les beagles .</t>
  </si>
  <si>
    <t>Amo i bassotti più dei conigli .</t>
  </si>
  <si>
    <t>I like beagles more than rabbits .</t>
  </si>
  <si>
    <t>J' aime les beagles plus que les lapins .</t>
  </si>
  <si>
    <t>Amo i conigli più dei bassotti .</t>
  </si>
  <si>
    <t>I like rabbits more than beagles .</t>
  </si>
  <si>
    <t>J' aime les lapins plus que les beagles .</t>
  </si>
  <si>
    <t>Amo i pappagalli più dei gatti .</t>
  </si>
  <si>
    <t>I like parrots more than cats .</t>
  </si>
  <si>
    <t>J' aime les perrouquets plus que les chats .</t>
  </si>
  <si>
    <t>Amo i gatti più dei pappagalli .</t>
  </si>
  <si>
    <t>I like cats more than parrots .</t>
  </si>
  <si>
    <t>J' aime les chats plus que les perrouquets .</t>
  </si>
  <si>
    <t>Amo i pappagalli più degli uccelli .</t>
  </si>
  <si>
    <t>I like parrots more than birds .</t>
  </si>
  <si>
    <t>J' aime les perrouquets plus que les oiseaux .</t>
  </si>
  <si>
    <t>Amo gli uccelli più dei pappagalli .</t>
  </si>
  <si>
    <t>I like birds more than parrots .</t>
  </si>
  <si>
    <t>J' aime les oiseaux plus que les perrouquets .</t>
  </si>
  <si>
    <t>Amo gli uccelli più dei gatti .</t>
  </si>
  <si>
    <t>I like birds more than cats .</t>
  </si>
  <si>
    <t>J' aime les oiseaux plus que les chats .</t>
  </si>
  <si>
    <t>Amo i pappagalli più dei criceti .</t>
  </si>
  <si>
    <t>I like parrots more than hamsters .</t>
  </si>
  <si>
    <t>J' aime les perrouquets plus que les hamsters .</t>
  </si>
  <si>
    <t>Amo i criceti più dei pappagalli .</t>
  </si>
  <si>
    <t>I like hamsters more than parrots .</t>
  </si>
  <si>
    <t>J' aime les hamsters plus que les perrouquets .</t>
  </si>
  <si>
    <t>Amo gli uccelli più dei criceti .</t>
  </si>
  <si>
    <t>I like birds more than hamsters .</t>
  </si>
  <si>
    <t>J' aime les oiseaux plus que les hamsters .</t>
  </si>
  <si>
    <t>Amo i pappagalli più dei maiali .</t>
  </si>
  <si>
    <t>I like parrots more than pigs .</t>
  </si>
  <si>
    <t>J' aime les perrouquets plus que les cochons .</t>
  </si>
  <si>
    <t>Amo i maiali più dei pappagalli .</t>
  </si>
  <si>
    <t>I like pigs more than parrots .</t>
  </si>
  <si>
    <t>J' aime les cochons plus que les perrouquets .</t>
  </si>
  <si>
    <t>Amo gli uccelli più dei maiali .</t>
  </si>
  <si>
    <t>I like birds more than pigs .</t>
  </si>
  <si>
    <t>J' aime les oiseaux plus que les cochons .</t>
  </si>
  <si>
    <t>Amo i pappagalli più dei cani .</t>
  </si>
  <si>
    <t>I like parrots more than dogs .</t>
  </si>
  <si>
    <t>J' aime les perrouquets plus que les chiens .</t>
  </si>
  <si>
    <t>Amo gli uccelli più dei cani .</t>
  </si>
  <si>
    <t>I like birds more than dogs .</t>
  </si>
  <si>
    <t>J' aime les oiseaux plus que les chiens .</t>
  </si>
  <si>
    <t>Amo le anatre più dei gatti .</t>
  </si>
  <si>
    <t>I like ducks more than cats .</t>
  </si>
  <si>
    <t>J' aime les canards plus que les chats .</t>
  </si>
  <si>
    <t>Amo i gatti più delle anatre .</t>
  </si>
  <si>
    <t>I like cats more than ducks .</t>
  </si>
  <si>
    <t>J' aime les chats plus que les canards .</t>
  </si>
  <si>
    <t>Amo le anatre più degli uccelli .</t>
  </si>
  <si>
    <t>I like ducks more than birds .</t>
  </si>
  <si>
    <t>J' aime les canards plus que les oiseaux .</t>
  </si>
  <si>
    <t>Amo gli uccelli più delle anatre .</t>
  </si>
  <si>
    <t>I like birds more than ducks .</t>
  </si>
  <si>
    <t>J' aime les oiseaux plus que les canards .</t>
  </si>
  <si>
    <t>Amo le anatre più dei criceti .</t>
  </si>
  <si>
    <t>I like ducks more than hamsters .</t>
  </si>
  <si>
    <t>J' aime les canards plus que les hamsters .</t>
  </si>
  <si>
    <t>Amo i criceti più delle anatre .</t>
  </si>
  <si>
    <t>I like hamsters more than ducks .</t>
  </si>
  <si>
    <t>J' aime les hamsters plus que les canards .</t>
  </si>
  <si>
    <t>Amo le anatre più dei maiali .</t>
  </si>
  <si>
    <t>I like ducks more than pigs .</t>
  </si>
  <si>
    <t>J' aime les canards plus que les cochons .</t>
  </si>
  <si>
    <t>Amo i maiali più delle anatre .</t>
  </si>
  <si>
    <t>I like pigs more than ducks .</t>
  </si>
  <si>
    <t>J' aime les cochons plus que les canards .</t>
  </si>
  <si>
    <t>Amo le anatre più dei cani .</t>
  </si>
  <si>
    <t>I like ducks more than dogs .</t>
  </si>
  <si>
    <t>J' aime les canards plus que les chiens .</t>
  </si>
  <si>
    <t>Amo i cani più delle anatre .</t>
  </si>
  <si>
    <t>I like dogs more than ducks .</t>
  </si>
  <si>
    <t>J' aime les chiens plus que les canards .</t>
  </si>
  <si>
    <t>Amo i merli più dei gatti .</t>
  </si>
  <si>
    <t>I like blackbirds more than cats .</t>
  </si>
  <si>
    <t>J' aime les merles plus que les chats .</t>
  </si>
  <si>
    <t>Amo i gatti più dei merli .</t>
  </si>
  <si>
    <t>I like cats more than blackbirds .</t>
  </si>
  <si>
    <t>J' aime les chats plus que les merles .</t>
  </si>
  <si>
    <t>Amo i merli più degli uccelli .</t>
  </si>
  <si>
    <t>I like blackbirds more than birds .</t>
  </si>
  <si>
    <t>J' aime les merles plus que les oiseaux .</t>
  </si>
  <si>
    <t>Amo gli uccelli più dei merli .</t>
  </si>
  <si>
    <t>I like birds more than blackbirds .</t>
  </si>
  <si>
    <t>J' aime les oiseaux plus que les merles .</t>
  </si>
  <si>
    <t>Amo i merli più dei criceti .</t>
  </si>
  <si>
    <t>I like blackbirds more than hamsters .</t>
  </si>
  <si>
    <t>J' aime les merles plus que les hamsters .</t>
  </si>
  <si>
    <t>Amo i criceti più dei merli .</t>
  </si>
  <si>
    <t>I like hamsters more than blackbirds .</t>
  </si>
  <si>
    <t>J' aime les hamsters plus que les merles .</t>
  </si>
  <si>
    <t>Amo i merli più dei maiali .</t>
  </si>
  <si>
    <t>I like blackbirds more than pigs .</t>
  </si>
  <si>
    <t>J' aime les merles plus que les cochons .</t>
  </si>
  <si>
    <t>Amo i maiali più dei merli .</t>
  </si>
  <si>
    <t>I like pigs more than blackbirds .</t>
  </si>
  <si>
    <t>J' aime les cochons plus que les merles .</t>
  </si>
  <si>
    <t>Amo i merli più dei cani .</t>
  </si>
  <si>
    <t>I like blackbirds more than dogs .</t>
  </si>
  <si>
    <t>J' aime les merles plus que les chiens .</t>
  </si>
  <si>
    <t>Amo i cani più dei merli .</t>
  </si>
  <si>
    <t>I like dogs more than blackbirds .</t>
  </si>
  <si>
    <t>J' aime les chiens plus que les merles .</t>
  </si>
  <si>
    <t>Amo i passeri più dei gatti .</t>
  </si>
  <si>
    <t>I like sparrows more than cats .</t>
  </si>
  <si>
    <t>J' aime les moineaux plus que les chats .</t>
  </si>
  <si>
    <t>Amo i gatti più dei passeri .</t>
  </si>
  <si>
    <t>I like cats more than sparrows .</t>
  </si>
  <si>
    <t>J' aime les chats plus que les moineaux .</t>
  </si>
  <si>
    <t>Amo i passeri più degli uccelli .</t>
  </si>
  <si>
    <t>I like sparrows more than birds .</t>
  </si>
  <si>
    <t>J' aime les moineaux plus que les oiseaux .</t>
  </si>
  <si>
    <t>Amo gli uccelli più dei passeri .</t>
  </si>
  <si>
    <t>I like birds more than sparrows .</t>
  </si>
  <si>
    <t>J' aime les oiseaux plus que les moineaux .</t>
  </si>
  <si>
    <t>Amo i passeri più dei criceti .</t>
  </si>
  <si>
    <t>I like sparrows more than hamsters .</t>
  </si>
  <si>
    <t>J' aime les moineaux plus que les hamsters .</t>
  </si>
  <si>
    <t>Amo i criceti più dei passeri .</t>
  </si>
  <si>
    <t>I like hamsters more than sparrows .</t>
  </si>
  <si>
    <t>J' aime les hamsters plus que les moineaux .</t>
  </si>
  <si>
    <t>Amo i passeri più dei maiali .</t>
  </si>
  <si>
    <t>I like sparrows more than pigs .</t>
  </si>
  <si>
    <t>J' aime les moineaux plus que les cochons .</t>
  </si>
  <si>
    <t>Amo i maiali più dei passeri .</t>
  </si>
  <si>
    <t>I like pigs more than sparrows .</t>
  </si>
  <si>
    <t>J' aime les cochons plus que les moineaux .</t>
  </si>
  <si>
    <t>Amo i passeri più dei cani .</t>
  </si>
  <si>
    <t>I like sparrows more than dogs .</t>
  </si>
  <si>
    <t>J' aime les moineaux plus que les chiens .</t>
  </si>
  <si>
    <t>Amo i cani più dei passeri .</t>
  </si>
  <si>
    <t>I like dogs more than sparrows .</t>
  </si>
  <si>
    <t>J' aime les chiens plus que les moineaux .</t>
  </si>
  <si>
    <t>Amo le Harley-Davidson più delle navi .</t>
  </si>
  <si>
    <t>I like Harley-Davidson more than ships .</t>
  </si>
  <si>
    <t>J' aime les Harley-Davidson plus que les navaires .</t>
  </si>
  <si>
    <t>Amo le navi più delle Harley-Davidson .</t>
  </si>
  <si>
    <t>I like ships more than Harley-Davidson .</t>
  </si>
  <si>
    <t>J' aime les navaires plus que les Harley-Davidson .</t>
  </si>
  <si>
    <t>Amo le Harley-Davidson più delle moto .</t>
  </si>
  <si>
    <t>I like Harley-Davidson more than motorcycles .</t>
  </si>
  <si>
    <t>J' aime les Harley-Davidson plus que les motos .</t>
  </si>
  <si>
    <t>Amo le moto più delle Harley-Davidson .</t>
  </si>
  <si>
    <t>I like motorcycles more than Harley-Davidson .</t>
  </si>
  <si>
    <t>J' aime les motos plus que les Harley-Davidson .</t>
  </si>
  <si>
    <t>Amo le moto più delle navi .</t>
  </si>
  <si>
    <t>I like motorcycles more than ships .</t>
  </si>
  <si>
    <t>J' aime les motos plus que les navaires .</t>
  </si>
  <si>
    <t>Amo le Harley-Davidson più delle biciclette .</t>
  </si>
  <si>
    <t>I like Harley-Davidson more than bicycles .</t>
  </si>
  <si>
    <t>J' aime les Harley-Davidson plus que les vélos .</t>
  </si>
  <si>
    <t>Amo le biciclette più delle Harley-Davidson .</t>
  </si>
  <si>
    <t>I like bicycles more than Harley-Davidson .</t>
  </si>
  <si>
    <t>J' aime les vélos plus que les Harley-Davidson .</t>
  </si>
  <si>
    <t>Amo le moto più delle biciclette .</t>
  </si>
  <si>
    <t>I like motorcycles more than bicycles .</t>
  </si>
  <si>
    <t>J' aime les motos plus que les vélos .</t>
  </si>
  <si>
    <t>Amo le Harley-Davidson più dei treni .</t>
  </si>
  <si>
    <t>I like Harley-Davidson more than trains .</t>
  </si>
  <si>
    <t>J' aime les Harley-Davidson plus que les trains .</t>
  </si>
  <si>
    <t>Amo i treni più delle Harley-Davidson .</t>
  </si>
  <si>
    <t>I like trains more than Harley-Davidson .</t>
  </si>
  <si>
    <t>J' aime les trains plus que les Harley-Davidson .</t>
  </si>
  <si>
    <t>Amo le moto più dei treni .</t>
  </si>
  <si>
    <t>I like motorcycles more than trains .</t>
  </si>
  <si>
    <t>J' aime les motos plus que les trains .</t>
  </si>
  <si>
    <t>Amo le Harley-Davidson più degli aeroplani .</t>
  </si>
  <si>
    <t>I like Harley-Davidson more than airplanes .</t>
  </si>
  <si>
    <t>J' aime les Harley-Davidson plus que les avions .</t>
  </si>
  <si>
    <t>Amo gli aeroplani più delle Harley-Davidson .</t>
  </si>
  <si>
    <t>I like planes more than Harley-Davidson .</t>
  </si>
  <si>
    <t>J' aime les avions plus que les Harley-Davidson .</t>
  </si>
  <si>
    <t>Amo le moto più degli aeroplani .</t>
  </si>
  <si>
    <t>I like motorcycles more than airplanes .</t>
  </si>
  <si>
    <t>J' aime les motos plus que les avions .</t>
  </si>
  <si>
    <t>Amo le Suzuki più delle navi .</t>
  </si>
  <si>
    <t>I like Suzukis more than ships .</t>
  </si>
  <si>
    <t>J' aime les Suzukis plus que les navaires .</t>
  </si>
  <si>
    <t>Amo le navi più delle Suzuki .</t>
  </si>
  <si>
    <t>I like ships more than Suzukis .</t>
  </si>
  <si>
    <t>J' aime les navaires plus que les Suzukis .</t>
  </si>
  <si>
    <t>Amo le Suzuki più delle moto .</t>
  </si>
  <si>
    <t>I like Suzukis more than motorcycles .</t>
  </si>
  <si>
    <t>J' aime les Suzukis plus que les motos .</t>
  </si>
  <si>
    <t>Amo le moto più delle Suzuki .</t>
  </si>
  <si>
    <t>I like motorcycles more than Suzukis .</t>
  </si>
  <si>
    <t>J' aime les motos plus que les Suzukis .</t>
  </si>
  <si>
    <t>Amo le Suzuki più delle biciclette .</t>
  </si>
  <si>
    <t>I like Suzukis more than bicycles .</t>
  </si>
  <si>
    <t>J' aime les Suzukis plus que les vélos .</t>
  </si>
  <si>
    <t>Amo le biciclette più delle Suzuki .</t>
  </si>
  <si>
    <t>I like bicycles more than Suzukis .</t>
  </si>
  <si>
    <t>J' aime les vélos plus que les Suzukis .</t>
  </si>
  <si>
    <t>Amo le Suzuki più dei treni .</t>
  </si>
  <si>
    <t>I like Suzukis more than trains .</t>
  </si>
  <si>
    <t>J' aime les Suzukis plus que les trains .</t>
  </si>
  <si>
    <t>Amo i treni più delle Suzuki .</t>
  </si>
  <si>
    <t>I like trains more than Suzukis .</t>
  </si>
  <si>
    <t>J' aime les trains plus que les Suzukis .</t>
  </si>
  <si>
    <t>Amo le Suzuki più degli aeroplani .</t>
  </si>
  <si>
    <t>I like Suzukis more than airplanes .</t>
  </si>
  <si>
    <t>J' aime les Suzukis plus que les avions .</t>
  </si>
  <si>
    <t>Amo gli aeroplani più delle Suzuki .</t>
  </si>
  <si>
    <t>I like planes more than Suzukis .</t>
  </si>
  <si>
    <t>J' aime les avions plus que les Suzukis .</t>
  </si>
  <si>
    <t>Amo gli enduro più delle navi .</t>
  </si>
  <si>
    <t>I like enduros more than ships .</t>
  </si>
  <si>
    <t>J' aime les enduros plus que les navaires .</t>
  </si>
  <si>
    <t>Amo le navi più degli enduro .</t>
  </si>
  <si>
    <t>I like ships more than enduros .</t>
  </si>
  <si>
    <t>J' aime les navaires plus que les enduros .</t>
  </si>
  <si>
    <t>Amo gli enduro più delle moto .</t>
  </si>
  <si>
    <t>I like enduros more than motorcycles .</t>
  </si>
  <si>
    <t>J' aime les enduros plus que les motos .</t>
  </si>
  <si>
    <t>Amo le moto più degli enduro .</t>
  </si>
  <si>
    <t>I like motorcycles more than enduros .</t>
  </si>
  <si>
    <t>J' aime les motos plus que les enduros .</t>
  </si>
  <si>
    <t>Amo gli enduro più delle biciclette .</t>
  </si>
  <si>
    <t>I like enduros more than bicycles .</t>
  </si>
  <si>
    <t>J' aime les enduros plus que les vélos .</t>
  </si>
  <si>
    <t>Amo le biciclette più degli enduro .</t>
  </si>
  <si>
    <t>I like bicycles more than enduros .</t>
  </si>
  <si>
    <t>J' aime les vélos plus que les enduros .</t>
  </si>
  <si>
    <t>Amo gli enduro più dei treni .</t>
  </si>
  <si>
    <t>I like enduros more than trains .</t>
  </si>
  <si>
    <t>J' aime les enduros plus que les trains .</t>
  </si>
  <si>
    <t>Amo i treni più degli enduro .</t>
  </si>
  <si>
    <t>I like trains more than enduros .</t>
  </si>
  <si>
    <t>J' aime les trains plus que les enduros .</t>
  </si>
  <si>
    <t>Amo gli enduro più degli aeroplani .</t>
  </si>
  <si>
    <t>I like enduros more than airplanes .</t>
  </si>
  <si>
    <t>J' aime les enduros plus que les avions .</t>
  </si>
  <si>
    <t>Amo gli aeroplani più degli enduro .</t>
  </si>
  <si>
    <t>I like planes more than enduros .</t>
  </si>
  <si>
    <t>J' aime les avions plus que les enduros .</t>
  </si>
  <si>
    <t>Amo le Kawasakis più delle navi .</t>
  </si>
  <si>
    <t>I like Kawasakis more than ships .</t>
  </si>
  <si>
    <t>J' aime les Kawasakis plus que les navaires .</t>
  </si>
  <si>
    <t>Amo le navi più delle Kawasakis .</t>
  </si>
  <si>
    <t>I like ships more than Kawasakis .</t>
  </si>
  <si>
    <t>J' aime les navaires plus que les Kawasakis .</t>
  </si>
  <si>
    <t>Amo le Kawasakis più delle moto .</t>
  </si>
  <si>
    <t>I like Kawasakis more than motorcycles .</t>
  </si>
  <si>
    <t>J' aime les Kawasakis plus que les motos .</t>
  </si>
  <si>
    <t>Amo le moto più delle Kawasakis .</t>
  </si>
  <si>
    <t>I like motorcycles more than Kawasakis .</t>
  </si>
  <si>
    <t>J' aime les motos plus que les Kawasakis .</t>
  </si>
  <si>
    <t>Amo le Kawasakis più delle biciclette .</t>
  </si>
  <si>
    <t>I like Kawasakis more than bicycles .</t>
  </si>
  <si>
    <t>J' aime les Kawasakis plus que les vélos .</t>
  </si>
  <si>
    <t>Amo le biciclette più delle Kawasakis .</t>
  </si>
  <si>
    <t>I like bicycles more than Kawasakis .</t>
  </si>
  <si>
    <t>J' aime les vélos plus que les Kawasakis .</t>
  </si>
  <si>
    <t>Amo le Kawasakis più dei treni .</t>
  </si>
  <si>
    <t>I like Kawasakis more than trains .</t>
  </si>
  <si>
    <t>J' aime les Kawasakis plus que les trains .</t>
  </si>
  <si>
    <t>Amo i treni più delle Kawasakis .</t>
  </si>
  <si>
    <t>I like trains more than Kawasakis .</t>
  </si>
  <si>
    <t>J' aime les trains plus que les Kawasakis .</t>
  </si>
  <si>
    <t>Amo le Kawasakis più degli aeroplani .</t>
  </si>
  <si>
    <t>I like Kawasakis more than airplanes .</t>
  </si>
  <si>
    <t>J' aime les Kawasakis plus que les avions .</t>
  </si>
  <si>
    <t>Amo gli aeroplani più delle Kawasakis .</t>
  </si>
  <si>
    <t>I like planes more than Kawasakis .</t>
  </si>
  <si>
    <t>J' aime les avions plus que les Kawasakis .</t>
  </si>
  <si>
    <t>Amo le camicie più degli animali domestici .</t>
  </si>
  <si>
    <t>I like shirts more than pets .</t>
  </si>
  <si>
    <t>J' aime les chemises plus que les animaux de compagnie .</t>
  </si>
  <si>
    <t>Amo gli animali domestici più delle camicie .</t>
  </si>
  <si>
    <t>I like pets more than shirts .</t>
  </si>
  <si>
    <t>J' aime les animaux de compagnie plus que les chemises .</t>
  </si>
  <si>
    <t>Amo le camicie più dei vestiti .</t>
  </si>
  <si>
    <t>I like shirts more than clothes .</t>
  </si>
  <si>
    <t>J' aime les chemises plus que les vêtements .</t>
  </si>
  <si>
    <t>Amo i vestiti più delle camicie .</t>
  </si>
  <si>
    <t>I like clothes more than shirts .</t>
  </si>
  <si>
    <t>J' aime les vêtements plus que les chemises .</t>
  </si>
  <si>
    <t>Amo i vestiti più degli animali domestici .</t>
  </si>
  <si>
    <t>I like clothes more than pets .</t>
  </si>
  <si>
    <t>J' aime les vêtements plus que les animaux de compagnie .</t>
  </si>
  <si>
    <t>Amo le camicie più dei gioielli .</t>
  </si>
  <si>
    <t>I like shirts more than jewelry .</t>
  </si>
  <si>
    <t>J' aime les chemises plus que les bijoux .</t>
  </si>
  <si>
    <t>Amo i gioielli più delle camicie .</t>
  </si>
  <si>
    <t>I like jewelry more than shirts .</t>
  </si>
  <si>
    <t>J' aime les bijoux plus que les chemises .</t>
  </si>
  <si>
    <t>Amo i vestiti più dei gioielli .</t>
  </si>
  <si>
    <t>I like clothes more than jewelry .</t>
  </si>
  <si>
    <t>J' aime les vêtements plus que les bijoux .</t>
  </si>
  <si>
    <t>Amo le camicie più degli occhiali .</t>
  </si>
  <si>
    <t>I like shirts more than glasses .</t>
  </si>
  <si>
    <t>J' aime les chemises plus que les lunettes .</t>
  </si>
  <si>
    <t>Amo gli occhiali più delle camicie .</t>
  </si>
  <si>
    <t>I like glasses more than shirts .</t>
  </si>
  <si>
    <t>J' aime les lunettes plus que les chemises .</t>
  </si>
  <si>
    <t>Amo i vestiti più degli occhiali .</t>
  </si>
  <si>
    <t>I like clothes more than glasses .</t>
  </si>
  <si>
    <t>J' aime les vêtements plus que les lunettes .</t>
  </si>
  <si>
    <t>Amo le camicie più degli orecchini .</t>
  </si>
  <si>
    <t>I like shirts more than earrings .</t>
  </si>
  <si>
    <t>J' aime les chemises plus que les boucles d' oreille .</t>
  </si>
  <si>
    <t>Amo gli orecchini più delle camicie .</t>
  </si>
  <si>
    <t>I like earrings more than shirts .</t>
  </si>
  <si>
    <t>J' aime les boucles d' oreille plus que les chemises .</t>
  </si>
  <si>
    <t>Amo i vestiti più degli orecchini .</t>
  </si>
  <si>
    <t>I like clothes more than earrings .</t>
  </si>
  <si>
    <t>J' aime les vêtements plus que les boucles d' oreille .</t>
  </si>
  <si>
    <t>Amo i pantaloni più degli animali domestici .</t>
  </si>
  <si>
    <t>I like trousers more than pets .</t>
  </si>
  <si>
    <t>J' aime les pantalons plus que les animaux de compagnie .</t>
  </si>
  <si>
    <t>Amo gli animali domestici più dei pantaloni .</t>
  </si>
  <si>
    <t>I like pets more than trousers .</t>
  </si>
  <si>
    <t>J' aime les animaux de compagnie plus que les pantalons .</t>
  </si>
  <si>
    <t>Amo i pantaloni più dei vestiti .</t>
  </si>
  <si>
    <t>I like trousers more than clothes .</t>
  </si>
  <si>
    <t>J' aime les pantalons plus que les vêtements .</t>
  </si>
  <si>
    <t>Amo i vestiti più dei pantaloni .</t>
  </si>
  <si>
    <t>I like clothes more than trousers .</t>
  </si>
  <si>
    <t>J' aime les vêtements plus que les pantalons .</t>
  </si>
  <si>
    <t>Amo i pantaloni più dei gioielli .</t>
  </si>
  <si>
    <t>I like trousers more than jewelry .</t>
  </si>
  <si>
    <t>J' aime les pantalons plus que les bijoux .</t>
  </si>
  <si>
    <t>Amo i gioielli più dei pantaloni .</t>
  </si>
  <si>
    <t>I like jewelry more than trousers .</t>
  </si>
  <si>
    <t>J' aime les bijoux plus que les pantalons .</t>
  </si>
  <si>
    <t>Amo i pantaloni più degli occhiali .</t>
  </si>
  <si>
    <t>I like trousers more than glasses .</t>
  </si>
  <si>
    <t>J' aime les pantalons plus que les lunettes .</t>
  </si>
  <si>
    <t>Amo gli occhiali più dei pantaloni .</t>
  </si>
  <si>
    <t>I like glasses more than trousers .</t>
  </si>
  <si>
    <t>J' aime les lunettes plus que les pantalons .</t>
  </si>
  <si>
    <t>Amo i pantaloni più degli orecchini .</t>
  </si>
  <si>
    <t>I like trousers more than earrings .</t>
  </si>
  <si>
    <t>J' aime les pantalons plus que les boucles d' oreille .</t>
  </si>
  <si>
    <t>Amo gli orecchini più dei pantaloni .</t>
  </si>
  <si>
    <t>I like earrings more than trousers .</t>
  </si>
  <si>
    <t>J' aime les boucles d' oreille plus que les pantalons .</t>
  </si>
  <si>
    <t>Amo le calze più degli animali domestici .</t>
  </si>
  <si>
    <t>I like socks more than pets .</t>
  </si>
  <si>
    <t>J' aime les chausettes plus que les animaux de compagnie .</t>
  </si>
  <si>
    <t>Amo gli animali domestici più delle calze .</t>
  </si>
  <si>
    <t>I like pets more than socks .</t>
  </si>
  <si>
    <t>J' aime les animaux de compagnie plus que les chausettes .</t>
  </si>
  <si>
    <t>Amo le calze più dei vestiti .</t>
  </si>
  <si>
    <t>I like socks more than clothes .</t>
  </si>
  <si>
    <t>J' aime les chausettes plus que les vêtements .</t>
  </si>
  <si>
    <t>Amo i vestiti più delle calze .</t>
  </si>
  <si>
    <t>I like clothes more than socks .</t>
  </si>
  <si>
    <t>J' aime les vêtements plus que les chausettes .</t>
  </si>
  <si>
    <t>Amo le calze più dei gioielli .</t>
  </si>
  <si>
    <t>I like socks more than jewelry .</t>
  </si>
  <si>
    <t>J' aime les chausettes plus que les bijoux .</t>
  </si>
  <si>
    <t>Amo i gioielli più delle calze .</t>
  </si>
  <si>
    <t>I like jewelry more than socks .</t>
  </si>
  <si>
    <t>J' aime les bijoux plus que les chausettes .</t>
  </si>
  <si>
    <t>Amo le calze più degli occhiali .</t>
  </si>
  <si>
    <t>I like socks more than glasses .</t>
  </si>
  <si>
    <t>J' aime les chausettes plus que les lunettes .</t>
  </si>
  <si>
    <t>Amo gli occhiali più delle calze .</t>
  </si>
  <si>
    <t>I like glasses more than socks .</t>
  </si>
  <si>
    <t>J' aime les lunettes plus que les chausettes .</t>
  </si>
  <si>
    <t>Amo le calze più degli orecchini .</t>
  </si>
  <si>
    <t>I like socks more than earrings .</t>
  </si>
  <si>
    <t>J' aime les chausettes plus que les boucles d' oreille .</t>
  </si>
  <si>
    <t>Amo gli orecchini più delle calze .</t>
  </si>
  <si>
    <t>I like earrings more than socks .</t>
  </si>
  <si>
    <t>J' aime les boucles d' oreille plus que les chausettes .</t>
  </si>
  <si>
    <t>Amo le gonne più degli animali domestici .</t>
  </si>
  <si>
    <t>I like skirts more than pets .</t>
  </si>
  <si>
    <t>J' aime les jupes plus que les animaux de compagnie .</t>
  </si>
  <si>
    <t>Amo gli animali domestici più delle gonne .</t>
  </si>
  <si>
    <t>I like pets more than skirts .</t>
  </si>
  <si>
    <t>J' aime les animaux de compagnie plus que les jupes .</t>
  </si>
  <si>
    <t>Amo le gonne più dei vestiti .</t>
  </si>
  <si>
    <t>I like skirts more than clothes .</t>
  </si>
  <si>
    <t>J' aime les jupes plus que les vêtements .</t>
  </si>
  <si>
    <t>Amo i vestiti più delle gonne .</t>
  </si>
  <si>
    <t>I like clothes more than skirts .</t>
  </si>
  <si>
    <t>J' aime les vêtements plus que les jupes .</t>
  </si>
  <si>
    <t>Amo le gonne più dei gioielli .</t>
  </si>
  <si>
    <t>I like skirts more than jewelry .</t>
  </si>
  <si>
    <t>J' aime les jupes plus que les bijoux .</t>
  </si>
  <si>
    <t>Amo i gioielli più delle gonne .</t>
  </si>
  <si>
    <t>I like jewelry more than skirts .</t>
  </si>
  <si>
    <t>J' aime les bijoux plus que les jupes .</t>
  </si>
  <si>
    <t>Amo le gonne più degli occhiali .</t>
  </si>
  <si>
    <t>I like skirts more than glasses .</t>
  </si>
  <si>
    <t>J' aime les jupes plus que les lunettes .</t>
  </si>
  <si>
    <t>Amo gli occhiali più delle gonne .</t>
  </si>
  <si>
    <t>I like glasses more than skirts .</t>
  </si>
  <si>
    <t>J' aime les lunettes plus que les jupes .</t>
  </si>
  <si>
    <t>Amo le gonne più degli orecchini .</t>
  </si>
  <si>
    <t>I like skirts more than earrings .</t>
  </si>
  <si>
    <t>J' aime les jupes plus que les boucles d' oreille .</t>
  </si>
  <si>
    <t>Amo gli orecchini più delle gonne .</t>
  </si>
  <si>
    <t>I like earrings more than skirts .</t>
  </si>
  <si>
    <t>J' aime les boucles d' oreille plus que les jupes .</t>
  </si>
  <si>
    <t>Amo le querce più dell' erba .</t>
  </si>
  <si>
    <t>I like oaks more than grass .</t>
  </si>
  <si>
    <t>J' aime les chênes plus que la pelouse .</t>
  </si>
  <si>
    <t>Amo l' erba più delle querce .</t>
  </si>
  <si>
    <t>I like grass more than oaks .</t>
  </si>
  <si>
    <t>J' aime la pelouse plus que les chênes .</t>
  </si>
  <si>
    <t>Amo le querce più degli alberi .</t>
  </si>
  <si>
    <t>I like oaks more than trees .</t>
  </si>
  <si>
    <t>J' aime les chênes plus que les arbres .</t>
  </si>
  <si>
    <t>Amo gli alberi più delle querce .</t>
  </si>
  <si>
    <t>I like trees more than oaks .</t>
  </si>
  <si>
    <t>J' aime les arbres plus que les chênes .</t>
  </si>
  <si>
    <t>Amo gli alberi più dell' erba .</t>
  </si>
  <si>
    <t>I like trees more than grass .</t>
  </si>
  <si>
    <t>J' aime les arbres plus que la pelouse .</t>
  </si>
  <si>
    <t>Amo le querce più degli animali .</t>
  </si>
  <si>
    <t>I like oaks more than animals .</t>
  </si>
  <si>
    <t>J' aime les chênes plus que les animaux .</t>
  </si>
  <si>
    <t>Amo gli animali più delle querce .</t>
  </si>
  <si>
    <t>I like animals more than oaks .</t>
  </si>
  <si>
    <t>J' aime les animaux plus que les chênes .</t>
  </si>
  <si>
    <t>Amo gli alberi più degli animali .</t>
  </si>
  <si>
    <t>I like trees more than animals .</t>
  </si>
  <si>
    <t>J' aime les arbres plus que les animaux .</t>
  </si>
  <si>
    <t>Amo le querce più dei cespugli .</t>
  </si>
  <si>
    <t>I like oaks more than bushes .</t>
  </si>
  <si>
    <t>J' aime les chênes plus que les buissons .</t>
  </si>
  <si>
    <t>Amo i cespugli più delle querce .</t>
  </si>
  <si>
    <t>I like bushes more than oaks .</t>
  </si>
  <si>
    <t>J' aime les buissons plus que les chênes .</t>
  </si>
  <si>
    <t>Amo gli alberi più dei cespugli .</t>
  </si>
  <si>
    <t>I like trees more than bushes .</t>
  </si>
  <si>
    <t>J' aime les arbres plus que les buissons .</t>
  </si>
  <si>
    <t>Amo le querce più degli arbusti .</t>
  </si>
  <si>
    <t>I like oaks more than shrubs .</t>
  </si>
  <si>
    <t>J' aime les chênes plus que les arbustes .</t>
  </si>
  <si>
    <t>Amo gli arbusti più delle querce .</t>
  </si>
  <si>
    <t>I like shrubs more than oaks .</t>
  </si>
  <si>
    <t>J' aime les arbustes plus que les chênes .</t>
  </si>
  <si>
    <t>Amo i thriller , eccetto i saggi .</t>
  </si>
  <si>
    <t>I like thrillers , except essays .</t>
  </si>
  <si>
    <t>J' aime les thrillers , sauf les essais .</t>
  </si>
  <si>
    <t>Amo gli alberi più degli arbusti .</t>
  </si>
  <si>
    <t>I like trees more than shrubs .</t>
  </si>
  <si>
    <t>J' aime les arbres plus que les arbustes .</t>
  </si>
  <si>
    <t>Amo i saggi , eccetto i thriller .</t>
  </si>
  <si>
    <t>I like essays , except thrillers .</t>
  </si>
  <si>
    <t>J' aime les essais , sauf les thrillers .</t>
  </si>
  <si>
    <t>Amo i thriller , eccetto i film .</t>
  </si>
  <si>
    <t>I like thrillers , except movies .</t>
  </si>
  <si>
    <t>J' aime les thrillers , sauf les films .</t>
  </si>
  <si>
    <t>Amo i film , eccetto i thriller .</t>
  </si>
  <si>
    <t>I like movies , except thrillers .</t>
  </si>
  <si>
    <t>J' aime les films , sauf les thrillers .</t>
  </si>
  <si>
    <t>Amo i film , eccetto i saggi .</t>
  </si>
  <si>
    <t>I like movies , except essays .</t>
  </si>
  <si>
    <t>J' aime les films , sauf les essais .</t>
  </si>
  <si>
    <t>Amo le betulle più dell' erba .</t>
  </si>
  <si>
    <t>I like birches more than grass .</t>
  </si>
  <si>
    <t>J' aime les bouleaux plus que la pelouse .</t>
  </si>
  <si>
    <t>Amo l' erba più delle betulle .</t>
  </si>
  <si>
    <t>I like grass more than birches .</t>
  </si>
  <si>
    <t>J' aime la pelouse plus que les bouleaux .</t>
  </si>
  <si>
    <t>Amo le betulle più degli alberi .</t>
  </si>
  <si>
    <t>I like birches more than trees .</t>
  </si>
  <si>
    <t>J' aime les bouleaux plus que les arbres .</t>
  </si>
  <si>
    <t>Amo gli alberi più delle betulle .</t>
  </si>
  <si>
    <t>I like trees more than birches .</t>
  </si>
  <si>
    <t>J' aime les arbres plus que les bouleaux .</t>
  </si>
  <si>
    <t>Amo le betulle più degli animali .</t>
  </si>
  <si>
    <t>I like birches more than animals .</t>
  </si>
  <si>
    <t>J' aime les bouleaux plus que les animaux .</t>
  </si>
  <si>
    <t>Amo gli animali più delle betulle .</t>
  </si>
  <si>
    <t>I like animals more than birches .</t>
  </si>
  <si>
    <t>J' aime les animaux plus que les bouleaux .</t>
  </si>
  <si>
    <t>Amo i thriller , eccetto i sussidiari .</t>
  </si>
  <si>
    <t>I like thrillers , except textbooks .</t>
  </si>
  <si>
    <t>J' aime les thrillers , sauf les manuels scolaires .</t>
  </si>
  <si>
    <t>Amo le betulle più dei cespugli .</t>
  </si>
  <si>
    <t>I like birches more than bushes .</t>
  </si>
  <si>
    <t>J' aime les bouleaux plus que les buissons .</t>
  </si>
  <si>
    <t>Amo i cespugli più delle betulle .</t>
  </si>
  <si>
    <t>I like bushes more than birches .</t>
  </si>
  <si>
    <t>J' aime les buissons plus que les bouleaux .</t>
  </si>
  <si>
    <t>Amo le betulle più degli arbusti .</t>
  </si>
  <si>
    <t>I like birches more than shrubs .</t>
  </si>
  <si>
    <t>J' aime les bouleaux plus que les arbustes .</t>
  </si>
  <si>
    <t>Amo gli arbusti più delle betulle .</t>
  </si>
  <si>
    <t>I like shrubs more than birches .</t>
  </si>
  <si>
    <t>J' aime les arbustes plus que les bouleaux .</t>
  </si>
  <si>
    <t>Amo i sussidiari , eccetto i thriller .</t>
  </si>
  <si>
    <t>I like textbooks , except thrillers .</t>
  </si>
  <si>
    <t>J' aime les manuels scolaires , sauf les thrillers .</t>
  </si>
  <si>
    <t>Amo i film , eccetto i sussidiari .</t>
  </si>
  <si>
    <t>I like movies , except textbooks .</t>
  </si>
  <si>
    <t>J' aime les films , sauf les manuels scolaires .</t>
  </si>
  <si>
    <t>Amo i thriller , eccetto i giochi da tavolo .</t>
  </si>
  <si>
    <t>I like thrillers , except boardgames .</t>
  </si>
  <si>
    <t>J' aime les thrillers , sauf les jeux de société .</t>
  </si>
  <si>
    <t>Amo gli abeti più dell' erba .</t>
  </si>
  <si>
    <t>I like firs more than grass .</t>
  </si>
  <si>
    <t>J' aime les sapins plus que la pelouse .</t>
  </si>
  <si>
    <t>Amo l' erba più degli abeti .</t>
  </si>
  <si>
    <t>I like grass more than firs .</t>
  </si>
  <si>
    <t>J' aime la pelouse plus que les sapins .</t>
  </si>
  <si>
    <t>Amo gli abeti più degli alberi .</t>
  </si>
  <si>
    <t>I like firs more than trees .</t>
  </si>
  <si>
    <t>J' aime les sapins plus que les arbres .</t>
  </si>
  <si>
    <t>Amo gli alberi più degli abeti .</t>
  </si>
  <si>
    <t>I like trees more than firs .</t>
  </si>
  <si>
    <t>J' aime les arbres plus que les sapins .</t>
  </si>
  <si>
    <t>Amo gli abeti più degli animali .</t>
  </si>
  <si>
    <t>I like firs more than animals .</t>
  </si>
  <si>
    <t>J' aime les sapins plus que les animaux .</t>
  </si>
  <si>
    <t>Amo gli animali più degli abeti .</t>
  </si>
  <si>
    <t>I like animals more than firs .</t>
  </si>
  <si>
    <t>J' aime les animaux plus que les sapins .</t>
  </si>
  <si>
    <t>Amo i giochi da tavolo , eccetto i thriller .</t>
  </si>
  <si>
    <t>I like boardgames , except thrillers .</t>
  </si>
  <si>
    <t>J' aime les jeux de société , sauf les thrillers .</t>
  </si>
  <si>
    <t>Amo gli abeti più dei cespugli .</t>
  </si>
  <si>
    <t>I like firs more than bushes .</t>
  </si>
  <si>
    <t>J' aime les sapins plus que les buissons .</t>
  </si>
  <si>
    <t>Amo i cespugli più degli abeti .</t>
  </si>
  <si>
    <t>I like bushes more than firs .</t>
  </si>
  <si>
    <t>J' aime les buissons plus que les sapins .</t>
  </si>
  <si>
    <t>Amo gli abeti più degli arbusti .</t>
  </si>
  <si>
    <t>I like firs more than shrubs .</t>
  </si>
  <si>
    <t>J' aime les sapins plus que les arbustes .</t>
  </si>
  <si>
    <t>Amo gli arbusti più degli abeti .</t>
  </si>
  <si>
    <t>I like shrubs more than firs .</t>
  </si>
  <si>
    <t>J' aime les arbustes plus que les sapins .</t>
  </si>
  <si>
    <t>Amo i film , eccetto i giochi da tavolo .</t>
  </si>
  <si>
    <t>I like movies , except boardgames .</t>
  </si>
  <si>
    <t>J' aime les films , sauf les jeux de société .</t>
  </si>
  <si>
    <t>Amo i thriller , eccetto i videogiochi .</t>
  </si>
  <si>
    <t>I like thrillers , except videogames .</t>
  </si>
  <si>
    <t>J' aime les thrillers , sauf les jeux vidéo .</t>
  </si>
  <si>
    <t>Amo i videogiochi , eccetto i thriller .</t>
  </si>
  <si>
    <t>I like videogames , except thrillers .</t>
  </si>
  <si>
    <t>J' aime les jeux vidéo , sauf les thrillers .</t>
  </si>
  <si>
    <t>Amo i pini più dell' erba .</t>
  </si>
  <si>
    <t>I like pines more than grass .</t>
  </si>
  <si>
    <t>J' aime les pins plus que la pelouse .</t>
  </si>
  <si>
    <t>Amo l' erba più dei pini .</t>
  </si>
  <si>
    <t>I like grass more than pines .</t>
  </si>
  <si>
    <t>J' aime la pelouse plus que les pins .</t>
  </si>
  <si>
    <t>Amo i pini più degli alberi .</t>
  </si>
  <si>
    <t>I like pines more than trees .</t>
  </si>
  <si>
    <t>J' aime les pins plus que les arbres .</t>
  </si>
  <si>
    <t>Amo gli alberi più dei pini .</t>
  </si>
  <si>
    <t>I like trees more than pines .</t>
  </si>
  <si>
    <t>J' aime les arbres plus que les pins .</t>
  </si>
  <si>
    <t>Amo i pini più degli animali .</t>
  </si>
  <si>
    <t>I like pines more than animals .</t>
  </si>
  <si>
    <t>J' aime les pins plus que les animaux .</t>
  </si>
  <si>
    <t>Amo gli animali più dei pini .</t>
  </si>
  <si>
    <t>I like animals more than pines .</t>
  </si>
  <si>
    <t>J' aime les animaux plus que les pins .</t>
  </si>
  <si>
    <t>Amo i pini più dei cespugli .</t>
  </si>
  <si>
    <t>I like pines more than bushes .</t>
  </si>
  <si>
    <t>J' aime les pins plus que les buissons .</t>
  </si>
  <si>
    <t>Amo i cespugli più dei pini .</t>
  </si>
  <si>
    <t>I like bushes more than pines .</t>
  </si>
  <si>
    <t>J' aime les buissons plus que les pins .</t>
  </si>
  <si>
    <t>Amo i pini più degli arbusti .</t>
  </si>
  <si>
    <t>I like pines more than shrubs .</t>
  </si>
  <si>
    <t>J' aime les pins plus que les arbustes .</t>
  </si>
  <si>
    <t>Amo gli arbusti più dei pini .</t>
  </si>
  <si>
    <t>I like shrubs more than pines .</t>
  </si>
  <si>
    <t>J' aime les arbustes plus que les pins .</t>
  </si>
  <si>
    <t>Amo i film , eccetto i videogiochi .</t>
  </si>
  <si>
    <t>I like movies , except videogames .</t>
  </si>
  <si>
    <t>J' aime les films , sauf les jeux vidéo .</t>
  </si>
  <si>
    <t>Uso il poliestere più del legno .</t>
  </si>
  <si>
    <t>I use polyester more than wood .</t>
  </si>
  <si>
    <t>J' utilise le polyester plus que le bois .</t>
  </si>
  <si>
    <t>Uso il legno più del poliestere .</t>
  </si>
  <si>
    <t>I use wood more than polyester .</t>
  </si>
  <si>
    <t>J' utilise le bois plus que le polyester .</t>
  </si>
  <si>
    <t>Uso il poliestere più della plastica .</t>
  </si>
  <si>
    <t>I use polyester more than plastic .</t>
  </si>
  <si>
    <t>J' utilise le polyester plus que le plastique .</t>
  </si>
  <si>
    <t>Uso la plastica più del poliestere .</t>
  </si>
  <si>
    <t>I use plastic more than polyester .</t>
  </si>
  <si>
    <t>J' utilise le plastique plus que le polyester .</t>
  </si>
  <si>
    <t>Uso la plastica più del legno .</t>
  </si>
  <si>
    <t>I use plastic more than wood .</t>
  </si>
  <si>
    <t>J' utilise le plastique plus que le bois .</t>
  </si>
  <si>
    <t>Uso il poliestere più del cotone .</t>
  </si>
  <si>
    <t>I use polyester more than cotton .</t>
  </si>
  <si>
    <t>J' utilise le polyester plus que le coton .</t>
  </si>
  <si>
    <t>Uso il cotone più del poliestere .</t>
  </si>
  <si>
    <t>I use cotton more than polyester .</t>
  </si>
  <si>
    <t>J' utilise le coton plus que le polyester .</t>
  </si>
  <si>
    <t>Uso la plastica più del cotone .</t>
  </si>
  <si>
    <t>I use plastic more than cotton .</t>
  </si>
  <si>
    <t>J' utilise le plastique plus que le coton .</t>
  </si>
  <si>
    <t>Uso il poliestere più del vetro .</t>
  </si>
  <si>
    <t>I use polyester more than glass .</t>
  </si>
  <si>
    <t>J' utilise le polyester plus que le verre .</t>
  </si>
  <si>
    <t>Uso il vetro più del poliestere .</t>
  </si>
  <si>
    <t>I use glass more than polyester .</t>
  </si>
  <si>
    <t>J' utilise le verre plus que le polyester .</t>
  </si>
  <si>
    <t>Uso la plastica più del vetro .</t>
  </si>
  <si>
    <t>I use plastic more than glass .</t>
  </si>
  <si>
    <t>J' utilise le plastique plus que le verre .</t>
  </si>
  <si>
    <t>Uso il poliestere più del cuoio .</t>
  </si>
  <si>
    <t>I use polyester more than leather .</t>
  </si>
  <si>
    <t>J' utilise le polyester plus que le cuir .</t>
  </si>
  <si>
    <t>Uso il cuoio più del poliestere .</t>
  </si>
  <si>
    <t>I use leather more than polyester .</t>
  </si>
  <si>
    <t>J' utilise le cuir plus que le polyester .</t>
  </si>
  <si>
    <t>Uso la plastica più del cuoio .</t>
  </si>
  <si>
    <t>I use plastic more than leather .</t>
  </si>
  <si>
    <t>J' utilise le plastique plus que le cuir .</t>
  </si>
  <si>
    <t>Uso il nylon più del legno .</t>
  </si>
  <si>
    <t>I use nylon more than wood .</t>
  </si>
  <si>
    <t>J' utilise le nylon plus que le bois .</t>
  </si>
  <si>
    <t>Uso il legno più del nylon .</t>
  </si>
  <si>
    <t>I use wood more than nylon .</t>
  </si>
  <si>
    <t>J' utilise le bois plus que le nylon .</t>
  </si>
  <si>
    <t>Uso il nylon più della plastica .</t>
  </si>
  <si>
    <t>I use nylon more than plastic .</t>
  </si>
  <si>
    <t>J' utilise le nylon plus que le plastique .</t>
  </si>
  <si>
    <t>Uso la plastica più del nylon .</t>
  </si>
  <si>
    <t>I use plastic more than nylon .</t>
  </si>
  <si>
    <t>J' utilise le plastique plus que le nylon .</t>
  </si>
  <si>
    <t>Uso il nylon più del cotone .</t>
  </si>
  <si>
    <t>I use nylon more than cotton .</t>
  </si>
  <si>
    <t>J' utilise le nylon plus que le coton .</t>
  </si>
  <si>
    <t>Uso il cotone più del nylon .</t>
  </si>
  <si>
    <t>I use cotton more than nylon .</t>
  </si>
  <si>
    <t>J' utilise le coton plus que le nylon .</t>
  </si>
  <si>
    <t>Uso il nylon più del vetro .</t>
  </si>
  <si>
    <t>I use nylon more than glass .</t>
  </si>
  <si>
    <t>J' utilise le nylon plus que le verre .</t>
  </si>
  <si>
    <t>Uso il vetro più del nylon .</t>
  </si>
  <si>
    <t>I use glass more than nylon .</t>
  </si>
  <si>
    <t>J' utilise le verre plus que le nylon .</t>
  </si>
  <si>
    <t>Uso il nylon più del cuoio .</t>
  </si>
  <si>
    <t>I use nylon more than leather .</t>
  </si>
  <si>
    <t>J' utilise le nylon plus que le cuir .</t>
  </si>
  <si>
    <t>Uso il cuoio più del nylon .</t>
  </si>
  <si>
    <t>I use leather more than nylon .</t>
  </si>
  <si>
    <t>J' utilise le cuir plus que le nylon .</t>
  </si>
  <si>
    <t>Uso il vinile più del legno .</t>
  </si>
  <si>
    <t>I use vinyl more than wood .</t>
  </si>
  <si>
    <t>J' utilise le vinyle plus que le bois .</t>
  </si>
  <si>
    <t>Uso il legno più del vinile .</t>
  </si>
  <si>
    <t>I use wood more than vinyl .</t>
  </si>
  <si>
    <t>J' utilise le bois plus que le vinyle .</t>
  </si>
  <si>
    <t>Uso il vinile più della plastica .</t>
  </si>
  <si>
    <t>I use vinyl more than plastic .</t>
  </si>
  <si>
    <t>J' utilise le vinyle plus que le plastique .</t>
  </si>
  <si>
    <t>Uso la plastica più del vinile .</t>
  </si>
  <si>
    <t>I use plastic more than vinyl .</t>
  </si>
  <si>
    <t>J' utilise le plastique plus que le vinyle .</t>
  </si>
  <si>
    <t>Uso il vinile più del cotone .</t>
  </si>
  <si>
    <t>I use vinyl more than cotton .</t>
  </si>
  <si>
    <t>J' utilise le vinyle plus que le coton .</t>
  </si>
  <si>
    <t>Uso il cotone più del vinile .</t>
  </si>
  <si>
    <t>I use cotton more than vinyl .</t>
  </si>
  <si>
    <t>J' utilise le coton plus que le vinyle .</t>
  </si>
  <si>
    <t>Uso il vinile più del vetro .</t>
  </si>
  <si>
    <t>I use vinyl more than glass .</t>
  </si>
  <si>
    <t>J' utilise le vinyle plus que le verre .</t>
  </si>
  <si>
    <t>Uso il vetro più del vinile .</t>
  </si>
  <si>
    <t>I use glass more than vinyl .</t>
  </si>
  <si>
    <t>J' utilise le verre plus que le vinyle .</t>
  </si>
  <si>
    <t>Uso il vinile più del cuoio .</t>
  </si>
  <si>
    <t>I use vinyl more than leather .</t>
  </si>
  <si>
    <t>J' utilise le vinyle plus que le cuir .</t>
  </si>
  <si>
    <t>Uso il cuoio più del vinile .</t>
  </si>
  <si>
    <t>I use leather more than vinyl .</t>
  </si>
  <si>
    <t>J' utilise le cuir plus que le vinyle .</t>
  </si>
  <si>
    <t>Amo i western , eccetto i saggi .</t>
  </si>
  <si>
    <t>I like westerns , except essays .</t>
  </si>
  <si>
    <t>J' aime les westerns , sauf les essais .</t>
  </si>
  <si>
    <t>Uso il PVC più del legno .</t>
  </si>
  <si>
    <t>I use PVC more than wood .</t>
  </si>
  <si>
    <t>J' utilise le PVC plus que le bois .</t>
  </si>
  <si>
    <t>Uso il legno più del PVC .</t>
  </si>
  <si>
    <t>I use wood more than PVC .</t>
  </si>
  <si>
    <t>J' utilise le bois plus que le PVC .</t>
  </si>
  <si>
    <t>Uso il PVC più della plastica .</t>
  </si>
  <si>
    <t>I use PVC more than plastic .</t>
  </si>
  <si>
    <t>J' utilise le PVC plus que le plastique .</t>
  </si>
  <si>
    <t>Uso la plastica più del PVC .</t>
  </si>
  <si>
    <t>I use plastic more than PVC .</t>
  </si>
  <si>
    <t>J' utilise le plastique plus que le PVC .</t>
  </si>
  <si>
    <t>Uso il PVC più del cotone .</t>
  </si>
  <si>
    <t>I use PVC more than cotton .</t>
  </si>
  <si>
    <t>J' utilise le PVC plus que le coton .</t>
  </si>
  <si>
    <t>Uso il cotone più del PVC .</t>
  </si>
  <si>
    <t>I use cotton more than PVC .</t>
  </si>
  <si>
    <t>J' utilise le coton plus que le PVC .</t>
  </si>
  <si>
    <t>Amo i saggi , eccetto i western .</t>
  </si>
  <si>
    <t>I like essays , except westerns .</t>
  </si>
  <si>
    <t>J' aime les essais , sauf les westerns .</t>
  </si>
  <si>
    <t>Uso il PVC più del vetro .</t>
  </si>
  <si>
    <t>I use PVC more than glass .</t>
  </si>
  <si>
    <t>J' utilise le PVC plus que le verre .</t>
  </si>
  <si>
    <t>Uso il vetro più del PVC .</t>
  </si>
  <si>
    <t>I use glass more than PVC .</t>
  </si>
  <si>
    <t>J' utilise le verre plus que le PVC .</t>
  </si>
  <si>
    <t>Uso il PVC più del cuoio .</t>
  </si>
  <si>
    <t>I use PVC more than leather .</t>
  </si>
  <si>
    <t>J' utilise le PVC plus que le cuir .</t>
  </si>
  <si>
    <t>Uso il cuoio più del PVC .</t>
  </si>
  <si>
    <t>I use leather more than PVC .</t>
  </si>
  <si>
    <t>J' utilise le cuir plus que le PVC .</t>
  </si>
  <si>
    <t>Amo i western , eccetto i film .</t>
  </si>
  <si>
    <t>I like westerns , except movies .</t>
  </si>
  <si>
    <t>J' aime les westerns , sauf les films .</t>
  </si>
  <si>
    <t>Amo i film , eccetto i western .</t>
  </si>
  <si>
    <t>I like movies , except westerns .</t>
  </si>
  <si>
    <t>J' aime les films , sauf les westerns .</t>
  </si>
  <si>
    <t>Amo i western , eccetto i sussidiari .</t>
  </si>
  <si>
    <t>I like westerns , except textbooks .</t>
  </si>
  <si>
    <t>J' aime les westerns , sauf les manuels scolaires .</t>
  </si>
  <si>
    <t>Amo i sussidiari , eccetto i western .</t>
  </si>
  <si>
    <t>I like textbooks , except westerns .</t>
  </si>
  <si>
    <t>J' aime les manuels scolaires , sauf les westerns .</t>
  </si>
  <si>
    <t>Apprezzo le sedie più delle posate .</t>
  </si>
  <si>
    <t>I like chairs more than cutlery .</t>
  </si>
  <si>
    <t>J' apprécie les chaises plus que les couverts .</t>
  </si>
  <si>
    <t>Apprezzo le posate più delle sedie .</t>
  </si>
  <si>
    <t>I like cutlery more than chairs .</t>
  </si>
  <si>
    <t>J' apprécie les couverts plus que les chaises .</t>
  </si>
  <si>
    <t>Apprezzo le sedie più dei mobili .</t>
  </si>
  <si>
    <t>I like chairs more than furniture .</t>
  </si>
  <si>
    <t>J' apprécie les chaises plus que les meubles .</t>
  </si>
  <si>
    <t>Apprezzo i mobili più delle sedie .</t>
  </si>
  <si>
    <t>I like furniture more than chairs .</t>
  </si>
  <si>
    <t>J' apprécie les meubles plus que les chaises .</t>
  </si>
  <si>
    <t>Apprezzo i mobili più delle posate .</t>
  </si>
  <si>
    <t>I like furniture more than cutlery .</t>
  </si>
  <si>
    <t>J' apprécie les meubles plus que les couverts .</t>
  </si>
  <si>
    <t>Apprezzo le sedie più dei dipinti .</t>
  </si>
  <si>
    <t>I like chairs more than paintings .</t>
  </si>
  <si>
    <t>J' apprécie les chaises plus que les peintures .</t>
  </si>
  <si>
    <t>Apprezzo i dipinti più delle sedie .</t>
  </si>
  <si>
    <t>I like paintings more than chairs .</t>
  </si>
  <si>
    <t>J' apprécie les peintures plus que les chaises .</t>
  </si>
  <si>
    <t>Apprezzo i mobili più dei dipinti .</t>
  </si>
  <si>
    <t>I like furniture more than paintings .</t>
  </si>
  <si>
    <t>J' apprécie les meubles plus que les peintures .</t>
  </si>
  <si>
    <t>Apprezzo le sedie più della carta da parati .</t>
  </si>
  <si>
    <t>I like chairs more than wallpaper .</t>
  </si>
  <si>
    <t>J' apprécie les chaises plus que le papier peint .</t>
  </si>
  <si>
    <t>Apprezzo la carta da parati più delle sedie .</t>
  </si>
  <si>
    <t>I like wallpaper more than chairs .</t>
  </si>
  <si>
    <t>J' apprécie le papier peint plus que les chaises .</t>
  </si>
  <si>
    <t>Apprezzo i mobili più della carta da parati .</t>
  </si>
  <si>
    <t>I like furniture more than wallpaper .</t>
  </si>
  <si>
    <t>J' apprécie les meubles plus que le papier peint .</t>
  </si>
  <si>
    <t>Apprezzo le sedie più del parquet .</t>
  </si>
  <si>
    <t>I like chairs more than parquet .</t>
  </si>
  <si>
    <t>J' apprécie les chaises plus que le parquet .</t>
  </si>
  <si>
    <t>Apprezzo il parquet più delle sedie .</t>
  </si>
  <si>
    <t>I like parquet more than chairs .</t>
  </si>
  <si>
    <t>J' apprécie le parquet plus que les chaises .</t>
  </si>
  <si>
    <t>Apprezzo i mobili più del parquet .</t>
  </si>
  <si>
    <t>I like furniture more than parquet .</t>
  </si>
  <si>
    <t>J' apprécie les meubles plus que le parquet .</t>
  </si>
  <si>
    <t>Amo i western , eccetto i giochi da tavolo .</t>
  </si>
  <si>
    <t>I like westerns , except boardgames .</t>
  </si>
  <si>
    <t>J' aime les westerns , sauf les jeux de société .</t>
  </si>
  <si>
    <t>Amo i giochi da tavolo , eccetto i western .</t>
  </si>
  <si>
    <t>I like boardgames , except westerns .</t>
  </si>
  <si>
    <t>J' aime les jeux de société , sauf les westerns .</t>
  </si>
  <si>
    <t>Apprezzo i tavoli più delle posate .</t>
  </si>
  <si>
    <t>I like tables more than cutlery .</t>
  </si>
  <si>
    <t>J' apprécie les tables plus que les couverts .</t>
  </si>
  <si>
    <t>Apprezzo le posate più dei tavoli .</t>
  </si>
  <si>
    <t>I like cutlery more than tables .</t>
  </si>
  <si>
    <t>J' apprécie les couverts plus que les tables .</t>
  </si>
  <si>
    <t>Apprezzo i tavoli più dei mobili .</t>
  </si>
  <si>
    <t>I like tables more than furniture .</t>
  </si>
  <si>
    <t>J' apprécie les tables plus que les meubles .</t>
  </si>
  <si>
    <t>Apprezzo i mobili più dei tavoli .</t>
  </si>
  <si>
    <t>I like furniture more than tables .</t>
  </si>
  <si>
    <t>J' apprécie les meubles plus que les tables .</t>
  </si>
  <si>
    <t>Apprezzo i tavoli più dei dipinti .</t>
  </si>
  <si>
    <t>I like tables more than paintings .</t>
  </si>
  <si>
    <t>J' apprécie les tables plus que les peintures .</t>
  </si>
  <si>
    <t>Apprezzo i dipinti più dei tavoli .</t>
  </si>
  <si>
    <t>I like paintings more than tables .</t>
  </si>
  <si>
    <t>J' apprécie les peintures plus que les tables .</t>
  </si>
  <si>
    <t>Apprezzo i tavoli più della carta da parati .</t>
  </si>
  <si>
    <t>I like tables more than wallpaper .</t>
  </si>
  <si>
    <t>J' apprécie les tables plus que le papier peint .</t>
  </si>
  <si>
    <t>Apprezzo la carta da parati più dei tavoli .</t>
  </si>
  <si>
    <t>I like wallpaper more than tables .</t>
  </si>
  <si>
    <t>J' apprécie le papier peint plus que les tables .</t>
  </si>
  <si>
    <t>Apprezzo i tavoli più del parquet .</t>
  </si>
  <si>
    <t>I like tables more than parquet .</t>
  </si>
  <si>
    <t>J' apprécie les tables plus que le parquet .</t>
  </si>
  <si>
    <t>Apprezzo il parquet più dei tavoli .</t>
  </si>
  <si>
    <t>I like parquet more than tables .</t>
  </si>
  <si>
    <t>J' apprécie le parquet plus que les tables .</t>
  </si>
  <si>
    <t>Amo i western , eccetto i videogiochi .</t>
  </si>
  <si>
    <t>I like westerns , except videogames .</t>
  </si>
  <si>
    <t>J' aime les westerns , sauf les jeux vidéo .</t>
  </si>
  <si>
    <t>Amo i videogiochi , eccetto i western .</t>
  </si>
  <si>
    <t>I like videogames , except westerns .</t>
  </si>
  <si>
    <t>J' aime les jeux vidéo , sauf les westerns .</t>
  </si>
  <si>
    <t>Apprezzo i guardaroba più delle posate .</t>
  </si>
  <si>
    <t>I like wardrobes more than cutlery .</t>
  </si>
  <si>
    <t>J' apprécie les armoires plus que les couverts .</t>
  </si>
  <si>
    <t>Apprezzo le posate più dei guardaroba .</t>
  </si>
  <si>
    <t>I like cutlery more than wardrobes .</t>
  </si>
  <si>
    <t>J' apprécie les couverts plus que les armoires .</t>
  </si>
  <si>
    <t>Apprezzo i guardaroba più dei mobili .</t>
  </si>
  <si>
    <t>I like wardrobes more than furniture .</t>
  </si>
  <si>
    <t>J' apprécie les armoires plus que les meubles .</t>
  </si>
  <si>
    <t>Apprezzo i mobili più dei guardaroba .</t>
  </si>
  <si>
    <t>I like furniture more than wardrobes .</t>
  </si>
  <si>
    <t>J' apprécie les meubles plus que les armoires .</t>
  </si>
  <si>
    <t>Apprezzo i guardaroba più dei dipinti .</t>
  </si>
  <si>
    <t>I like wardrobes more than paintings .</t>
  </si>
  <si>
    <t>J' apprécie les armoires plus que les peintures .</t>
  </si>
  <si>
    <t>Apprezzo i dipinti più dei guardaroba .</t>
  </si>
  <si>
    <t>I like paintings more than wardrobes .</t>
  </si>
  <si>
    <t>J' apprécie les peintures plus que les armoires .</t>
  </si>
  <si>
    <t>Apprezzo i guardaroba più della carta da parati .</t>
  </si>
  <si>
    <t>I like wardrobes more than wallpaper .</t>
  </si>
  <si>
    <t>J' apprécie les armoires plus que le papier peint .</t>
  </si>
  <si>
    <t>Apprezzo la carta da parati più dei guardaroba .</t>
  </si>
  <si>
    <t>I like wallpaper more than wardrobes .</t>
  </si>
  <si>
    <t>J' apprécie le papier peint plus que les armoires .</t>
  </si>
  <si>
    <t>Apprezzo i guardaroba più del parquet .</t>
  </si>
  <si>
    <t>I like wardrobes more than parquet .</t>
  </si>
  <si>
    <t>J' apprécie les armoires plus que le parquet .</t>
  </si>
  <si>
    <t>Apprezzo il parquet più dei guardaroba .</t>
  </si>
  <si>
    <t>I like parquet more than wardrobes .</t>
  </si>
  <si>
    <t>J' apprécie le parquet plus que les armoires .</t>
  </si>
  <si>
    <t>Apprezzo i letti più delle posate .</t>
  </si>
  <si>
    <t>I like beds more than cutlery .</t>
  </si>
  <si>
    <t>J' apprécie les lits plus que les couverts .</t>
  </si>
  <si>
    <t>Apprezzo le posate più dei letti .</t>
  </si>
  <si>
    <t>I like cutlery more than beds .</t>
  </si>
  <si>
    <t>J' apprécie les couverts plus que les lits .</t>
  </si>
  <si>
    <t>Apprezzo i letti più dei mobili .</t>
  </si>
  <si>
    <t>I like beds more than furniture .</t>
  </si>
  <si>
    <t>J' apprécie les lits plus que les meubles .</t>
  </si>
  <si>
    <t>Apprezzo i mobili più dei letti .</t>
  </si>
  <si>
    <t>I like furniture more than beds .</t>
  </si>
  <si>
    <t>J' apprécie les meubles plus que les lits .</t>
  </si>
  <si>
    <t>Apprezzo i letti più dei dipinti .</t>
  </si>
  <si>
    <t>I like beds more than paintings .</t>
  </si>
  <si>
    <t>J' apprécie les lits plus que les peintures .</t>
  </si>
  <si>
    <t>Apprezzo i dipinti più dei letti .</t>
  </si>
  <si>
    <t>I like paintings more than beds .</t>
  </si>
  <si>
    <t>J' apprécie les peintures plus que les lits .</t>
  </si>
  <si>
    <t>Apprezzo i letti più della carta da parati .</t>
  </si>
  <si>
    <t>I like beds more than wallpaper .</t>
  </si>
  <si>
    <t>J' apprécie les lits plus que le papier peint .</t>
  </si>
  <si>
    <t>Apprezzo la carta da parati più dei letti .</t>
  </si>
  <si>
    <t>I like wallpaper more than beds .</t>
  </si>
  <si>
    <t>J' apprécie le papier peint plus que les lits .</t>
  </si>
  <si>
    <t>Apprezzo i letti più del parquet .</t>
  </si>
  <si>
    <t>I like beds more than parquet .</t>
  </si>
  <si>
    <t>J' apprécie les lits plus que le parquet .</t>
  </si>
  <si>
    <t>Apprezzo il parquet più dei letti .</t>
  </si>
  <si>
    <t>I like parquet more than beds .</t>
  </si>
  <si>
    <t>J' apprécie le parquet plus que les lits .</t>
  </si>
  <si>
    <t>Apprezzo il Merlot più della coca cola .</t>
  </si>
  <si>
    <t>I like Merlot more than coca-cola .</t>
  </si>
  <si>
    <t>J' apprécie le Merlot plus que le coca cola .</t>
  </si>
  <si>
    <t>Apprezzo la coca cola più del Merlot .</t>
  </si>
  <si>
    <t>I like coca-cola more than Merlot .</t>
  </si>
  <si>
    <t>J' apprécie le coca cola plus que le Merlot .</t>
  </si>
  <si>
    <t>Apprezzo il Merlot più del vino .</t>
  </si>
  <si>
    <t>I like Merlot more than wine .</t>
  </si>
  <si>
    <t>J' apprécie le Merlot plus que le vin .</t>
  </si>
  <si>
    <t>Apprezzo il vino più del Merlot .</t>
  </si>
  <si>
    <t>I like wine more than Merlot .</t>
  </si>
  <si>
    <t>J' apprécie le vin plus que le Merlot .</t>
  </si>
  <si>
    <t>Apprezzo il vino più della coca cola .</t>
  </si>
  <si>
    <t>I like wine more than coca-cola .</t>
  </si>
  <si>
    <t>J' apprécie le vin plus que le coca cola .</t>
  </si>
  <si>
    <t>Apprezzo il Merlot più dell' acqua .</t>
  </si>
  <si>
    <t>I like Merlot more than water .</t>
  </si>
  <si>
    <t>J' apprécie le Merlot plus que l' eau .</t>
  </si>
  <si>
    <t>Apprezzo l' acqua più del Merlot .</t>
  </si>
  <si>
    <t>I like water more than Merlot .</t>
  </si>
  <si>
    <t>J' apprécie l' eau plus que le Merlot .</t>
  </si>
  <si>
    <t>Apprezzo il vino più dell' acqua .</t>
  </si>
  <si>
    <t>I like wine more than water .</t>
  </si>
  <si>
    <t>J' apprécie le vin plus que l' eau .</t>
  </si>
  <si>
    <t>Apprezzo il Merlot più della sprite .</t>
  </si>
  <si>
    <t>I like Merlot more than sprite .</t>
  </si>
  <si>
    <t>J' apprécie le Merlot plus que la sprite .</t>
  </si>
  <si>
    <t>Apprezzo la sprite più del Merlot .</t>
  </si>
  <si>
    <t>I like sprite more than Merlot .</t>
  </si>
  <si>
    <t>J' apprécie la sprite plus que le Merlot .</t>
  </si>
  <si>
    <t>Apprezzo il vino più della sprite .</t>
  </si>
  <si>
    <t>I like wine more than sprite .</t>
  </si>
  <si>
    <t>J' apprécie le vin plus que la sprite .</t>
  </si>
  <si>
    <t>Apprezzo il Merlot più della birra .</t>
  </si>
  <si>
    <t>I like Merlot more than beer .</t>
  </si>
  <si>
    <t>J' apprécie le Merlot plus que la bière .</t>
  </si>
  <si>
    <t>Apprezzo la birra più del Merlot .</t>
  </si>
  <si>
    <t>I like beer more than Merlot .</t>
  </si>
  <si>
    <t>J' apprécie la bière plus que le Merlot .</t>
  </si>
  <si>
    <t>Apprezzo il vino più della birra .</t>
  </si>
  <si>
    <t>I like wine more than beer .</t>
  </si>
  <si>
    <t>J' apprécie le vin plus que la bière .</t>
  </si>
  <si>
    <t>Apprezzo lo Chardonnay più della coca cola .</t>
  </si>
  <si>
    <t>I like Chardonnay more than coca-cola .</t>
  </si>
  <si>
    <t>J' apprécie le Chardonnay plus que le coca cola .</t>
  </si>
  <si>
    <t>Apprezzo la coca cola più dello Chardonnay .</t>
  </si>
  <si>
    <t>I like coca-cola more than Chardonnay .</t>
  </si>
  <si>
    <t>J' apprécie le coca cola plus que le Chardonnay .</t>
  </si>
  <si>
    <t>Apprezzo lo Chardonnay più del vino .</t>
  </si>
  <si>
    <t>I like Chardonnay more than wine .</t>
  </si>
  <si>
    <t>J' apprécie le Chardonnay plus que le vin .</t>
  </si>
  <si>
    <t>Apprezzo il vino più dello Chardonnay .</t>
  </si>
  <si>
    <t>I like wine more than Chardonnay .</t>
  </si>
  <si>
    <t>J' apprécie le vin plus que le Chardonnay .</t>
  </si>
  <si>
    <t>Apprezzo lo Chardonnay più dell' acqua .</t>
  </si>
  <si>
    <t>I like Chardonnay more than water .</t>
  </si>
  <si>
    <t>J' apprécie le Chardonnay plus que l' eau .</t>
  </si>
  <si>
    <t>Apprezzo l' acqua più dello Chardonnay .</t>
  </si>
  <si>
    <t>I like water more than Chardonnay .</t>
  </si>
  <si>
    <t>J' apprécie l' eau plus que le Chardonnay .</t>
  </si>
  <si>
    <t>Apprezzo lo Chardonnay più della sprite .</t>
  </si>
  <si>
    <t>I like Chardonnay more than sprite .</t>
  </si>
  <si>
    <t>J' apprécie le Chardonnay plus que la sprite .</t>
  </si>
  <si>
    <t>Apprezzo la sprite più dello Chardonnay .</t>
  </si>
  <si>
    <t>I like sprite more than Chardonnay .</t>
  </si>
  <si>
    <t>J' apprécie la sprite plus que le Chardonnay .</t>
  </si>
  <si>
    <t>Apprezzo lo Chardonnay più della birra .</t>
  </si>
  <si>
    <t>I like Chardonnay more than beer .</t>
  </si>
  <si>
    <t>J' apprécie le Chardonnay plus que la bière .</t>
  </si>
  <si>
    <t>Apprezzo la birra più dello Chardonnay .</t>
  </si>
  <si>
    <t>I like beer more than Chardonnay .</t>
  </si>
  <si>
    <t>J' apprécie la bière plus que le Chardonnay .</t>
  </si>
  <si>
    <t>Amo le commedie , eccetto i saggi .</t>
  </si>
  <si>
    <t>I like comedies , except essays .</t>
  </si>
  <si>
    <t>J' aime les comédies , sauf les essais .</t>
  </si>
  <si>
    <t>Amo i saggi , eccetto le commedie .</t>
  </si>
  <si>
    <t>I like essays , except comedies .</t>
  </si>
  <si>
    <t>J' aime les essais , sauf les comédies .</t>
  </si>
  <si>
    <t>Amo le commedie , eccetto i film .</t>
  </si>
  <si>
    <t>I like comedies , except movies .</t>
  </si>
  <si>
    <t>J' aime les comédies , sauf les films .</t>
  </si>
  <si>
    <t>Apprezzo il Chianti più della coca cola .</t>
  </si>
  <si>
    <t>I like Chianti more than coca-cola .</t>
  </si>
  <si>
    <t>J' apprécie le Chianti plus que le coca cola .</t>
  </si>
  <si>
    <t>Apprezzo la coca cola più del Chianti .</t>
  </si>
  <si>
    <t>I like coca-cola more than Chianti .</t>
  </si>
  <si>
    <t>J' apprécie le coca cola plus que le Chianti .</t>
  </si>
  <si>
    <t>Apprezzo il Chianti più del vino .</t>
  </si>
  <si>
    <t>I like Chianti more than wine .</t>
  </si>
  <si>
    <t>J' apprécie le Chianti plus que le vin .</t>
  </si>
  <si>
    <t>Apprezzo il vino più del Chianti .</t>
  </si>
  <si>
    <t>I like wine more than Chianti .</t>
  </si>
  <si>
    <t>J' apprécie le vin plus que le Chianti .</t>
  </si>
  <si>
    <t>Apprezzo il Chianti più dell' acqua .</t>
  </si>
  <si>
    <t>I like Chianti more than water .</t>
  </si>
  <si>
    <t>J' apprécie le Chianti plus que l' eau .</t>
  </si>
  <si>
    <t>Apprezzo l' acqua più del Chianti .</t>
  </si>
  <si>
    <t>I like water more than Chianti .</t>
  </si>
  <si>
    <t>J' apprécie l' eau plus que le Chianti .</t>
  </si>
  <si>
    <t>Amo i film , eccetto le commedie .</t>
  </si>
  <si>
    <t>I like movies , except comedies .</t>
  </si>
  <si>
    <t>J' aime les films , sauf les comédies .</t>
  </si>
  <si>
    <t>Apprezzo il Chianti più della sprite .</t>
  </si>
  <si>
    <t>I like Chianti more than sprite .</t>
  </si>
  <si>
    <t>J' apprécie le Chianti plus que la sprite .</t>
  </si>
  <si>
    <t>Apprezzo la sprite più del Chianti .</t>
  </si>
  <si>
    <t>I like sprite more than Chianti .</t>
  </si>
  <si>
    <t>J' apprécie la sprite plus que le Chianti .</t>
  </si>
  <si>
    <t>Apprezzo il Chianti più della birra .</t>
  </si>
  <si>
    <t>I like Chianti more than beer .</t>
  </si>
  <si>
    <t>J' apprécie le Chianti plus que la bière .</t>
  </si>
  <si>
    <t>Apprezzo la birra più del Chianti .</t>
  </si>
  <si>
    <t>I like beer more than Chianti .</t>
  </si>
  <si>
    <t>J' apprécie la bière plus que le Chianti .</t>
  </si>
  <si>
    <t>Amo le commedie , eccetto i sussidiari .</t>
  </si>
  <si>
    <t>I like comedies , except textbooks .</t>
  </si>
  <si>
    <t>J' aime les comédies , sauf les manuels scolaires .</t>
  </si>
  <si>
    <t>Amo i sussidiari , eccetto le commedie .</t>
  </si>
  <si>
    <t>I like textbooks , except comedies .</t>
  </si>
  <si>
    <t>J' aime les manuels scolaires , sauf les comédies .</t>
  </si>
  <si>
    <t>Apprezzo il Primitivo più della coca cola .</t>
  </si>
  <si>
    <t>I like Zinfandel more than coca-cola .</t>
  </si>
  <si>
    <t>J' apprécie le Cabernet Sauvignon plus que le coca cola .</t>
  </si>
  <si>
    <t>Apprezzo la coca cola più del Primitivo .</t>
  </si>
  <si>
    <t>I like coca-cola more than Zinfandel .</t>
  </si>
  <si>
    <t>J' apprécie le coca cola plus que le Cabernet Sauvignon .</t>
  </si>
  <si>
    <t>Apprezzo il Primitivo più del vino .</t>
  </si>
  <si>
    <t>I like Zinfandel more than wine .</t>
  </si>
  <si>
    <t>J' apprécie le Cabernet Sauvignon plus que le vin .</t>
  </si>
  <si>
    <t>Apprezzo il vino più del Primitivo .</t>
  </si>
  <si>
    <t>I like wine more than Zinfandel .</t>
  </si>
  <si>
    <t>J' apprécie le vin plus que le Cabernet Sauvignon .</t>
  </si>
  <si>
    <t>Apprezzo il Primitivo più dell' acqua .</t>
  </si>
  <si>
    <t>I like Zinfandel more than water .</t>
  </si>
  <si>
    <t>J' apprécie le Cabernet Sauvignon plus que l' eau .</t>
  </si>
  <si>
    <t>Apprezzo l' acqua più del Primitivo .</t>
  </si>
  <si>
    <t>I like water more than Zinfandel .</t>
  </si>
  <si>
    <t>J' apprécie l' eau plus que le Cabernet Sauvignon .</t>
  </si>
  <si>
    <t>Apprezzo il Primitivo più della sprite .</t>
  </si>
  <si>
    <t>I like Zinfandel more than sprite .</t>
  </si>
  <si>
    <t>J' apprécie le Cabernet Sauvignon plus que la sprite .</t>
  </si>
  <si>
    <t>Apprezzo la sprite più del Primitivo .</t>
  </si>
  <si>
    <t>I like sprite more than Zinfandel .</t>
  </si>
  <si>
    <t>J' apprécie la sprite plus que le Cabernet Sauvignon .</t>
  </si>
  <si>
    <t>Apprezzo il Primitivo più della birra .</t>
  </si>
  <si>
    <t>I like Zinfandel more than beer .</t>
  </si>
  <si>
    <t>J' apprécie le Cabernet Sauvignon plus que la bière .</t>
  </si>
  <si>
    <t>Apprezzo la birra più del Primitivo .</t>
  </si>
  <si>
    <t>I like beer more than Zinfandel .</t>
  </si>
  <si>
    <t>J' apprécie la bière plus que le Cabernet Sauvignon .</t>
  </si>
  <si>
    <t>Amo le commedie , eccetto i giochi da tavolo .</t>
  </si>
  <si>
    <t>I like comedies , except boardgames .</t>
  </si>
  <si>
    <t>J' aime les comédies , sauf les jeux de société .</t>
  </si>
  <si>
    <t>Amo i giochi da tavolo , eccetto le commedie .</t>
  </si>
  <si>
    <t>I like boardgames , except comedies .</t>
  </si>
  <si>
    <t>J' aime les jeux de société , sauf les comédies .</t>
  </si>
  <si>
    <t>Amo le commedie , eccetto i videogiochi .</t>
  </si>
  <si>
    <t>I like comedies , except videogames .</t>
  </si>
  <si>
    <t>J' aime les comédies , sauf les jeux vidéo .</t>
  </si>
  <si>
    <t>Amo i videogiochi , eccetto le commedie .</t>
  </si>
  <si>
    <t>I like videogames , except comedies .</t>
  </si>
  <si>
    <t>J' aime les jeux vidéo , sauf les comédies .</t>
  </si>
  <si>
    <t>Amo i documentari , eccetto i saggi .</t>
  </si>
  <si>
    <t>I like documentaries , except essays .</t>
  </si>
  <si>
    <t>J' aime les documentaires , sauf les essais .</t>
  </si>
  <si>
    <t>Amo i saggi , eccetto i documentari .</t>
  </si>
  <si>
    <t>I like essays , except documentaries .</t>
  </si>
  <si>
    <t>J' aime les essais , sauf les documentaires .</t>
  </si>
  <si>
    <t>Amo i documentari , eccetto i film .</t>
  </si>
  <si>
    <t>I like documentaries , except movies .</t>
  </si>
  <si>
    <t>J' aime les documentaires , sauf les films .</t>
  </si>
  <si>
    <t>Amo i film , eccetto i documentari .</t>
  </si>
  <si>
    <t>I like movies , except documentaries .</t>
  </si>
  <si>
    <t>J' aime les films , sauf les documentaires .</t>
  </si>
  <si>
    <t>Amo i documentari , eccetto i sussidiari .</t>
  </si>
  <si>
    <t>I like documentaries , except textbooks .</t>
  </si>
  <si>
    <t>J' aime les documentaires , sauf les manuels scolaires .</t>
  </si>
  <si>
    <t>Amo i sussidiari , eccetto i documentari .</t>
  </si>
  <si>
    <t>I like textbooks , except documentaries .</t>
  </si>
  <si>
    <t>J' aime les manuels scolaires , sauf les documentaires .</t>
  </si>
  <si>
    <t>Amo i documentari , eccetto i giochi da tavolo .</t>
  </si>
  <si>
    <t>I like documentaries , except boardgames .</t>
  </si>
  <si>
    <t>J' aime les documentaires , sauf les jeux de société .</t>
  </si>
  <si>
    <t>Amo i giochi da tavolo , eccetto i documentari .</t>
  </si>
  <si>
    <t>I like boardgames , except documentaries .</t>
  </si>
  <si>
    <t>J' aime les jeux de société , sauf les documentaires .</t>
  </si>
  <si>
    <t>Amo i documentari , eccetto i videogiochi .</t>
  </si>
  <si>
    <t>I like documentaries , except videogames .</t>
  </si>
  <si>
    <t>J' aime les documentaires , sauf les jeux vidéo .</t>
  </si>
  <si>
    <t>Amo i videogiochi , eccetto i documentari .</t>
  </si>
  <si>
    <t>I like videogames , except documentaries .</t>
  </si>
  <si>
    <t>J' aime les jeux vidéo , sauf les documentaires .</t>
  </si>
  <si>
    <t>Apprezzo il rock più degli sport .</t>
  </si>
  <si>
    <t>I like rock more than sports .</t>
  </si>
  <si>
    <t>J' apprécie le rock plus que les sports .</t>
  </si>
  <si>
    <t>Apprezzo gli sport più del rock .</t>
  </si>
  <si>
    <t>I like sports more than rock .</t>
  </si>
  <si>
    <t>J' apprécie les sports plus que le rock .</t>
  </si>
  <si>
    <t>Apprezzo il rock più della musica .</t>
  </si>
  <si>
    <t>I like rock more than music .</t>
  </si>
  <si>
    <t>J' apprécie le rock plus que la musique .</t>
  </si>
  <si>
    <t>Apprezzo la musica più del rock .</t>
  </si>
  <si>
    <t>I like music more than rock .</t>
  </si>
  <si>
    <t>J' apprécie la musique plus que le rock .</t>
  </si>
  <si>
    <t>Apprezzo la musica più degli sport .</t>
  </si>
  <si>
    <t>I like music more than sports .</t>
  </si>
  <si>
    <t>J' apprécie la musique plus que les sports .</t>
  </si>
  <si>
    <t>Apprezzo il rock più dei giochi da tavolo .</t>
  </si>
  <si>
    <t>I like rock more than boardgames .</t>
  </si>
  <si>
    <t>J' apprécie le rock plus que les jeux de société .</t>
  </si>
  <si>
    <t>Apprezzo i giochi da tavolo più del rock .</t>
  </si>
  <si>
    <t>I like boardgames more than rock .</t>
  </si>
  <si>
    <t>J' apprécie les jeux de société plus que le rock .</t>
  </si>
  <si>
    <t>Apprezzo la musica più dei giochi da tavolo .</t>
  </si>
  <si>
    <t>I like music more than boardgames .</t>
  </si>
  <si>
    <t>J' apprécie la musique plus que les jeux de société .</t>
  </si>
  <si>
    <t>Apprezzo il rock più del cibo .</t>
  </si>
  <si>
    <t>I like rock more than food .</t>
  </si>
  <si>
    <t>J' apprécie le rock plus que les aliments .</t>
  </si>
  <si>
    <t>Apprezzo il cibo più del rock .</t>
  </si>
  <si>
    <t>I like food more than rock .</t>
  </si>
  <si>
    <t>J' apprécie les aliments plus que le rock .</t>
  </si>
  <si>
    <t>Apprezzo la musica più del cibo .</t>
  </si>
  <si>
    <t>I like music more than food .</t>
  </si>
  <si>
    <t>J' apprécie la musique plus que les aliments .</t>
  </si>
  <si>
    <t>Apprezzo il rock più dei gioielli .</t>
  </si>
  <si>
    <t>I like rock more than jewelry .</t>
  </si>
  <si>
    <t>J' apprécie le rock plus que les bijoux .</t>
  </si>
  <si>
    <t>Apprezzo i gioielli più del rock .</t>
  </si>
  <si>
    <t>I like jewelry more than rock .</t>
  </si>
  <si>
    <t>J' apprécie les bijoux plus que le rock .</t>
  </si>
  <si>
    <t>Apprezzo la musica più dei gioielli .</t>
  </si>
  <si>
    <t>I like music more than jewelry .</t>
  </si>
  <si>
    <t>J' apprécie la musique plus que les bijoux .</t>
  </si>
  <si>
    <t>Apprezzo il jazz più degli sport .</t>
  </si>
  <si>
    <t>I like jazz more than sports .</t>
  </si>
  <si>
    <t>J' apprécie le jazz plus que les sports .</t>
  </si>
  <si>
    <t>Apprezzo gli sport più del jazz .</t>
  </si>
  <si>
    <t>I like sports more than jazz .</t>
  </si>
  <si>
    <t>J' apprécie les sports plus que le jazz .</t>
  </si>
  <si>
    <t>Apprezzo il jazz più della musica .</t>
  </si>
  <si>
    <t>I like jazz more than music .</t>
  </si>
  <si>
    <t>J' apprécie le jazz plus que la musique .</t>
  </si>
  <si>
    <t>Apprezzo la musica più del jazz .</t>
  </si>
  <si>
    <t>I like music more than jazz .</t>
  </si>
  <si>
    <t>J' apprécie la musique plus que le jazz .</t>
  </si>
  <si>
    <t>Apprezzo il jazz più dei giochi da tavolo .</t>
  </si>
  <si>
    <t>I like jazz more than boardgames .</t>
  </si>
  <si>
    <t>J' apprécie le jazz plus que les jeux de société .</t>
  </si>
  <si>
    <t>Apprezzo i giochi da tavolo più del jazz .</t>
  </si>
  <si>
    <t>I like boardgames more than jazz .</t>
  </si>
  <si>
    <t>J' apprécie les jeux de société plus que le jazz .</t>
  </si>
  <si>
    <t>Apprezzo il jazz più del cibo .</t>
  </si>
  <si>
    <t>I like jazz more than food .</t>
  </si>
  <si>
    <t>J' apprécie le jazz plus que les aliments .</t>
  </si>
  <si>
    <t>Apprezzo il cibo più del jazz .</t>
  </si>
  <si>
    <t>I like food more than jazz .</t>
  </si>
  <si>
    <t>J' apprécie les aliments plus que le jazz .</t>
  </si>
  <si>
    <t>Apprezzo il jazz più dei gioielli .</t>
  </si>
  <si>
    <t>I like jazz more than jewelry .</t>
  </si>
  <si>
    <t>J' apprécie le jazz plus que les bijoux .</t>
  </si>
  <si>
    <t>Apprezzo i gioielli più del jazz .</t>
  </si>
  <si>
    <t>I like jewelry more than jazz .</t>
  </si>
  <si>
    <t>J' apprécie les bijoux plus que le jazz .</t>
  </si>
  <si>
    <t>Apprezzo la techno più degli sport .</t>
  </si>
  <si>
    <t>I like techno more than sports .</t>
  </si>
  <si>
    <t>J' apprécie la techno plus que les sports .</t>
  </si>
  <si>
    <t>Apprezzo gli sport più della techno .</t>
  </si>
  <si>
    <t>I like sports more than techno .</t>
  </si>
  <si>
    <t>J' apprécie les sports plus que la techno .</t>
  </si>
  <si>
    <t>Apprezzo la techno più della musica .</t>
  </si>
  <si>
    <t>I like techno more than music .</t>
  </si>
  <si>
    <t>J' apprécie la techno plus que la musique .</t>
  </si>
  <si>
    <t>Apprezzo la musica più della techno .</t>
  </si>
  <si>
    <t>I like music more than techno .</t>
  </si>
  <si>
    <t>J' apprécie la musique plus que la techno .</t>
  </si>
  <si>
    <t>Apprezzo la techno più dei giochi da tavolo .</t>
  </si>
  <si>
    <t>I like techno more than boardgames .</t>
  </si>
  <si>
    <t>J' apprécie la techno plus que les jeux de société .</t>
  </si>
  <si>
    <t>Apprezzo i giochi da tavolo più della techno .</t>
  </si>
  <si>
    <t>I like boardgames more than techno .</t>
  </si>
  <si>
    <t>J' apprécie les jeux de société plus que la techno .</t>
  </si>
  <si>
    <t>Apprezzo la techno più del cibo .</t>
  </si>
  <si>
    <t>I like techno more than food .</t>
  </si>
  <si>
    <t>J' apprécie la techno plus que les aliments .</t>
  </si>
  <si>
    <t>Apprezzo il cibo più della techno .</t>
  </si>
  <si>
    <t>I like food more than techno .</t>
  </si>
  <si>
    <t>J' apprécie les aliments plus que la techno .</t>
  </si>
  <si>
    <t>Apprezzo la techno più dei gioielli .</t>
  </si>
  <si>
    <t>I like techno more than jewelry .</t>
  </si>
  <si>
    <t>J' apprécie la techno plus que les bijoux .</t>
  </si>
  <si>
    <t>Apprezzo i gioielli più della techno .</t>
  </si>
  <si>
    <t>I like jewelry more than techno .</t>
  </si>
  <si>
    <t>J' apprécie les bijoux plus que la techno .</t>
  </si>
  <si>
    <t>Amo i braccialetti , eccetto le borsette .</t>
  </si>
  <si>
    <t>I like bracelets , except handbags .</t>
  </si>
  <si>
    <t>J' aime les bracelets , sauf les sacs à main .</t>
  </si>
  <si>
    <t>Apprezzo il blues più degli sport .</t>
  </si>
  <si>
    <t>I like blues more than sports .</t>
  </si>
  <si>
    <t>J' apprécie le blues plus que les sports .</t>
  </si>
  <si>
    <t>Apprezzo gli sport più del blues .</t>
  </si>
  <si>
    <t>I like sports more than blues .</t>
  </si>
  <si>
    <t>J' apprécie les sports plus que le blues .</t>
  </si>
  <si>
    <t>Apprezzo il blues più della musica .</t>
  </si>
  <si>
    <t>I like blues more than music .</t>
  </si>
  <si>
    <t>J' apprécie le blues plus que la musique .</t>
  </si>
  <si>
    <t>Apprezzo la musica più del blues .</t>
  </si>
  <si>
    <t>I like music more than blues .</t>
  </si>
  <si>
    <t>J' apprécie la musique plus que le blues .</t>
  </si>
  <si>
    <t>Apprezzo il blues più dei giochi da tavolo .</t>
  </si>
  <si>
    <t>I like blues more than boardgames .</t>
  </si>
  <si>
    <t>J' apprécie le blues plus que les jeux de société .</t>
  </si>
  <si>
    <t>Apprezzo i giochi da tavolo più del blues .</t>
  </si>
  <si>
    <t>I like boardgames more than blues .</t>
  </si>
  <si>
    <t>J' apprécie les jeux de société plus que le blues .</t>
  </si>
  <si>
    <t>Amo le borsette , eccetto i braccialetti .</t>
  </si>
  <si>
    <t>I like handbags , except bracelets .</t>
  </si>
  <si>
    <t>J' aime les sacs à main , sauf les bracelets .</t>
  </si>
  <si>
    <t>Apprezzo il blues più del cibo .</t>
  </si>
  <si>
    <t>I like blues more than food .</t>
  </si>
  <si>
    <t>J' apprécie le blues plus que les aliments .</t>
  </si>
  <si>
    <t>Apprezzo il cibo più del blues .</t>
  </si>
  <si>
    <t>I like food more than blues .</t>
  </si>
  <si>
    <t>J' apprécie les aliments plus que le blues .</t>
  </si>
  <si>
    <t>Apprezzo il blues più dei gioielli .</t>
  </si>
  <si>
    <t>I like blues more than jewelry .</t>
  </si>
  <si>
    <t>J' apprécie le blues plus que les bijoux .</t>
  </si>
  <si>
    <t>Apprezzo i gioielli più del blues .</t>
  </si>
  <si>
    <t>I like jewelry more than blues .</t>
  </si>
  <si>
    <t>J' apprécie les bijoux plus que le blues .</t>
  </si>
  <si>
    <t>Amo i braccialetti , eccetto i gioielli .</t>
  </si>
  <si>
    <t>I like bracelets , except jewelry .</t>
  </si>
  <si>
    <t>J' aime les bracelets , sauf les bijoux .</t>
  </si>
  <si>
    <t>Amo i gioielli , eccetto i braccialetti .</t>
  </si>
  <si>
    <t>I like jewelry , except bracelets .</t>
  </si>
  <si>
    <t>J' aime les bijoux , sauf les bracelets .</t>
  </si>
  <si>
    <t>Amo i gioielli , eccetto le borsette .</t>
  </si>
  <si>
    <t>I like jewelry , except handbags .</t>
  </si>
  <si>
    <t>J' aime les bijoux , sauf les sacs à main .</t>
  </si>
  <si>
    <t>Amo i braccialetti , eccetto le sciarpe .</t>
  </si>
  <si>
    <t>I like bracelets , except scarfs .</t>
  </si>
  <si>
    <t>J' aime les bracelets , sauf les écharpes .</t>
  </si>
  <si>
    <t>Amo le sciarpe , eccetto i braccialetti .</t>
  </si>
  <si>
    <t>I like scarfs , except bracelets .</t>
  </si>
  <si>
    <t>J' aime les écharpes , sauf les bracelets .</t>
  </si>
  <si>
    <t>Amo i gioielli , eccetto le sciarpe .</t>
  </si>
  <si>
    <t>I like jewelry , except scarfs .</t>
  </si>
  <si>
    <t>J' aime les bijoux , sauf les écharpes .</t>
  </si>
  <si>
    <t>Amo i braccialetti , eccetto gli occhiali .</t>
  </si>
  <si>
    <t>I like bracelets , except glasses .</t>
  </si>
  <si>
    <t>J' aime les bracelets , sauf les lunettes .</t>
  </si>
  <si>
    <t>Amo gli occhiali , eccetto i braccialetti .</t>
  </si>
  <si>
    <t>I like glasses , except bracelets .</t>
  </si>
  <si>
    <t>J' aime les lunettes , sauf les bracelets .</t>
  </si>
  <si>
    <t>Amo i gioielli , eccetto gli occhiali .</t>
  </si>
  <si>
    <t>I like jewelry , except glasses .</t>
  </si>
  <si>
    <t>J' aime les bijoux , sauf les lunettes .</t>
  </si>
  <si>
    <t>Amo i braccialetti , eccetto le scarpe .</t>
  </si>
  <si>
    <t>I like bracelets , except shoes .</t>
  </si>
  <si>
    <t>J' aime les bracelets , sauf les chaussures .</t>
  </si>
  <si>
    <t>Amo le scarpe , eccetto i braccialetti .</t>
  </si>
  <si>
    <t>I like shoes , except bracelets .</t>
  </si>
  <si>
    <t>J' aime les chaussures , sauf les bracelets .</t>
  </si>
  <si>
    <t>Amo i gioielli , eccetto le scarpe .</t>
  </si>
  <si>
    <t>I like jewelry , except shoes .</t>
  </si>
  <si>
    <t>J' aime les bijoux , sauf les chaussures .</t>
  </si>
  <si>
    <t>Amo le collane , eccetto le borsette .</t>
  </si>
  <si>
    <t>I like necklaces , except handbags .</t>
  </si>
  <si>
    <t>J' aime les colliers , sauf les sacs à main .</t>
  </si>
  <si>
    <t>Amo le borsette , eccetto le collane .</t>
  </si>
  <si>
    <t>I like handbags , except necklaces .</t>
  </si>
  <si>
    <t>J' aime les sacs à main , sauf les colliers .</t>
  </si>
  <si>
    <t>Amo le collane , eccetto i gioielli .</t>
  </si>
  <si>
    <t>I like necklaces , except jewelry .</t>
  </si>
  <si>
    <t>J' aime les colliers , sauf les bijoux .</t>
  </si>
  <si>
    <t>Amo i gioielli , eccetto le collane .</t>
  </si>
  <si>
    <t>I like jewelry , except necklaces .</t>
  </si>
  <si>
    <t>J' aime les bijoux , sauf les colliers .</t>
  </si>
  <si>
    <t>Amo le collane , eccetto le sciarpe .</t>
  </si>
  <si>
    <t>I like necklaces , except scarfs .</t>
  </si>
  <si>
    <t>J' aime les colliers , sauf les écharpes .</t>
  </si>
  <si>
    <t>Amo le sciarpe , eccetto le collane .</t>
  </si>
  <si>
    <t>I like scarfs , except necklaces .</t>
  </si>
  <si>
    <t>J' aime les écharpes , sauf les colliers .</t>
  </si>
  <si>
    <t>Amo le collane , eccetto gli occhiali .</t>
  </si>
  <si>
    <t>I like necklaces , except glasses .</t>
  </si>
  <si>
    <t>J' aime les colliers , sauf les lunettes .</t>
  </si>
  <si>
    <t>Amo gli occhiali , eccetto le collane .</t>
  </si>
  <si>
    <t>I like glasses , except necklaces .</t>
  </si>
  <si>
    <t>J' aime les lunettes , sauf les colliers .</t>
  </si>
  <si>
    <t>Amo il prosciutto cotto più del pesce .</t>
  </si>
  <si>
    <t>I like ham more than fish .</t>
  </si>
  <si>
    <t>J' aime le jambon plus que le poisson .</t>
  </si>
  <si>
    <t>Amo il pesce più del prosciutto cotto .</t>
  </si>
  <si>
    <t>I like fish more than ham .</t>
  </si>
  <si>
    <t>J' aime le poisson plus que le jambon .</t>
  </si>
  <si>
    <t>Amo il prosciutto cotto più del maiale .</t>
  </si>
  <si>
    <t>I like ham more than pork .</t>
  </si>
  <si>
    <t>J' aime le jambon plus que le porc .</t>
  </si>
  <si>
    <t>Amo il maiale più del prosciutto cotto .</t>
  </si>
  <si>
    <t>I like pork more than ham .</t>
  </si>
  <si>
    <t>J' aime le porc plus que le jambon .</t>
  </si>
  <si>
    <t>Amo il maiale più del pesce .</t>
  </si>
  <si>
    <t>I like pork more than fish .</t>
  </si>
  <si>
    <t>J' aime le porc plus que le poisson .</t>
  </si>
  <si>
    <t>Amo il prosciutto cotto più dei broccoli .</t>
  </si>
  <si>
    <t>I like ham more than broccoli .</t>
  </si>
  <si>
    <t>J' aime le jambon plus que le brocoli .</t>
  </si>
  <si>
    <t>Amo i broccoli più del prosciutto cotto .</t>
  </si>
  <si>
    <t>I like broccoli more than ham .</t>
  </si>
  <si>
    <t>J' aime le brocoli plus que le jambon .</t>
  </si>
  <si>
    <t>Amo le collane , eccetto le scarpe .</t>
  </si>
  <si>
    <t>I like necklaces , except shoes .</t>
  </si>
  <si>
    <t>J' aime les colliers , sauf les chaussures .</t>
  </si>
  <si>
    <t>Amo il maiale più dei broccoli .</t>
  </si>
  <si>
    <t>I like pork more than broccoli .</t>
  </si>
  <si>
    <t>J' aime le porc plus que le brocoli .</t>
  </si>
  <si>
    <t>Amo il prosciutto cotto più delle mele .</t>
  </si>
  <si>
    <t>I like ham more than apples .</t>
  </si>
  <si>
    <t>J' aime le jambon plus que les pommes .</t>
  </si>
  <si>
    <t>Amo le mele più del prosciutto cotto .</t>
  </si>
  <si>
    <t>I like apples more than ham .</t>
  </si>
  <si>
    <t>J' aime les pommes plus que le jambon .</t>
  </si>
  <si>
    <t>Amo il maiale più delle mele .</t>
  </si>
  <si>
    <t>I like pork more than apples .</t>
  </si>
  <si>
    <t>J' aime le porc plus que les pommes .</t>
  </si>
  <si>
    <t>Amo il prosciutto cotto più delle carote .</t>
  </si>
  <si>
    <t>I like ham more than carrots .</t>
  </si>
  <si>
    <t>J' aime le jambon plus que les carottes .</t>
  </si>
  <si>
    <t>Amo le carote più del prosciutto cotto .</t>
  </si>
  <si>
    <t>I like carrots more than ham .</t>
  </si>
  <si>
    <t>J' aime les carottes plus que le jambon .</t>
  </si>
  <si>
    <t>Amo le scarpe , eccetto le collane .</t>
  </si>
  <si>
    <t>I like shoes , except necklaces .</t>
  </si>
  <si>
    <t>J' aime les chaussures , sauf les colliers .</t>
  </si>
  <si>
    <t>Amo il maiale più delle carote .</t>
  </si>
  <si>
    <t>I like pork more than carrots .</t>
  </si>
  <si>
    <t>J' aime le porc plus que les carottes .</t>
  </si>
  <si>
    <t>Amo il prosciutto più del pesce .</t>
  </si>
  <si>
    <t>I like prosciutto more than fish .</t>
  </si>
  <si>
    <t>J' aime le prosciutto plus que le poisson .</t>
  </si>
  <si>
    <t>Amo il pesce più del prosciutto .</t>
  </si>
  <si>
    <t>I like fish more than prosciutto .</t>
  </si>
  <si>
    <t>J' aime le poisson plus que le prosciutto .</t>
  </si>
  <si>
    <t>Amo il prosciutto più del maiale .</t>
  </si>
  <si>
    <t>I like prosciutto more than pork .</t>
  </si>
  <si>
    <t>J' aime le prosciutto plus que le porc .</t>
  </si>
  <si>
    <t>Amo il maiale più del prosciutto .</t>
  </si>
  <si>
    <t>I like pork more than prosciutto .</t>
  </si>
  <si>
    <t>J' aime le porc plus que le prosciutto .</t>
  </si>
  <si>
    <t>Amo il prosciutto più dei broccoli .</t>
  </si>
  <si>
    <t>I like prosciutto more than broccoli .</t>
  </si>
  <si>
    <t>J' aime le prosciutto plus que le brocoli .</t>
  </si>
  <si>
    <t>Amo i broccoli più del prosciutto .</t>
  </si>
  <si>
    <t>I like broccoli more than prosciutto .</t>
  </si>
  <si>
    <t>J' aime le brocoli plus que le prosciutto .</t>
  </si>
  <si>
    <t>Amo il prosciutto più delle mele .</t>
  </si>
  <si>
    <t>I like prosciutto more than apples .</t>
  </si>
  <si>
    <t>J' aime le prosciutto plus que les pommes .</t>
  </si>
  <si>
    <t>Amo le mele più del prosciutto .</t>
  </si>
  <si>
    <t>I like apples more than prosciutto .</t>
  </si>
  <si>
    <t>J' aime les pommes plus que le prosciutto .</t>
  </si>
  <si>
    <t>Amo il prosciutto più delle carote .</t>
  </si>
  <si>
    <t>I like prosciutto more than carrots .</t>
  </si>
  <si>
    <t>J' aime le prosciutto plus que les carottes .</t>
  </si>
  <si>
    <t>Amo le carote più del prosciutto .</t>
  </si>
  <si>
    <t>I like carrots more than prosciutto .</t>
  </si>
  <si>
    <t>J' aime les carottes plus que le prosciutto .</t>
  </si>
  <si>
    <t>Amo il bacon più del pesce .</t>
  </si>
  <si>
    <t>I like bacon more than fish .</t>
  </si>
  <si>
    <t>J' aime le bacon plus que le poisson .</t>
  </si>
  <si>
    <t>Amo il pesce più del bacon .</t>
  </si>
  <si>
    <t>I like fish more than bacon .</t>
  </si>
  <si>
    <t>J' aime le poisson plus que le bacon .</t>
  </si>
  <si>
    <t>Amo il bacon più del maiale .</t>
  </si>
  <si>
    <t>I like bacon more than pork .</t>
  </si>
  <si>
    <t>J' aime le bacon plus que le porc .</t>
  </si>
  <si>
    <t>Amo il maiale più del bacon .</t>
  </si>
  <si>
    <t>I like pork more than bacon .</t>
  </si>
  <si>
    <t>J' aime le porc plus que le bacon .</t>
  </si>
  <si>
    <t>Amo il bacon più dei broccoli .</t>
  </si>
  <si>
    <t>I like bacon more than broccoli .</t>
  </si>
  <si>
    <t>J' aime le bacon plus que le brocoli .</t>
  </si>
  <si>
    <t>Amo i broccoli più del bacon .</t>
  </si>
  <si>
    <t>I like broccoli more than bacon .</t>
  </si>
  <si>
    <t>J' aime le brocoli plus que le bacon .</t>
  </si>
  <si>
    <t>Amo il bacon più delle mele .</t>
  </si>
  <si>
    <t>I like bacon more than apples .</t>
  </si>
  <si>
    <t>J' aime le bacon plus que les pommes .</t>
  </si>
  <si>
    <t>Amo le mele più del bacon .</t>
  </si>
  <si>
    <t>I like apples more than bacon .</t>
  </si>
  <si>
    <t>J' aime les pommes plus que le bacon .</t>
  </si>
  <si>
    <t>Amo il bacon più delle carote .</t>
  </si>
  <si>
    <t>I like bacon more than carrots .</t>
  </si>
  <si>
    <t>J' aime le bacon plus que les carottes .</t>
  </si>
  <si>
    <t>Amo le carote più del bacon .</t>
  </si>
  <si>
    <t>I like carrots more than bacon .</t>
  </si>
  <si>
    <t>J' aime les carottes plus que le bacon .</t>
  </si>
  <si>
    <t>Amo il lardo più del pesce .</t>
  </si>
  <si>
    <t>I like lard more than fish .</t>
  </si>
  <si>
    <t>J' aime les lardons plus que le poisson .</t>
  </si>
  <si>
    <t>Amo il pesce più del lardo .</t>
  </si>
  <si>
    <t>I like fish more than lard .</t>
  </si>
  <si>
    <t>J' aime le poisson plus que les lardons .</t>
  </si>
  <si>
    <t>Amo il lardo più del maiale .</t>
  </si>
  <si>
    <t>I like lard more than pork .</t>
  </si>
  <si>
    <t>J' aime les lardons plus que le porc .</t>
  </si>
  <si>
    <t>Amo il maiale più del lardo .</t>
  </si>
  <si>
    <t>I like pork more than lard .</t>
  </si>
  <si>
    <t>J' aime le porc plus que les lardons .</t>
  </si>
  <si>
    <t>Amo il lardo più dei broccoli .</t>
  </si>
  <si>
    <t>I like lard more than broccoli .</t>
  </si>
  <si>
    <t>J' aime les lardons plus que le brocoli .</t>
  </si>
  <si>
    <t>Amo i broccoli più del lardo .</t>
  </si>
  <si>
    <t>I like broccoli more than lard .</t>
  </si>
  <si>
    <t>J' aime le brocoli plus que les lardons .</t>
  </si>
  <si>
    <t>Amo il lardo più delle mele .</t>
  </si>
  <si>
    <t>I like lard more than apples .</t>
  </si>
  <si>
    <t>J' aime les lardons plus que les pommes .</t>
  </si>
  <si>
    <t>Amo le mele più del lardo .</t>
  </si>
  <si>
    <t>I like apples more than lard .</t>
  </si>
  <si>
    <t>J' aime les pommes plus que les lardons .</t>
  </si>
  <si>
    <t>Amo il lardo più delle carote .</t>
  </si>
  <si>
    <t>I like lard more than carrots .</t>
  </si>
  <si>
    <t>J' aime les lardons plus que les carottes .</t>
  </si>
  <si>
    <t>Amo le carote più del lardo .</t>
  </si>
  <si>
    <t>I like carrots more than lard .</t>
  </si>
  <si>
    <t>J' aime les carottes plus que les lardons .</t>
  </si>
  <si>
    <t>Amo gli orecchini , eccetto le borsette .</t>
  </si>
  <si>
    <t>I like earrings , except handbags .</t>
  </si>
  <si>
    <t>J' aime les boucles d' oreille , sauf les sacs à main .</t>
  </si>
  <si>
    <t>Amo le borsette , eccetto gli orecchini .</t>
  </si>
  <si>
    <t>I like handbags , except earrings .</t>
  </si>
  <si>
    <t>J' aime les sacs à main , sauf les boucles d' oreille .</t>
  </si>
  <si>
    <t>Amo gli orecchini , eccetto i gioielli .</t>
  </si>
  <si>
    <t>I like earrings , except jewelry .</t>
  </si>
  <si>
    <t>J' aime les boucles d' oreille , sauf les bijoux .</t>
  </si>
  <si>
    <t>Amo i gioielli , eccetto gli orecchini .</t>
  </si>
  <si>
    <t>I like jewelry , except earrings .</t>
  </si>
  <si>
    <t>J' aime les bijoux , sauf les boucles d' oreille .</t>
  </si>
  <si>
    <t>Amo gli orecchini , eccetto le sciarpe .</t>
  </si>
  <si>
    <t>I like earrings , except scarfs .</t>
  </si>
  <si>
    <t>J' aime les boucles d' oreille , sauf les écharpes .</t>
  </si>
  <si>
    <t>Amo le sciarpe , eccetto gli orecchini .</t>
  </si>
  <si>
    <t>I like scarfs , except earrings .</t>
  </si>
  <si>
    <t>J' aime les écharpes , sauf les boucles d' oreille .</t>
  </si>
  <si>
    <t>Amo gli orecchini , eccetto gli occhiali .</t>
  </si>
  <si>
    <t>I like earrings , except glasses .</t>
  </si>
  <si>
    <t>J' aime les boucles d' oreille , sauf les lunettes .</t>
  </si>
  <si>
    <t>Amo gli occhiali , eccetto gli orecchini .</t>
  </si>
  <si>
    <t>I like glasses , except earrings .</t>
  </si>
  <si>
    <t>J' aime les lunettes , sauf les boucles d' oreille .</t>
  </si>
  <si>
    <t>Amo gli orecchini , eccetto le scarpe .</t>
  </si>
  <si>
    <t>I like earrings , except shoes .</t>
  </si>
  <si>
    <t>J' aime les boucles d' oreille , sauf les chaussures .</t>
  </si>
  <si>
    <t>Amo le scarpe , eccetto gli orecchini .</t>
  </si>
  <si>
    <t>I like shoes , except earrings .</t>
  </si>
  <si>
    <t>J' aime les chaussures , sauf les boucles d' oreille .</t>
  </si>
  <si>
    <t>Amo il salmone più del pollo .</t>
  </si>
  <si>
    <t>I like salmon more than chicken .</t>
  </si>
  <si>
    <t>J' aime le saumon plus que le poulet .</t>
  </si>
  <si>
    <t>Amo il pollo più del salmone .</t>
  </si>
  <si>
    <t>I like chicken more than salmon .</t>
  </si>
  <si>
    <t>J' aime le poulet plus que le saumon .</t>
  </si>
  <si>
    <t>Amo il salmone più dei prodotti del mare .</t>
  </si>
  <si>
    <t>I like salmon more than seafood .</t>
  </si>
  <si>
    <t>J' aime le saumon plus que les produits de la mer .</t>
  </si>
  <si>
    <t>Amo i prodotti del mare più del salmone .</t>
  </si>
  <si>
    <t>I like seafood more than salmon .</t>
  </si>
  <si>
    <t>J' aime les produits de la mer plus que le saumon .</t>
  </si>
  <si>
    <t>Amo i prodotti del mare più del pollo .</t>
  </si>
  <si>
    <t>I like seafood more than chicken .</t>
  </si>
  <si>
    <t>J' aime les produits de la mer plus que le poulet .</t>
  </si>
  <si>
    <t>Amo il salmone più del vitello .</t>
  </si>
  <si>
    <t>I like salmon more than veal .</t>
  </si>
  <si>
    <t>J' aime le saumon plus que le veau .</t>
  </si>
  <si>
    <t>Amo il vitello più del salmone .</t>
  </si>
  <si>
    <t>I like veal more than salmon .</t>
  </si>
  <si>
    <t>J' aime le veau plus que le saumon .</t>
  </si>
  <si>
    <t>Amo i prodotti del mare più del vitello .</t>
  </si>
  <si>
    <t>I like seafood more than veal .</t>
  </si>
  <si>
    <t>J' aime les produits de la mer plus que le veau .</t>
  </si>
  <si>
    <t>Amo il salmone più del tacchino .</t>
  </si>
  <si>
    <t>I like salmon more than turkey .</t>
  </si>
  <si>
    <t>J' aime le saumon plus que la dinde .</t>
  </si>
  <si>
    <t>Amo il tacchino più del salmone .</t>
  </si>
  <si>
    <t>I like turkey more than salmon .</t>
  </si>
  <si>
    <t>J' aime la dinde plus que le saumon .</t>
  </si>
  <si>
    <t>Amo i prodotti del mare più del tacchino .</t>
  </si>
  <si>
    <t>I like seafood more than turkey .</t>
  </si>
  <si>
    <t>J' aime les produits de la mer plus que la dinde .</t>
  </si>
  <si>
    <t>Amo il salmone più del manzo .</t>
  </si>
  <si>
    <t>I like salmon more than beef .</t>
  </si>
  <si>
    <t>J' aime le saumon plus que le boeuf .</t>
  </si>
  <si>
    <t>Amo il manzo più del salmone .</t>
  </si>
  <si>
    <t>I like beef more than salmon .</t>
  </si>
  <si>
    <t>J' aime le boeuf plus que le saumon .</t>
  </si>
  <si>
    <t>Amo i prodotti del mare più del manzo .</t>
  </si>
  <si>
    <t>I like seafood more than beef .</t>
  </si>
  <si>
    <t>J' aime les produits de la mer plus que le boeuf .</t>
  </si>
  <si>
    <t>Amo i granchi più del pollo .</t>
  </si>
  <si>
    <t>I like crabs more than chicken .</t>
  </si>
  <si>
    <t>J' aime les crabes plus que le poulet .</t>
  </si>
  <si>
    <t>Amo il pollo più dei granchi .</t>
  </si>
  <si>
    <t>I like chicken more than crabs .</t>
  </si>
  <si>
    <t>J' aime le poulet plus que les crabes .</t>
  </si>
  <si>
    <t>Amo i granchi più dei prodotti del mare .</t>
  </si>
  <si>
    <t>I like crabs more than seafood .</t>
  </si>
  <si>
    <t>J' aime les crabes plus que les produits de la mer .</t>
  </si>
  <si>
    <t>Amo i prodotti del mare più dei granchi .</t>
  </si>
  <si>
    <t>I like seafood more than crabs .</t>
  </si>
  <si>
    <t>J' aime les produits de la mer plus que les crabes .</t>
  </si>
  <si>
    <t>Amo i granchi più del vitello .</t>
  </si>
  <si>
    <t>I like crabs more than veal .</t>
  </si>
  <si>
    <t>J' aime les crabes plus que le veau .</t>
  </si>
  <si>
    <t>Amo il vitello più dei granchi .</t>
  </si>
  <si>
    <t>I like veal more than crabs .</t>
  </si>
  <si>
    <t>J' aime le veau plus que les crabes .</t>
  </si>
  <si>
    <t>Amo i granchi più del tacchino .</t>
  </si>
  <si>
    <t>I like crabs more than turkey .</t>
  </si>
  <si>
    <t>J' aime les crabes plus que la dinde .</t>
  </si>
  <si>
    <t>Amo il tacchino più dei granchi .</t>
  </si>
  <si>
    <t>I like turkey more than crabs .</t>
  </si>
  <si>
    <t>J' aime la dinde plus que les crabes .</t>
  </si>
  <si>
    <t>Amo i granchi più del manzo .</t>
  </si>
  <si>
    <t>I like crabs more than beef .</t>
  </si>
  <si>
    <t>J' aime les crabes plus que le boeuf .</t>
  </si>
  <si>
    <t>Amo il manzo più dei granchi .</t>
  </si>
  <si>
    <t>I like beef more than crabs .</t>
  </si>
  <si>
    <t>J' aime le boeuf plus que les crabes .</t>
  </si>
  <si>
    <t>Amo le ostriche più del pollo .</t>
  </si>
  <si>
    <t>I like oysters more than chicken .</t>
  </si>
  <si>
    <t>J' aime les huîtres plus que le poulet .</t>
  </si>
  <si>
    <t>Amo il pollo più delle ostriche .</t>
  </si>
  <si>
    <t>I like chicken more than oysters .</t>
  </si>
  <si>
    <t>J' aime le poulet plus que les huîtres .</t>
  </si>
  <si>
    <t>Amo le ostriche più dei prodotti del mare .</t>
  </si>
  <si>
    <t>I like oysters more than seafood .</t>
  </si>
  <si>
    <t>J' aime les huîtres plus que les produits de la mer .</t>
  </si>
  <si>
    <t>Amo i prodotti del mare più delle ostriche .</t>
  </si>
  <si>
    <t>I like seafood more than oysters .</t>
  </si>
  <si>
    <t>J' aime les produits de la mer plus que les huîtres .</t>
  </si>
  <si>
    <t>Amo le ostriche più del vitello .</t>
  </si>
  <si>
    <t>I like oysters more than veal .</t>
  </si>
  <si>
    <t>J' aime les huîtres plus que le veau .</t>
  </si>
  <si>
    <t>Amo il vitello più delle ostriche .</t>
  </si>
  <si>
    <t>I like veal more than oysters .</t>
  </si>
  <si>
    <t>J' aime le veau plus que les huîtres .</t>
  </si>
  <si>
    <t>Amo le ostriche più del tacchino .</t>
  </si>
  <si>
    <t>I like oysters more than turkey .</t>
  </si>
  <si>
    <t>J' aime les huîtres plus que la dinde .</t>
  </si>
  <si>
    <t>Amo il tacchino più delle ostriche .</t>
  </si>
  <si>
    <t>I like turkey more than oysters .</t>
  </si>
  <si>
    <t>J' aime la dinde plus que les huîtres .</t>
  </si>
  <si>
    <t>Amo le ostriche più del manzo .</t>
  </si>
  <si>
    <t>I like oysters more than beef .</t>
  </si>
  <si>
    <t>J' aime les huîtres plus que le boeuf .</t>
  </si>
  <si>
    <t>Amo il manzo più delle ostriche .</t>
  </si>
  <si>
    <t>I like beef more than oysters .</t>
  </si>
  <si>
    <t>J' aime le boeuf plus que les huîtres .</t>
  </si>
  <si>
    <t>Amo gli anelli , eccetto le borsette .</t>
  </si>
  <si>
    <t>I like rings , except handbags .</t>
  </si>
  <si>
    <t>J' aime les bagues , sauf les sacs à main .</t>
  </si>
  <si>
    <t>Amo il caviale più del pollo .</t>
  </si>
  <si>
    <t>I like caviar more than chicken .</t>
  </si>
  <si>
    <t>J' aime le caviar plus que le poulet .</t>
  </si>
  <si>
    <t>Amo il pollo più del caviale .</t>
  </si>
  <si>
    <t>I like chicken more than caviar .</t>
  </si>
  <si>
    <t>J' aime le poulet plus que le caviar .</t>
  </si>
  <si>
    <t>Amo il caviale più dei prodotti del mare .</t>
  </si>
  <si>
    <t>I like caviar more than seafood .</t>
  </si>
  <si>
    <t>J' aime le caviar plus que les produits de la mer .</t>
  </si>
  <si>
    <t>Amo i prodotti del mare più del caviale .</t>
  </si>
  <si>
    <t>I like seafood more than caviar .</t>
  </si>
  <si>
    <t>J' aime les produits de la mer plus que le caviar .</t>
  </si>
  <si>
    <t>Amo il caviale più del vitello .</t>
  </si>
  <si>
    <t>I like caviar more than veal .</t>
  </si>
  <si>
    <t>J' aime le caviar plus que le veau .</t>
  </si>
  <si>
    <t>Amo il vitello più del caviale .</t>
  </si>
  <si>
    <t>I like veal more than caviar .</t>
  </si>
  <si>
    <t>J' aime le veau plus que le caviar .</t>
  </si>
  <si>
    <t>Amo le borsette , eccetto gli anelli .</t>
  </si>
  <si>
    <t>I like handbags , except rings .</t>
  </si>
  <si>
    <t>J' aime les sacs à main , sauf les bagues .</t>
  </si>
  <si>
    <t>Amo il caviale più del tacchino .</t>
  </si>
  <si>
    <t>I like caviar more than turkey .</t>
  </si>
  <si>
    <t>J' aime le caviar plus que la dinde .</t>
  </si>
  <si>
    <t>Amo il tacchino più del caviale .</t>
  </si>
  <si>
    <t>I like turkey more than caviar .</t>
  </si>
  <si>
    <t>J' aime la dinde plus que le caviar .</t>
  </si>
  <si>
    <t>Amo il caviale più del manzo .</t>
  </si>
  <si>
    <t>I like caviar more than beef .</t>
  </si>
  <si>
    <t>J' aime le caviar plus que le boeuf .</t>
  </si>
  <si>
    <t>Amo il manzo più del caviale .</t>
  </si>
  <si>
    <t>I like beef more than caviar .</t>
  </si>
  <si>
    <t>J' aime le boeuf plus que le caviar .</t>
  </si>
  <si>
    <t>Amo gli anelli , eccetto i gioielli .</t>
  </si>
  <si>
    <t>I like rings , except jewelry .</t>
  </si>
  <si>
    <t>J' aime les bagues , sauf les bijoux .</t>
  </si>
  <si>
    <t>Amo i gioielli , eccetto gli anelli .</t>
  </si>
  <si>
    <t>I like jewelry , except rings .</t>
  </si>
  <si>
    <t>J' aime les bijoux , sauf les bagues .</t>
  </si>
  <si>
    <t>Amo gli anelli , eccetto le sciarpe .</t>
  </si>
  <si>
    <t>I like rings , except scarfs .</t>
  </si>
  <si>
    <t>J' aime les bagues , sauf les écharpes .</t>
  </si>
  <si>
    <t>Amo le sciarpe , eccetto gli anelli .</t>
  </si>
  <si>
    <t>I like scarfs , except rings .</t>
  </si>
  <si>
    <t>J' aime les écharpes , sauf les bagues .</t>
  </si>
  <si>
    <t>Amo gli anelli , eccetto gli occhiali .</t>
  </si>
  <si>
    <t>I like rings , except glasses .</t>
  </si>
  <si>
    <t>J' aime les bagues , sauf les lunettes .</t>
  </si>
  <si>
    <t>Amo gli occhiali , eccetto gli anelli .</t>
  </si>
  <si>
    <t>I like glasses , except rings .</t>
  </si>
  <si>
    <t>J' aime les lunettes , sauf les bagues .</t>
  </si>
  <si>
    <t>Amo gli anelli , eccetto le scarpe .</t>
  </si>
  <si>
    <t>I like rings , except shoes .</t>
  </si>
  <si>
    <t>J' aime les bagues , sauf les chaussures .</t>
  </si>
  <si>
    <t>Amo le scarpe , eccetto gli anelli .</t>
  </si>
  <si>
    <t>I like shoes , except rings .</t>
  </si>
  <si>
    <t>J' aime les chaussures , sauf les bagues .</t>
  </si>
  <si>
    <t>Amo i thriller più dei saggi .</t>
  </si>
  <si>
    <t>I like thrillers more than essays .</t>
  </si>
  <si>
    <t>J' aime les thrillers plus que les essais .</t>
  </si>
  <si>
    <t>Amo i saggi più dei thriller .</t>
  </si>
  <si>
    <t>I like essays more than thrillers .</t>
  </si>
  <si>
    <t>J' aime les essais plus que les thrillers .</t>
  </si>
  <si>
    <t>Amo i thriller più dei film .</t>
  </si>
  <si>
    <t>I like thrillers more than movies .</t>
  </si>
  <si>
    <t>J' aime les thrillers plus que les films .</t>
  </si>
  <si>
    <t>Amo i film più dei thriller .</t>
  </si>
  <si>
    <t>I like movies more than thrillers .</t>
  </si>
  <si>
    <t>J' aime les films plus que les thrillers .</t>
  </si>
  <si>
    <t>Amo i film più dei saggi .</t>
  </si>
  <si>
    <t>I like movies more than essays .</t>
  </si>
  <si>
    <t>J' aime les films plus que les essais .</t>
  </si>
  <si>
    <t>Amo i thriller più dei sussidiari .</t>
  </si>
  <si>
    <t>I like thrillers more than textbooks .</t>
  </si>
  <si>
    <t>J' aime les thrillers plus que les manuels scolaires .</t>
  </si>
  <si>
    <t>Amo i sussidiari più dei thriller .</t>
  </si>
  <si>
    <t>I like textbooks more than thrillers .</t>
  </si>
  <si>
    <t>J' aime les manuels scolaires plus que les thrillers .</t>
  </si>
  <si>
    <t>Amo i film più dei sussidiari .</t>
  </si>
  <si>
    <t>I like movies more than textbooks .</t>
  </si>
  <si>
    <t>J' aime les films plus que les manuels scolaires .</t>
  </si>
  <si>
    <t>Amo i thriller più dei giochi da tavolo .</t>
  </si>
  <si>
    <t>I like thrillers more than boardgames .</t>
  </si>
  <si>
    <t>J' aime les thrillers plus que les jeux de société .</t>
  </si>
  <si>
    <t>Amo i giochi da tavolo più dei thriller .</t>
  </si>
  <si>
    <t>I like boardgames more than thrillers .</t>
  </si>
  <si>
    <t>J' aime les jeux de société plus que les thrillers .</t>
  </si>
  <si>
    <t>Amo i film più dei giochi da tavolo .</t>
  </si>
  <si>
    <t>I like movies more than boardgames .</t>
  </si>
  <si>
    <t>J' aime les films plus que les jeux de société .</t>
  </si>
  <si>
    <t>Amo i thriller più dei videogiochi .</t>
  </si>
  <si>
    <t>I like thrillers more than videogames .</t>
  </si>
  <si>
    <t>J' aime les thrillers plus que les jeux vidéo .</t>
  </si>
  <si>
    <t>Amo i videogiochi più dei thriller .</t>
  </si>
  <si>
    <t>I like videogames more than thrillers .</t>
  </si>
  <si>
    <t>J' aime les jeux vidéo plus que les thrillers .</t>
  </si>
  <si>
    <t>Amo i film più dei videogiochi .</t>
  </si>
  <si>
    <t>I like movies more than videogames .</t>
  </si>
  <si>
    <t>J' aime les films plus que les jeux vidéo .</t>
  </si>
  <si>
    <t>Amo i western più dei saggi .</t>
  </si>
  <si>
    <t>I like westerns more than essays .</t>
  </si>
  <si>
    <t>J' aime les westerns plus que les essais .</t>
  </si>
  <si>
    <t>Amo i saggi più dei western .</t>
  </si>
  <si>
    <t>I like essays more than westerns .</t>
  </si>
  <si>
    <t>J' aime les essais plus que les westerns .</t>
  </si>
  <si>
    <t>Amo i western più dei film .</t>
  </si>
  <si>
    <t>I like westerns more than movies .</t>
  </si>
  <si>
    <t>J' aime les westerns plus que les films .</t>
  </si>
  <si>
    <t>Amo i film più dei western .</t>
  </si>
  <si>
    <t>I like movies more than westerns .</t>
  </si>
  <si>
    <t>J' aime les films plus que les westerns .</t>
  </si>
  <si>
    <t>Amo i western più dei sussidiari .</t>
  </si>
  <si>
    <t>I like westerns more than textbooks .</t>
  </si>
  <si>
    <t>J' aime les westerns plus que les manuels scolaires .</t>
  </si>
  <si>
    <t>Amo i sussidiari più dei western .</t>
  </si>
  <si>
    <t>I like textbooks more than westerns .</t>
  </si>
  <si>
    <t>J' aime les manuels scolaires plus que les westerns .</t>
  </si>
  <si>
    <t>Amo i western più dei giochi da tavolo .</t>
  </si>
  <si>
    <t>I like westerns more than boardgames .</t>
  </si>
  <si>
    <t>J' aime les westerns plus que les jeux de société .</t>
  </si>
  <si>
    <t>Amo i giochi da tavolo più dei western .</t>
  </si>
  <si>
    <t>I like boardgames more than westerns .</t>
  </si>
  <si>
    <t>J' aime les jeux de société plus que les westerns .</t>
  </si>
  <si>
    <t>Amo i western più dei videogiochi .</t>
  </si>
  <si>
    <t>I like westerns more than videogames .</t>
  </si>
  <si>
    <t>J' aime les westerns plus que les jeux vidéo .</t>
  </si>
  <si>
    <t>Amo i videogiochi più dei western .</t>
  </si>
  <si>
    <t>I like videogames more than westerns .</t>
  </si>
  <si>
    <t>J' aime les jeux vidéo plus que les westerns .</t>
  </si>
  <si>
    <t>Amo i gatti , eccetto le giraffe .</t>
  </si>
  <si>
    <t>I like cats , except giraffes .</t>
  </si>
  <si>
    <t>J' aime les chats , sauf les giraffes .</t>
  </si>
  <si>
    <t>Amo le giraffe , eccetto i gatti .</t>
  </si>
  <si>
    <t>I like giraffes , except cats .</t>
  </si>
  <si>
    <t>J' aime les giraffes , sauf les chats .</t>
  </si>
  <si>
    <t>Amo i gatti , eccetto gli animali domestici .</t>
  </si>
  <si>
    <t>I like cats , except pets .</t>
  </si>
  <si>
    <t>J' aime les chats , sauf les animaux de compagnie .</t>
  </si>
  <si>
    <t>Amo le commedie più dei saggi .</t>
  </si>
  <si>
    <t>I like comedies more than essays .</t>
  </si>
  <si>
    <t>J' aime les comédies plus que les essais .</t>
  </si>
  <si>
    <t>Amo i saggi più delle commedie .</t>
  </si>
  <si>
    <t>I like essays more than comedies .</t>
  </si>
  <si>
    <t>J' aime les essais plus que les comédies .</t>
  </si>
  <si>
    <t>Amo le commedie più dei film .</t>
  </si>
  <si>
    <t>I like comedies more than movies .</t>
  </si>
  <si>
    <t>J' aime les comédies plus que les films .</t>
  </si>
  <si>
    <t>Amo i film più delle commedie .</t>
  </si>
  <si>
    <t>I like movies more than comedies .</t>
  </si>
  <si>
    <t>J' aime les films plus que les comédies .</t>
  </si>
  <si>
    <t>Amo le commedie più dei sussidiari .</t>
  </si>
  <si>
    <t>I like comedies more than textbooks .</t>
  </si>
  <si>
    <t>J' aime les comédies plus que les manuels scolaires .</t>
  </si>
  <si>
    <t>Amo i sussidiari più delle commedie .</t>
  </si>
  <si>
    <t>I like textbooks more than comedies .</t>
  </si>
  <si>
    <t>J' aime les manuels scolaires plus que les comédies .</t>
  </si>
  <si>
    <t>Amo gli animali domestici , eccetto i gatti .</t>
  </si>
  <si>
    <t>I like pets , except cats .</t>
  </si>
  <si>
    <t>J' aime les animaux de compagnie , sauf les chats .</t>
  </si>
  <si>
    <t>Amo le commedie più dei giochi da tavolo .</t>
  </si>
  <si>
    <t>I like comedies more than boardgames .</t>
  </si>
  <si>
    <t>J' aime les comédies plus que les jeux de société .</t>
  </si>
  <si>
    <t>Amo i giochi da tavolo più delle commedie .</t>
  </si>
  <si>
    <t>I like boardgames more than comedies .</t>
  </si>
  <si>
    <t>J' aime les jeux de société plus que les comédies .</t>
  </si>
  <si>
    <t>Amo le commedie più dei videogiochi .</t>
  </si>
  <si>
    <t>I like comedies more than videogames .</t>
  </si>
  <si>
    <t>J' aime les comédies plus que les jeux vidéo .</t>
  </si>
  <si>
    <t>Amo i videogiochi più delle commedie .</t>
  </si>
  <si>
    <t>I like videogames more than comedies .</t>
  </si>
  <si>
    <t>J' aime les jeux vidéo plus que les comédies .</t>
  </si>
  <si>
    <t>Amo gli animali domestici , eccetto le giraffe .</t>
  </si>
  <si>
    <t>I like pets , except giraffes .</t>
  </si>
  <si>
    <t>J' aime les animaux de compagnie , sauf les giraffes .</t>
  </si>
  <si>
    <t>Amo i gatti , eccetto gli orsi .</t>
  </si>
  <si>
    <t>I like cats , except bears .</t>
  </si>
  <si>
    <t>J' aime les chats , sauf les ours .</t>
  </si>
  <si>
    <t>Amo gli orsi , eccetto i gatti .</t>
  </si>
  <si>
    <t>I like bears , except cats .</t>
  </si>
  <si>
    <t>J' aime les ours , sauf les chats .</t>
  </si>
  <si>
    <t>Amo i documentari più dei saggi .</t>
  </si>
  <si>
    <t>I like documentaries more than essays .</t>
  </si>
  <si>
    <t>J' aime les documentaires plus que les essais .</t>
  </si>
  <si>
    <t>Amo i saggi più dei documentari .</t>
  </si>
  <si>
    <t>I like essays more than documentaries .</t>
  </si>
  <si>
    <t>J' aime les essais plus que les documentaires .</t>
  </si>
  <si>
    <t>Amo i documentari più dei film .</t>
  </si>
  <si>
    <t>I like documentaries more than movies .</t>
  </si>
  <si>
    <t>J' aime les documentaires plus que les films .</t>
  </si>
  <si>
    <t>Amo i film più dei documentari .</t>
  </si>
  <si>
    <t>I like movies more than documentaries .</t>
  </si>
  <si>
    <t>J' aime les films plus que les documentaires .</t>
  </si>
  <si>
    <t>Amo i documentari più dei sussidiari .</t>
  </si>
  <si>
    <t>I like documentaries more than textbooks .</t>
  </si>
  <si>
    <t>J' aime les documentaires plus que les manuels scolaires .</t>
  </si>
  <si>
    <t>Amo i sussidiari più dei documentari .</t>
  </si>
  <si>
    <t>I like textbooks more than documentaries .</t>
  </si>
  <si>
    <t>J' aime les manuels scolaires plus que les documentaires .</t>
  </si>
  <si>
    <t>Amo gli animali domestici , eccetto gli orsi .</t>
  </si>
  <si>
    <t>I like pets , except bears .</t>
  </si>
  <si>
    <t>J' aime les animaux de compagnie , sauf les ours .</t>
  </si>
  <si>
    <t>Amo i documentari più dei giochi da tavolo .</t>
  </si>
  <si>
    <t>I like documentaries more than boardgames .</t>
  </si>
  <si>
    <t>J' aime les documentaires plus que les jeux de société .</t>
  </si>
  <si>
    <t>Amo i giochi da tavolo più dei documentari .</t>
  </si>
  <si>
    <t>I like boardgames more than documentaries .</t>
  </si>
  <si>
    <t>J' aime les jeux de société plus que les documentaires .</t>
  </si>
  <si>
    <t>Amo i documentari più dei videogiochi .</t>
  </si>
  <si>
    <t>I like documentaries more than videogames .</t>
  </si>
  <si>
    <t>J' aime les documentaires plus que les jeux vidéo .</t>
  </si>
  <si>
    <t>Amo i videogiochi più dei documentari .</t>
  </si>
  <si>
    <t>I like videogames more than documentaries .</t>
  </si>
  <si>
    <t>J' aime les jeux vidéo plus que les documentaires .</t>
  </si>
  <si>
    <t>Amo i gatti , eccetto le meduse .</t>
  </si>
  <si>
    <t>I like cats , except jellyfish .</t>
  </si>
  <si>
    <t>J' aime les chats , sauf les méduses .</t>
  </si>
  <si>
    <t>Amo le meduse , eccetto i gatti .</t>
  </si>
  <si>
    <t>I like jellyfish , except cats .</t>
  </si>
  <si>
    <t>J' aime les méduses , sauf les chats .</t>
  </si>
  <si>
    <t>Amo gli animali domestici , eccetto le meduse .</t>
  </si>
  <si>
    <t>I like pets , except jellyfish .</t>
  </si>
  <si>
    <t>J' aime les animaux de compagnie , sauf les méduses .</t>
  </si>
  <si>
    <t>Amo i braccialetti più delle borsette .</t>
  </si>
  <si>
    <t>I like bracelets more than handbags .</t>
  </si>
  <si>
    <t>J' aime les bracelets plus que les sacs à main .</t>
  </si>
  <si>
    <t>Amo le borsette più dei braccialetti .</t>
  </si>
  <si>
    <t>I like handbags more than bracelets .</t>
  </si>
  <si>
    <t>J' aime les sacs à main plus que les bracelets .</t>
  </si>
  <si>
    <t>Amo i braccialetti più dei gioielli .</t>
  </si>
  <si>
    <t>I like bracelets more than jewelry .</t>
  </si>
  <si>
    <t>J' aime les bracelets plus que les bijoux .</t>
  </si>
  <si>
    <t>Amo i gioielli più dei braccialetti .</t>
  </si>
  <si>
    <t>I like jewelry more than bracelets .</t>
  </si>
  <si>
    <t>J' aime les bijoux plus que les bracelets .</t>
  </si>
  <si>
    <t>Amo i gioielli più delle borsette .</t>
  </si>
  <si>
    <t>I like jewelry more than handbags .</t>
  </si>
  <si>
    <t>J' aime les bijoux plus que les sacs à main .</t>
  </si>
  <si>
    <t>Amo i braccialetti più delle sciarpe .</t>
  </si>
  <si>
    <t>I like bracelets more than scarfs .</t>
  </si>
  <si>
    <t>J' aime les bracelets plus que les écharpes .</t>
  </si>
  <si>
    <t>Amo le sciarpe più dei braccialetti .</t>
  </si>
  <si>
    <t>I like scarfs more than bracelets .</t>
  </si>
  <si>
    <t>J' aime les écharpes plus que les bracelets .</t>
  </si>
  <si>
    <t>Amo i gatti , eccetto le balene .</t>
  </si>
  <si>
    <t>I like cats , except whales .</t>
  </si>
  <si>
    <t>J' aime les chats , sauf les baleines .</t>
  </si>
  <si>
    <t>Amo i gioielli più delle sciarpe .</t>
  </si>
  <si>
    <t>I like jewelry more than scarfs .</t>
  </si>
  <si>
    <t>J' aime les bijoux plus que les écharpes .</t>
  </si>
  <si>
    <t>Amo i braccialetti più degli occhiali .</t>
  </si>
  <si>
    <t>I like bracelets more than glasses .</t>
  </si>
  <si>
    <t>J' aime les bracelets plus que les lunettes .</t>
  </si>
  <si>
    <t>Amo gli occhiali più dei braccialetti .</t>
  </si>
  <si>
    <t>I like glasses more than bracelets .</t>
  </si>
  <si>
    <t>J' aime les lunettes plus que les bracelets .</t>
  </si>
  <si>
    <t>Amo i gioielli più degli occhiali .</t>
  </si>
  <si>
    <t>I like jewelry more than glasses .</t>
  </si>
  <si>
    <t>J' aime les bijoux plus que les lunettes .</t>
  </si>
  <si>
    <t>Amo i braccialetti più delle scarpe .</t>
  </si>
  <si>
    <t>I like bracelets more than shoes .</t>
  </si>
  <si>
    <t>J' aime les bracelets plus que les chaussures .</t>
  </si>
  <si>
    <t>Amo le scarpe più dei braccialetti .</t>
  </si>
  <si>
    <t>I like shoes more than bracelets .</t>
  </si>
  <si>
    <t>J' aime les chaussures plus que les bracelets .</t>
  </si>
  <si>
    <t>Amo le balene , eccetto i gatti .</t>
  </si>
  <si>
    <t>I like whales , except cats .</t>
  </si>
  <si>
    <t>J' aime les baleines , sauf les chats .</t>
  </si>
  <si>
    <t>Amo i gioielli più delle scarpe .</t>
  </si>
  <si>
    <t>I like jewelry more than shoes .</t>
  </si>
  <si>
    <t>J' aime les bijoux plus que les chaussures .</t>
  </si>
  <si>
    <t>Amo gli animali domestici , eccetto le balene .</t>
  </si>
  <si>
    <t>I like pets , except whales .</t>
  </si>
  <si>
    <t>J' aime les animaux de compagnie , sauf les baleines .</t>
  </si>
  <si>
    <t>Amo le collane più delle borsette .</t>
  </si>
  <si>
    <t>I like necklaces more than handbags .</t>
  </si>
  <si>
    <t>J' aime les colliers plus que les sacs à main .</t>
  </si>
  <si>
    <t>Amo le borsette più delle collane .</t>
  </si>
  <si>
    <t>I like handbags more than necklaces .</t>
  </si>
  <si>
    <t>J' aime les sacs à main plus que les colliers .</t>
  </si>
  <si>
    <t>Amo le collane più dei gioielli .</t>
  </si>
  <si>
    <t>I like necklaces more than jewelry .</t>
  </si>
  <si>
    <t>J' aime les colliers plus que les bijoux .</t>
  </si>
  <si>
    <t>Amo i gioielli più delle collane .</t>
  </si>
  <si>
    <t>I like jewelry more than necklaces .</t>
  </si>
  <si>
    <t>J' aime les bijoux plus que les colliers .</t>
  </si>
  <si>
    <t>Amo le collane più delle sciarpe .</t>
  </si>
  <si>
    <t>I like necklaces more than scarfs .</t>
  </si>
  <si>
    <t>J' aime les colliers plus que les écharpes .</t>
  </si>
  <si>
    <t>Amo le sciarpe più delle collane .</t>
  </si>
  <si>
    <t>I like scarfs more than necklaces .</t>
  </si>
  <si>
    <t>J' aime les écharpes plus que les colliers .</t>
  </si>
  <si>
    <t>Amo le collane più degli occhiali .</t>
  </si>
  <si>
    <t>I like necklaces more than glasses .</t>
  </si>
  <si>
    <t>J' aime les colliers plus que les lunettes .</t>
  </si>
  <si>
    <t>Amo gli occhiali più delle collane .</t>
  </si>
  <si>
    <t>I like glasses more than necklaces .</t>
  </si>
  <si>
    <t>J' aime les lunettes plus que les colliers .</t>
  </si>
  <si>
    <t>Amo le collane più delle scarpe .</t>
  </si>
  <si>
    <t>I like necklaces more than shoes .</t>
  </si>
  <si>
    <t>J' aime les colliers plus que les chaussures .</t>
  </si>
  <si>
    <t>Amo le scarpe più delle collane .</t>
  </si>
  <si>
    <t>I like shoes more than necklaces .</t>
  </si>
  <si>
    <t>J' aime les chaussures plus que les colliers .</t>
  </si>
  <si>
    <t>Amo gli orecchini più delle borsette .</t>
  </si>
  <si>
    <t>I like earrings more than handbags .</t>
  </si>
  <si>
    <t>J' aime les boucles d' oreille plus que les sacs à main .</t>
  </si>
  <si>
    <t>Amo le borsette più degli orecchini .</t>
  </si>
  <si>
    <t>I like handbags more than earrings .</t>
  </si>
  <si>
    <t>J' aime les sacs à main plus que les boucles d' oreille .</t>
  </si>
  <si>
    <t>Amo gli orecchini più dei gioielli .</t>
  </si>
  <si>
    <t>I like earrings more than jewelry .</t>
  </si>
  <si>
    <t>J' aime les boucles d' oreille plus que les bijoux .</t>
  </si>
  <si>
    <t>Amo i gioielli più degli orecchini .</t>
  </si>
  <si>
    <t>I like jewelry more than earrings .</t>
  </si>
  <si>
    <t>J' aime les bijoux plus que les boucles d' oreille .</t>
  </si>
  <si>
    <t>Amo gli orecchini più delle sciarpe .</t>
  </si>
  <si>
    <t>I like earrings more than scarfs .</t>
  </si>
  <si>
    <t>J' aime les boucles d' oreille plus que les écharpes .</t>
  </si>
  <si>
    <t>Amo le sciarpe più degli orecchini .</t>
  </si>
  <si>
    <t>I like scarfs more than earrings .</t>
  </si>
  <si>
    <t>J' aime les écharpes plus que les boucles d' oreille .</t>
  </si>
  <si>
    <t>Amo gli orecchini più degli occhiali .</t>
  </si>
  <si>
    <t>I like earrings more than glasses .</t>
  </si>
  <si>
    <t>J' aime les boucles d' oreille plus que les lunettes .</t>
  </si>
  <si>
    <t>Amo gli occhiali più degli orecchini .</t>
  </si>
  <si>
    <t>I like glasses more than earrings .</t>
  </si>
  <si>
    <t>J' aime les lunettes plus que les boucles d' oreille .</t>
  </si>
  <si>
    <t>Amo gli orecchini più delle scarpe .</t>
  </si>
  <si>
    <t>I like earrings more than shoes .</t>
  </si>
  <si>
    <t>J' aime les boucles d' oreille plus que les chaussures .</t>
  </si>
  <si>
    <t>Amo le scarpe più degli orecchini .</t>
  </si>
  <si>
    <t>I like shoes more than earrings .</t>
  </si>
  <si>
    <t>J' aime les chaussures plus que les boucles d' oreille .</t>
  </si>
  <si>
    <t>Amo gli anelli più delle borsette .</t>
  </si>
  <si>
    <t>I like rings more than handbags .</t>
  </si>
  <si>
    <t>J' aime les bagues plus que les sacs à main .</t>
  </si>
  <si>
    <t>Amo le borsette più degli anelli .</t>
  </si>
  <si>
    <t>I like handbags more than rings .</t>
  </si>
  <si>
    <t>J' aime les sacs à main plus que les bagues .</t>
  </si>
  <si>
    <t>Amo gli anelli più dei gioielli .</t>
  </si>
  <si>
    <t>I like rings more than jewelry .</t>
  </si>
  <si>
    <t>J' aime les bagues plus que les bijoux .</t>
  </si>
  <si>
    <t>Amo i gioielli più degli anelli .</t>
  </si>
  <si>
    <t>I like jewelry more than rings .</t>
  </si>
  <si>
    <t>J' aime les bijoux plus que les bagues .</t>
  </si>
  <si>
    <t>Amo gli anelli più delle sciarpe .</t>
  </si>
  <si>
    <t>I like rings more than scarfs .</t>
  </si>
  <si>
    <t>J' aime les bagues plus que les écharpes .</t>
  </si>
  <si>
    <t>Amo le sciarpe più degli anelli .</t>
  </si>
  <si>
    <t>I like scarfs more than rings .</t>
  </si>
  <si>
    <t>J' aime les écharpes plus que les bagues .</t>
  </si>
  <si>
    <t>Amo gli anelli più degli occhiali .</t>
  </si>
  <si>
    <t>I like rings more than glasses .</t>
  </si>
  <si>
    <t>J' aime les bagues plus que les lunettes .</t>
  </si>
  <si>
    <t>Amo gli occhiali più degli anelli .</t>
  </si>
  <si>
    <t>I like glasses more than rings .</t>
  </si>
  <si>
    <t>J' aime les lunettes plus que les bagues .</t>
  </si>
  <si>
    <t>Amo gli anelli più delle scarpe .</t>
  </si>
  <si>
    <t>I like rings more than shoes .</t>
  </si>
  <si>
    <t>J' aime les bagues plus que les chaussures .</t>
  </si>
  <si>
    <t>Amo le scarpe più degli anelli .</t>
  </si>
  <si>
    <t>I like shoes more than rings .</t>
  </si>
  <si>
    <t>J' aime les chaussures plus que les bagues .</t>
  </si>
  <si>
    <t>Amo i gatti più delle giraffe .</t>
  </si>
  <si>
    <t>I like cats more than giraffes .</t>
  </si>
  <si>
    <t>J' aime les chats plus que les giraffes .</t>
  </si>
  <si>
    <t>Amo le giraffe più dei gatti .</t>
  </si>
  <si>
    <t>I like giraffes more than cats .</t>
  </si>
  <si>
    <t>J' aime les giraffes plus que les chats .</t>
  </si>
  <si>
    <t>Amo i gatti più degli animali domestici .</t>
  </si>
  <si>
    <t>I like cats more than pets .</t>
  </si>
  <si>
    <t>J' aime les chats plus que les animaux de compagnie .</t>
  </si>
  <si>
    <t>Amo gli animali domestici più dei gatti .</t>
  </si>
  <si>
    <t>I like pets more than cats .</t>
  </si>
  <si>
    <t>J' aime les animaux de compagnie plus que les chats .</t>
  </si>
  <si>
    <t>Amo gli animali domestici più delle giraffe .</t>
  </si>
  <si>
    <t>I like pets more than giraffes .</t>
  </si>
  <si>
    <t>J' aime les animaux de compagnie plus que les giraffes .</t>
  </si>
  <si>
    <t>Amo i gatti più degli orsi .</t>
  </si>
  <si>
    <t>I like cats more than bears .</t>
  </si>
  <si>
    <t>J' aime les chats plus que les ours .</t>
  </si>
  <si>
    <t>Amo gli orsi più dei gatti .</t>
  </si>
  <si>
    <t>I like bears more than cats .</t>
  </si>
  <si>
    <t>J' aime les ours plus que les chats .</t>
  </si>
  <si>
    <t>Amo gli animali domestici più degli orsi .</t>
  </si>
  <si>
    <t>I like pets more than bears .</t>
  </si>
  <si>
    <t>J' aime les animaux de compagnie plus que les ours .</t>
  </si>
  <si>
    <t>Amo i gatti più delle meduse .</t>
  </si>
  <si>
    <t>I like cats more than jellyfish .</t>
  </si>
  <si>
    <t>J' aime les chats plus que les méduses .</t>
  </si>
  <si>
    <t>Amo le meduse più dei gatti .</t>
  </si>
  <si>
    <t>I like jellyfish more than cats .</t>
  </si>
  <si>
    <t>J' aime les méduses plus que les chats .</t>
  </si>
  <si>
    <t>Amo gli animali domestici più delle meduse .</t>
  </si>
  <si>
    <t>I like pets more than jellyfish .</t>
  </si>
  <si>
    <t>J' aime les animaux de compagnie plus que les méduses .</t>
  </si>
  <si>
    <t>Amo i gatti più delle balene .</t>
  </si>
  <si>
    <t>I like cats more than whales .</t>
  </si>
  <si>
    <t>J' aime les chats plus que les baleines .</t>
  </si>
  <si>
    <t>Amo le balene più dei gatti .</t>
  </si>
  <si>
    <t>I like whales more than cats .</t>
  </si>
  <si>
    <t>J' aime les baleines plus que les chats .</t>
  </si>
  <si>
    <t>Amo i cani , eccetto le giraffe .</t>
  </si>
  <si>
    <t>I like dogs , except giraffes .</t>
  </si>
  <si>
    <t>J' aime les chiens , sauf les giraffes .</t>
  </si>
  <si>
    <t>Amo gli animali domestici più delle balene .</t>
  </si>
  <si>
    <t>I like pets more than whales .</t>
  </si>
  <si>
    <t>J' aime les animaux de compagnie plus que les baleines .</t>
  </si>
  <si>
    <t>Amo le giraffe , eccetto i cani .</t>
  </si>
  <si>
    <t>I like giraffes , except dogs .</t>
  </si>
  <si>
    <t>J' aime les giraffes , sauf les chiens .</t>
  </si>
  <si>
    <t>Amo i cani , eccetto gli animali domestici .</t>
  </si>
  <si>
    <t>I like dogs , except pets .</t>
  </si>
  <si>
    <t>J' aime les chiens , sauf les animaux de compagnie .</t>
  </si>
  <si>
    <t>Amo gli animali domestici , eccetto i cani .</t>
  </si>
  <si>
    <t>I like pets , except dogs .</t>
  </si>
  <si>
    <t>J' aime les animaux de compagnie , sauf les chiens .</t>
  </si>
  <si>
    <t>Amo i cani più delle giraffe .</t>
  </si>
  <si>
    <t>I like dogs more than giraffes .</t>
  </si>
  <si>
    <t>J' aime les chiens plus que les giraffes .</t>
  </si>
  <si>
    <t>Amo le giraffe più dei cani .</t>
  </si>
  <si>
    <t>I like giraffes more than dogs .</t>
  </si>
  <si>
    <t>J' aime les giraffes plus que les chiens .</t>
  </si>
  <si>
    <t>Amo i cani più degli animali domestici .</t>
  </si>
  <si>
    <t>I like dogs more than pets .</t>
  </si>
  <si>
    <t>J' aime les chiens plus que les animaux de compagnie .</t>
  </si>
  <si>
    <t>Amo gli animali domestici più dei cani .</t>
  </si>
  <si>
    <t>I like pets more than dogs .</t>
  </si>
  <si>
    <t>J' aime les animaux de compagnie plus que les chiens .</t>
  </si>
  <si>
    <t>Amo i cani più degli orsi .</t>
  </si>
  <si>
    <t>I like dogs more than bears .</t>
  </si>
  <si>
    <t>J' aime les chiens plus que les ours .</t>
  </si>
  <si>
    <t>Amo gli orsi più dei cani .</t>
  </si>
  <si>
    <t>I like bears more than dogs .</t>
  </si>
  <si>
    <t>J' aime les ours plus que les chiens .</t>
  </si>
  <si>
    <t>Amo i cani , eccetto gli orsi .</t>
  </si>
  <si>
    <t>I like dogs , except bears .</t>
  </si>
  <si>
    <t>J' aime les chiens , sauf les ours .</t>
  </si>
  <si>
    <t>Amo i cani più delle meduse .</t>
  </si>
  <si>
    <t>I like dogs more than jellyfish .</t>
  </si>
  <si>
    <t>J' aime les chiens plus que les méduses .</t>
  </si>
  <si>
    <t>Amo le meduse più dei cani .</t>
  </si>
  <si>
    <t>I like jellyfish more than dogs .</t>
  </si>
  <si>
    <t>J' aime les méduses plus que les chiens .</t>
  </si>
  <si>
    <t>Amo i cani più delle balene .</t>
  </si>
  <si>
    <t>I like dogs more than whales .</t>
  </si>
  <si>
    <t>J' aime les chiens plus que les baleines .</t>
  </si>
  <si>
    <t>Amo le balene più dei cani .</t>
  </si>
  <si>
    <t>I like whales more than dogs .</t>
  </si>
  <si>
    <t>J' aime les baleines plus que les chiens .</t>
  </si>
  <si>
    <t>Amo gli orsi , eccetto i cani .</t>
  </si>
  <si>
    <t>I like bears , except dogs .</t>
  </si>
  <si>
    <t>J' aime les ours , sauf les chiens .</t>
  </si>
  <si>
    <t>Amo i cani , eccetto le meduse .</t>
  </si>
  <si>
    <t>I like dogs , except jellyfish .</t>
  </si>
  <si>
    <t>J' aime les chiens , sauf les méduses .</t>
  </si>
  <si>
    <t>Amo i conigli più delle giraffe .</t>
  </si>
  <si>
    <t>I like rabbits more than giraffes .</t>
  </si>
  <si>
    <t>J' aime les lapins plus que les giraffes .</t>
  </si>
  <si>
    <t>Amo le giraffe più dei conigli .</t>
  </si>
  <si>
    <t>I like giraffes more than rabbits .</t>
  </si>
  <si>
    <t>J' aime les giraffes plus que les lapins .</t>
  </si>
  <si>
    <t>Amo i conigli più degli animali domestici .</t>
  </si>
  <si>
    <t>I like rabbits more than pets .</t>
  </si>
  <si>
    <t>J' aime les lapins plus que les animaux de compagnie .</t>
  </si>
  <si>
    <t>Amo gli animali domestici più dei conigli .</t>
  </si>
  <si>
    <t>I like pets more than rabbits .</t>
  </si>
  <si>
    <t>J' aime les animaux de compagnie plus que les lapins .</t>
  </si>
  <si>
    <t>Amo i conigli più degli orsi .</t>
  </si>
  <si>
    <t>I like rabbits more than bears .</t>
  </si>
  <si>
    <t>J' aime les lapins plus que les ours .</t>
  </si>
  <si>
    <t>Amo gli orsi più dei conigli .</t>
  </si>
  <si>
    <t>I like bears more than rabbits .</t>
  </si>
  <si>
    <t>J' aime les ours plus que les lapins .</t>
  </si>
  <si>
    <t>Amo le meduse , eccetto i cani .</t>
  </si>
  <si>
    <t>I like jellyfish , except dogs .</t>
  </si>
  <si>
    <t>J' aime les méduses , sauf les chiens .</t>
  </si>
  <si>
    <t>Amo i conigli più delle meduse .</t>
  </si>
  <si>
    <t>I like rabbits more than jellyfish .</t>
  </si>
  <si>
    <t>J' aime les lapins plus que les méduses .</t>
  </si>
  <si>
    <t>Amo le meduse più dei conigli .</t>
  </si>
  <si>
    <t>I like jellyfish more than rabbits .</t>
  </si>
  <si>
    <t>J' aime les méduses plus que les lapins .</t>
  </si>
  <si>
    <t>Amo i conigli più delle balene .</t>
  </si>
  <si>
    <t>I like rabbits more than whales .</t>
  </si>
  <si>
    <t>J' aime les lapins plus que les baleines .</t>
  </si>
  <si>
    <t>Amo le balene più dei conigli .</t>
  </si>
  <si>
    <t>I like whales more than rabbits .</t>
  </si>
  <si>
    <t>J' aime les baleines plus que les lapins .</t>
  </si>
  <si>
    <t>Amo i cani , eccetto le balene .</t>
  </si>
  <si>
    <t>I like dogs , except whales .</t>
  </si>
  <si>
    <t>J' aime les chiens , sauf les baleines .</t>
  </si>
  <si>
    <t>Amo le balene , eccetto i cani .</t>
  </si>
  <si>
    <t>I like whales , except dogs .</t>
  </si>
  <si>
    <t>J' aime les baleines , sauf les chiens .</t>
  </si>
  <si>
    <t>Amo i criceti più delle giraffe .</t>
  </si>
  <si>
    <t>I like hamsters more than giraffes .</t>
  </si>
  <si>
    <t>J' aime les hamsters plus que les giraffes .</t>
  </si>
  <si>
    <t>Amo le giraffe più dei criceti .</t>
  </si>
  <si>
    <t>I like giraffes more than hamsters .</t>
  </si>
  <si>
    <t>J' aime les giraffes plus que les hamsters .</t>
  </si>
  <si>
    <t>Amo i criceti più degli animali domestici .</t>
  </si>
  <si>
    <t>I like hamsters more than pets .</t>
  </si>
  <si>
    <t>J' aime les hamsters plus que les animaux de compagnie .</t>
  </si>
  <si>
    <t>Amo gli animali domestici più dei criceti .</t>
  </si>
  <si>
    <t>I like pets more than hamsters .</t>
  </si>
  <si>
    <t>J' aime les animaux de compagnie plus que les hamsters .</t>
  </si>
  <si>
    <t>Amo i criceti più degli orsi .</t>
  </si>
  <si>
    <t>I like hamsters more than bears .</t>
  </si>
  <si>
    <t>J' aime les hamsters plus que les ours .</t>
  </si>
  <si>
    <t>Amo gli orsi più dei criceti .</t>
  </si>
  <si>
    <t>I like bears more than hamsters .</t>
  </si>
  <si>
    <t>J' aime les ours plus que les hamsters .</t>
  </si>
  <si>
    <t>Amo i criceti più delle meduse .</t>
  </si>
  <si>
    <t>I like hamsters more than jellyfish .</t>
  </si>
  <si>
    <t>J' aime les hamsters plus que les méduses .</t>
  </si>
  <si>
    <t>Amo le meduse più dei criceti .</t>
  </si>
  <si>
    <t>I like jellyfish more than hamsters .</t>
  </si>
  <si>
    <t>J' aime les méduses plus que les hamsters .</t>
  </si>
  <si>
    <t>Amo i criceti più delle balene .</t>
  </si>
  <si>
    <t>I like hamsters more than whales .</t>
  </si>
  <si>
    <t>J' aime les hamsters plus que les baleines .</t>
  </si>
  <si>
    <t>Amo le balene più dei criceti .</t>
  </si>
  <si>
    <t>I like whales more than hamsters .</t>
  </si>
  <si>
    <t>J' aime les baleines plus que les hamsters .</t>
  </si>
  <si>
    <t>Amo i conigli , eccetto le giraffe .</t>
  </si>
  <si>
    <t>I like rabbits , except giraffes .</t>
  </si>
  <si>
    <t>J' aime les lapins , sauf les giraffes .</t>
  </si>
  <si>
    <t>Amo le giraffe , eccetto i conigli .</t>
  </si>
  <si>
    <t>I like giraffes , except rabbits .</t>
  </si>
  <si>
    <t>J' aime les giraffes , sauf les lapins .</t>
  </si>
  <si>
    <t>Amo i conigli , eccetto gli animali domestici .</t>
  </si>
  <si>
    <t>I like rabbits , except pets .</t>
  </si>
  <si>
    <t>J' aime les lapins , sauf les animaux de compagnie .</t>
  </si>
  <si>
    <t>Amo gli animali domestici , eccetto i conigli .</t>
  </si>
  <si>
    <t>I like pets , except rabbits .</t>
  </si>
  <si>
    <t>J' aime les animaux de compagnie , sauf les lapins .</t>
  </si>
  <si>
    <t>Amo i conigli , eccetto gli orsi .</t>
  </si>
  <si>
    <t>I like rabbits , except bears .</t>
  </si>
  <si>
    <t>J' aime les lapins , sauf les ours .</t>
  </si>
  <si>
    <t>Amo gli orsi , eccetto i conigli .</t>
  </si>
  <si>
    <t>I like bears , except rabbits .</t>
  </si>
  <si>
    <t>J' aime les ours , sauf les lapins .</t>
  </si>
  <si>
    <t>Amo i conigli , eccetto le meduse .</t>
  </si>
  <si>
    <t>I like rabbits , except jellyfish .</t>
  </si>
  <si>
    <t>J' aime les lapins , sauf les méduses .</t>
  </si>
  <si>
    <t>Amo le meduse , eccetto i conigli .</t>
  </si>
  <si>
    <t>I like jellyfish , except rabbits .</t>
  </si>
  <si>
    <t>J' aime les méduses , sauf les lapins .</t>
  </si>
  <si>
    <t>Amo i conigli , eccetto le balene .</t>
  </si>
  <si>
    <t>I like rabbits , except whales .</t>
  </si>
  <si>
    <t>J' aime les lapins , sauf les baleines .</t>
  </si>
  <si>
    <t>Amo le balene , eccetto i conigli .</t>
  </si>
  <si>
    <t>I like whales , except rabbits .</t>
  </si>
  <si>
    <t>J' aime les baleines , sauf les lapins .</t>
  </si>
  <si>
    <t>Si fida della vista più che delle dicerie .</t>
  </si>
  <si>
    <t>He trusts his sight more than rumors .</t>
  </si>
  <si>
    <t>Il fait confiance à sa vision plus que aux rumeurs .</t>
  </si>
  <si>
    <t>Si fida delle dicerie più che della vista .</t>
  </si>
  <si>
    <t>He trusts rumors more than his sight .</t>
  </si>
  <si>
    <t>Il fait confiance aux rumeurs plus que à sa vision .</t>
  </si>
  <si>
    <t>Si fida della vista più che dei sensi .</t>
  </si>
  <si>
    <t>He trusts his sight more than his senses .</t>
  </si>
  <si>
    <t>Il fait confiance à sa vision plus que à ses sens .</t>
  </si>
  <si>
    <t>Si fida dei sensi più che della vista .</t>
  </si>
  <si>
    <t>He trusts his senses more than his sight .</t>
  </si>
  <si>
    <t>Il fait confiance à ses sens plus que à sa vision .</t>
  </si>
  <si>
    <t>Si fida dei sensi più che delle dicerie .</t>
  </si>
  <si>
    <t>He trusts his senses more than rumors .</t>
  </si>
  <si>
    <t>Il fait confiance à ses sens plus que aux rumeurs .</t>
  </si>
  <si>
    <t>Si fida della vista più che dei notiziari .</t>
  </si>
  <si>
    <t>He trusts his sight more than reports .</t>
  </si>
  <si>
    <t>Il fait confiance à sa vision plus que aux rapports .</t>
  </si>
  <si>
    <t>Si fida dei notiziari più che della vista .</t>
  </si>
  <si>
    <t>He trusts reports more than his sight .</t>
  </si>
  <si>
    <t>Il fait confiance aux rapports plus que à sa vision .</t>
  </si>
  <si>
    <t>Si fida dei sensi più che dei notiziari .</t>
  </si>
  <si>
    <t>He trusts his senses more than reports .</t>
  </si>
  <si>
    <t>Il fait confiance à ses sens plus que aux rapports .</t>
  </si>
  <si>
    <t>Si fida della vista più che delle ricostruzioni .</t>
  </si>
  <si>
    <t>He trusts his sight more than reconstructions .</t>
  </si>
  <si>
    <t>Il fait confiance à sa vision plus que aux reconstructions .</t>
  </si>
  <si>
    <t>Si fida delle ricostruzioni più che della vista .</t>
  </si>
  <si>
    <t>He trusts reconstructions more than his sight .</t>
  </si>
  <si>
    <t>Il fait confiance aux reconstructions plus que à sa vision .</t>
  </si>
  <si>
    <t>Si fida dei sensi più che delle ricostruzioni .</t>
  </si>
  <si>
    <t>He trusts his senses more than reconstructions .</t>
  </si>
  <si>
    <t>Il fait confiance à ses sens plus que aux reconstructions .</t>
  </si>
  <si>
    <t>Si fida della vista più che delle congetture .</t>
  </si>
  <si>
    <t>He trusts his sight more than guesses .</t>
  </si>
  <si>
    <t>Il fait confiance à sa vision plus que aux suppositions .</t>
  </si>
  <si>
    <t>Si fida delle congetture più che della vista .</t>
  </si>
  <si>
    <t>He trusts guesses more than his sight .</t>
  </si>
  <si>
    <t>Il fait confiance aux suppositions plus que à sa vision .</t>
  </si>
  <si>
    <t>Si fida dei sensi più che delle congetture .</t>
  </si>
  <si>
    <t>He trusts his senses more than guesses .</t>
  </si>
  <si>
    <t>Il fait confiance à ses sens plus que aux suppositions .</t>
  </si>
  <si>
    <t>Si fida dell' udito più che delle dicerie .</t>
  </si>
  <si>
    <t>He trusts his hearing more than rumors .</t>
  </si>
  <si>
    <t>Il fait confiance à son odorat plus que aux rumeurs .</t>
  </si>
  <si>
    <t>Si fida delle dicerie più che dell' udito .</t>
  </si>
  <si>
    <t>He trusts rumors more than his hearing .</t>
  </si>
  <si>
    <t>Il fait confiance aux rumeurs plus que à son odorat .</t>
  </si>
  <si>
    <t>Si fida dell' udito più che dei sensi .</t>
  </si>
  <si>
    <t>He trusts his hearing more than his senses .</t>
  </si>
  <si>
    <t>Il fait confiance à son odorat plus que à ses sens .</t>
  </si>
  <si>
    <t>Si fida dei sensi più che dell' udito .</t>
  </si>
  <si>
    <t>He trusts his senses more than his hearing .</t>
  </si>
  <si>
    <t>Il fait confiance à ses sens plus que à son odorat .</t>
  </si>
  <si>
    <t>Si fida dell' udito più che dei notiziari .</t>
  </si>
  <si>
    <t>He trusts his hearing more than reports .</t>
  </si>
  <si>
    <t>Il fait confiance à son odorat plus que aux rapports .</t>
  </si>
  <si>
    <t>Si fida dei notiziari più che dell' udito .</t>
  </si>
  <si>
    <t>He trusts reports more than his hearing .</t>
  </si>
  <si>
    <t>Il fait confiance aux rapports plus que à son odorat .</t>
  </si>
  <si>
    <t>Si fida dell' udito più che delle ricostruzioni .</t>
  </si>
  <si>
    <t>He trusts his hearing more than reconstructions .</t>
  </si>
  <si>
    <t>Il fait confiance à son odorat plus que aux reconstructions .</t>
  </si>
  <si>
    <t>Si fida delle ricostruzioni più che dell' udito .</t>
  </si>
  <si>
    <t>He trusts reconstructions more than his hearing .</t>
  </si>
  <si>
    <t>Il fait confiance aux reconstructions plus que à son odorat .</t>
  </si>
  <si>
    <t>Si fida dell' udito più che delle congetture .</t>
  </si>
  <si>
    <t>He trusts his hearing more than guesses .</t>
  </si>
  <si>
    <t>Il fait confiance à son odorat plus que aux suppositions .</t>
  </si>
  <si>
    <t>Si fida delle congetture più che dell' udito .</t>
  </si>
  <si>
    <t>He trusts guesses more than his hearing .</t>
  </si>
  <si>
    <t>Il fait confiance aux suppositions plus que à son odorat .</t>
  </si>
  <si>
    <t>Amo i criceti , eccetto le giraffe .</t>
  </si>
  <si>
    <t>I like hamsters , except giraffes .</t>
  </si>
  <si>
    <t>J' aime les hamsters , sauf les giraffes .</t>
  </si>
  <si>
    <t>Amo le giraffe , eccetto i criceti .</t>
  </si>
  <si>
    <t>I like giraffes , except hamsters .</t>
  </si>
  <si>
    <t>J' aime les giraffes , sauf les hamsters .</t>
  </si>
  <si>
    <t>Amo i criceti , eccetto gli animali domestici .</t>
  </si>
  <si>
    <t>I like hamsters , except pets .</t>
  </si>
  <si>
    <t>J' aime les hamsters , sauf les animaux de compagnie .</t>
  </si>
  <si>
    <t>Si fida del tatto più che delle dicerie .</t>
  </si>
  <si>
    <t>He trusts his touch more than rumors .</t>
  </si>
  <si>
    <t>Il fait confiance à son sens du toucher plus que aux rumeurs .</t>
  </si>
  <si>
    <t>Si fida delle dicerie più che del tatto .</t>
  </si>
  <si>
    <t>He trusts rumors more than his touch .</t>
  </si>
  <si>
    <t>Il fait confiance aux rumeurs plus que à son sens du toucher .</t>
  </si>
  <si>
    <t>Si fida del tatto più che dei sensi .</t>
  </si>
  <si>
    <t>He trusts his touch more than his senses .</t>
  </si>
  <si>
    <t>Il fait confiance à son sens du toucher plus que à ses sens .</t>
  </si>
  <si>
    <t>Si fida dei sensi più che del tatto .</t>
  </si>
  <si>
    <t>He trusts his senses more than his touch .</t>
  </si>
  <si>
    <t>Il fait confiance à ses sens plus que à son sens du toucher .</t>
  </si>
  <si>
    <t>Si fida del tatto più che dei notiziari .</t>
  </si>
  <si>
    <t>He trusts his touch more than reports .</t>
  </si>
  <si>
    <t>Il fait confiance à son sens du toucher plus que aux rapports .</t>
  </si>
  <si>
    <t>Si fida dei notiziari più che del tatto .</t>
  </si>
  <si>
    <t>He trusts reports more than his touch .</t>
  </si>
  <si>
    <t>Il fait confiance aux rapports plus que à son sens du toucher .</t>
  </si>
  <si>
    <t>Amo gli animali domestici , eccetto i criceti .</t>
  </si>
  <si>
    <t>I like pets , except hamsters .</t>
  </si>
  <si>
    <t>J' aime les animaux de compagnie , sauf les hamsters .</t>
  </si>
  <si>
    <t>Si fida del tatto più che delle ricostruzioni .</t>
  </si>
  <si>
    <t>He trusts his touch more than reconstructions .</t>
  </si>
  <si>
    <t>Il fait confiance à son sens du toucher plus que aux reconstructions .</t>
  </si>
  <si>
    <t>Si fida delle ricostruzioni più che del tatto .</t>
  </si>
  <si>
    <t>He trusts reconstructions more than his touch .</t>
  </si>
  <si>
    <t>Il fait confiance aux reconstructions plus que à son sens du toucher .</t>
  </si>
  <si>
    <t>Si fida del tatto più che delle congetture .</t>
  </si>
  <si>
    <t>He trusts his touch more than guesses .</t>
  </si>
  <si>
    <t>Il fait confiance à son sens du toucher plus que aux suppositions .</t>
  </si>
  <si>
    <t>Si fida delle congetture più che del tatto .</t>
  </si>
  <si>
    <t>He trusts guesses more than his touch .</t>
  </si>
  <si>
    <t>Il fait confiance aux suppositions plus que à son sens du toucher .</t>
  </si>
  <si>
    <t>Amo i criceti , eccetto gli orsi .</t>
  </si>
  <si>
    <t>I like hamsters , except bears .</t>
  </si>
  <si>
    <t>J' aime les hamsters , sauf les ours .</t>
  </si>
  <si>
    <t>Amo gli orsi , eccetto i criceti .</t>
  </si>
  <si>
    <t>I like bears , except hamsters .</t>
  </si>
  <si>
    <t>J' aime les ours , sauf les hamsters .</t>
  </si>
  <si>
    <t>Si fida del gusto più che delle dicerie .</t>
  </si>
  <si>
    <t>He trusts his taste more than rumors .</t>
  </si>
  <si>
    <t>Il fait confiance à son sens du goût plus que aux rumeurs .</t>
  </si>
  <si>
    <t>Si fida delle dicerie più che del gusto .</t>
  </si>
  <si>
    <t>He trusts rumors more than his taste .</t>
  </si>
  <si>
    <t>Il fait confiance aux rumeurs plus que à son sens du goût .</t>
  </si>
  <si>
    <t>Si fida del gusto più che dei sensi .</t>
  </si>
  <si>
    <t>He trusts his taste more than his senses .</t>
  </si>
  <si>
    <t>Il fait confiance à son sens du goût plus que à ses sens .</t>
  </si>
  <si>
    <t>Si fida dei sensi più che del gusto .</t>
  </si>
  <si>
    <t>He trusts his senses more than his taste .</t>
  </si>
  <si>
    <t>Il fait confiance à ses sens plus que à son sens du goût .</t>
  </si>
  <si>
    <t>Si fida del gusto più che dei notiziari .</t>
  </si>
  <si>
    <t>He trusts his taste more than reports .</t>
  </si>
  <si>
    <t>Il fait confiance à son sens du goût plus que aux rapports .</t>
  </si>
  <si>
    <t>Si fida dei notiziari più che del gusto .</t>
  </si>
  <si>
    <t>He trusts reports more than his taste .</t>
  </si>
  <si>
    <t>Il fait confiance aux rapports plus que à son sens du goût .</t>
  </si>
  <si>
    <t>Si fida del gusto più che delle ricostruzioni .</t>
  </si>
  <si>
    <t>He trusts his taste more than reconstructions .</t>
  </si>
  <si>
    <t>Il fait confiance à son sens du goût plus que aux reconstructions .</t>
  </si>
  <si>
    <t>Si fida delle ricostruzioni più che del gusto .</t>
  </si>
  <si>
    <t>He trusts reconstructions more than his taste .</t>
  </si>
  <si>
    <t>Il fait confiance aux reconstructions plus que à son sens du goût .</t>
  </si>
  <si>
    <t>Si fida del gusto più che delle congetture .</t>
  </si>
  <si>
    <t>He trusts his taste more than guesses .</t>
  </si>
  <si>
    <t>Il fait confiance à son sens du goût plus que aux suppositions .</t>
  </si>
  <si>
    <t>Si fida delle congetture più che del gusto .</t>
  </si>
  <si>
    <t>He trusts guesses more than his taste .</t>
  </si>
  <si>
    <t>Il fait confiance aux suppositions plus que à son sens du goût .</t>
  </si>
  <si>
    <t>Amo i criceti , eccetto le meduse .</t>
  </si>
  <si>
    <t>I like hamsters , except jellyfish .</t>
  </si>
  <si>
    <t>J' aime les hamsters , sauf les méduses .</t>
  </si>
  <si>
    <t>Amo le meduse , eccetto i criceti .</t>
  </si>
  <si>
    <t>I like jellyfish , except hamsters .</t>
  </si>
  <si>
    <t>J' aime les méduses , sauf les hamsters .</t>
  </si>
  <si>
    <t>Posso capire la gioia più della saggezza .</t>
  </si>
  <si>
    <t>He likes joy more than wisdom .</t>
  </si>
  <si>
    <t>Je peux comprendre la joie plus que la sagesse .</t>
  </si>
  <si>
    <t>Posso capire la saggezza più della gioia .</t>
  </si>
  <si>
    <t>He likes wisdom more than joy .</t>
  </si>
  <si>
    <t>Je peux comprendre la sagesse plus que la joie .</t>
  </si>
  <si>
    <t>Posso capire la gioia più delle emozioni .</t>
  </si>
  <si>
    <t>He likes joy more than emotions .</t>
  </si>
  <si>
    <t>Je peux comprendre la joie plus que les émotions .</t>
  </si>
  <si>
    <t>Posso capire le emozioni più della gioia .</t>
  </si>
  <si>
    <t>He likes emotions more than joy .</t>
  </si>
  <si>
    <t>Je peux comprendre les émotions plus que la joie .</t>
  </si>
  <si>
    <t>Posso capire le emozioni più della saggezza .</t>
  </si>
  <si>
    <t>He likes emotions more than wisdom .</t>
  </si>
  <si>
    <t>Je peux comprendre les émotions plus que la sagesse .</t>
  </si>
  <si>
    <t>Posso capire la gioia più della stupidità .</t>
  </si>
  <si>
    <t>He likes joy more than stupidity .</t>
  </si>
  <si>
    <t>Je peux comprendre la joie plus que la stupidité .</t>
  </si>
  <si>
    <t>Posso capire la stupidità più della gioia .</t>
  </si>
  <si>
    <t>He likes stupidity more than joy .</t>
  </si>
  <si>
    <t>Je peux comprendre la stupidité plus que la joie .</t>
  </si>
  <si>
    <t>Amo i criceti , eccetto le balene .</t>
  </si>
  <si>
    <t>I like hamsters , except whales .</t>
  </si>
  <si>
    <t>J' aime les hamsters , sauf les baleines .</t>
  </si>
  <si>
    <t>Posso capire le emozioni più della stupidità .</t>
  </si>
  <si>
    <t>He likes emotions more than stupidity .</t>
  </si>
  <si>
    <t>Je peux comprendre les émotions plus que la stupidité .</t>
  </si>
  <si>
    <t>Posso capire la gioia più della logica .</t>
  </si>
  <si>
    <t>He likes joy more than logic .</t>
  </si>
  <si>
    <t>Je peux comprendre la joie plus que la logique .</t>
  </si>
  <si>
    <t>Posso capire la logica più della gioia .</t>
  </si>
  <si>
    <t>He likes logic more than joy .</t>
  </si>
  <si>
    <t>Je peux comprendre la logique plus que la joie .</t>
  </si>
  <si>
    <t>Posso capire le emozioni più della logica .</t>
  </si>
  <si>
    <t>He likes emotions more than logic .</t>
  </si>
  <si>
    <t>Je peux comprendre les émotions plus que la logique .</t>
  </si>
  <si>
    <t>Posso capire la gioia più dei calcoli .</t>
  </si>
  <si>
    <t>He likes joy more than calculations .</t>
  </si>
  <si>
    <t>Je peux comprendre la joie plus que les calculs .</t>
  </si>
  <si>
    <t>Posso capire i calcoli più della gioia .</t>
  </si>
  <si>
    <t>He likes calculations more than joy .</t>
  </si>
  <si>
    <t>Je peux comprendre les calculs plus que la joie .</t>
  </si>
  <si>
    <t>Amo le balene , eccetto i criceti .</t>
  </si>
  <si>
    <t>I like whales , except hamsters .</t>
  </si>
  <si>
    <t>J' aime les baleines , sauf les hamsters .</t>
  </si>
  <si>
    <t>Posso capire le emozioni più dei calcoli .</t>
  </si>
  <si>
    <t>He likes emotions more than calculations .</t>
  </si>
  <si>
    <t>Je peux comprendre les émotions plus que les calculs .</t>
  </si>
  <si>
    <t>Posso capire la paura più della saggezza .</t>
  </si>
  <si>
    <t>He likes fear more than wisdom .</t>
  </si>
  <si>
    <t>Je peux comprendre la peur plus que la sagesse .</t>
  </si>
  <si>
    <t>Posso capire la saggezza più della paura .</t>
  </si>
  <si>
    <t>He likes wisdom more than fear .</t>
  </si>
  <si>
    <t>Je peux comprendre la sagesse plus que la peur .</t>
  </si>
  <si>
    <t>Posso capire la paura più delle emozioni .</t>
  </si>
  <si>
    <t>He likes fear more than emotions .</t>
  </si>
  <si>
    <t>Je peux comprendre la peur plus que les émotions .</t>
  </si>
  <si>
    <t>Posso capire le emozioni più della paura .</t>
  </si>
  <si>
    <t>He likes emotions more than fear .</t>
  </si>
  <si>
    <t>Je peux comprendre les émotions plus que la peur .</t>
  </si>
  <si>
    <t>Posso capire la paura più della stupidità .</t>
  </si>
  <si>
    <t>He likes fear more than stupidity .</t>
  </si>
  <si>
    <t>Je peux comprendre la peur plus que la stupidité .</t>
  </si>
  <si>
    <t>Posso capire la stupidità più della paura .</t>
  </si>
  <si>
    <t>He likes stupidity more than fear .</t>
  </si>
  <si>
    <t>Je peux comprendre la stupidité plus que la peur .</t>
  </si>
  <si>
    <t>Posso capire la paura più della logica .</t>
  </si>
  <si>
    <t>He likes fear more than logic .</t>
  </si>
  <si>
    <t>Je peux comprendre la peur plus que la logique .</t>
  </si>
  <si>
    <t>Posso capire la logica più della paura .</t>
  </si>
  <si>
    <t>He likes logic more than fear .</t>
  </si>
  <si>
    <t>Je peux comprendre la logique plus que la peur .</t>
  </si>
  <si>
    <t>Posso capire la paura più dei calcoli .</t>
  </si>
  <si>
    <t>He likes fear more than calculations .</t>
  </si>
  <si>
    <t>Je peux comprendre la peur plus que les calculs .</t>
  </si>
  <si>
    <t>Posso capire i calcoli più della paura .</t>
  </si>
  <si>
    <t>He likes calculations more than fear .</t>
  </si>
  <si>
    <t>Je peux comprendre les calculs plus que la peur .</t>
  </si>
  <si>
    <t>Posso capire l' amore più della saggezza .</t>
  </si>
  <si>
    <t>He likes love more than wisdom .</t>
  </si>
  <si>
    <t>Je peux comprendre l' amour plus que la sagesse .</t>
  </si>
  <si>
    <t>Posso capire la saggezza più dell' amore .</t>
  </si>
  <si>
    <t>He likes wisdom more than love .</t>
  </si>
  <si>
    <t>Je peux comprendre la sagesse plus que l' amour .</t>
  </si>
  <si>
    <t>Posso capire l' amore più delle emozioni .</t>
  </si>
  <si>
    <t>He likes love more than emotions .</t>
  </si>
  <si>
    <t>Je peux comprendre l' amour plus que les émotions .</t>
  </si>
  <si>
    <t>Posso capire le emozioni più dell' amore .</t>
  </si>
  <si>
    <t>He likes emotions more than love .</t>
  </si>
  <si>
    <t>Je peux comprendre les émotions plus que l' amour .</t>
  </si>
  <si>
    <t>Posso capire l' amore più della stupidità .</t>
  </si>
  <si>
    <t>He likes love more than stupidity .</t>
  </si>
  <si>
    <t>Je peux comprendre l' amour plus que la stupidité .</t>
  </si>
  <si>
    <t>Posso capire la stupidità più dell' amore .</t>
  </si>
  <si>
    <t>He likes stupidity more than love .</t>
  </si>
  <si>
    <t>Je peux comprendre la stupidité plus que l' amour .</t>
  </si>
  <si>
    <t>Posso capire l' amore più della logica .</t>
  </si>
  <si>
    <t>He likes love more than logic .</t>
  </si>
  <si>
    <t>Je peux comprendre l' amour plus que la logique .</t>
  </si>
  <si>
    <t>Posso capire la logica più dell' amore .</t>
  </si>
  <si>
    <t>He likes logic more than love .</t>
  </si>
  <si>
    <t>Je peux comprendre la logique plus que l' amour .</t>
  </si>
  <si>
    <t>Posso capire l' amore più dei calcoli .</t>
  </si>
  <si>
    <t>He likes love more than calculations .</t>
  </si>
  <si>
    <t>Je peux comprendre l' amour plus que les calculs .</t>
  </si>
  <si>
    <t>Posso capire i calcoli più dell' amore .</t>
  </si>
  <si>
    <t>He likes calculations more than love .</t>
  </si>
  <si>
    <t>Je peux comprendre les calculs plus que l' amour .</t>
  </si>
  <si>
    <t>Posso capire la tristezza più della saggezza .</t>
  </si>
  <si>
    <t>He likes sadness more than wisdom .</t>
  </si>
  <si>
    <t>Je peux comprendre la tristesse plus que la sagesse .</t>
  </si>
  <si>
    <t>Posso capire la saggezza più della tristezza .</t>
  </si>
  <si>
    <t>He likes wisdom more than sadness .</t>
  </si>
  <si>
    <t>Je peux comprendre la sagesse plus que la tristesse .</t>
  </si>
  <si>
    <t>Posso capire la tristezza più delle emozioni .</t>
  </si>
  <si>
    <t>He likes sadness more than emotions .</t>
  </si>
  <si>
    <t>Je peux comprendre la tristesse plus que les émotions .</t>
  </si>
  <si>
    <t>Posso capire le emozioni più della tristezza .</t>
  </si>
  <si>
    <t>He likes emotions more than sadness .</t>
  </si>
  <si>
    <t>Je peux comprendre les émotions plus que la tristesse .</t>
  </si>
  <si>
    <t>Posso capire la tristezza più della stupidità .</t>
  </si>
  <si>
    <t>He likes sadness more than stupidity .</t>
  </si>
  <si>
    <t>Je peux comprendre la tristesse plus que la stupidité .</t>
  </si>
  <si>
    <t>Posso capire la stupidità più della tristezza .</t>
  </si>
  <si>
    <t>He likes stupidity more than sadness .</t>
  </si>
  <si>
    <t>Je peux comprendre la stupidité plus que la tristesse .</t>
  </si>
  <si>
    <t>Posso capire la tristezza più della logica .</t>
  </si>
  <si>
    <t>He likes sadness more than logic .</t>
  </si>
  <si>
    <t>Je peux comprendre la tristesse plus que la logique .</t>
  </si>
  <si>
    <t>Posso capire la logica più della tristezza .</t>
  </si>
  <si>
    <t>He likes logic more than sadness .</t>
  </si>
  <si>
    <t>Je peux comprendre la logique plus que la tristesse .</t>
  </si>
  <si>
    <t>Posso capire la tristezza più dei calcoli .</t>
  </si>
  <si>
    <t>He likes sadness more than calculations .</t>
  </si>
  <si>
    <t>Je peux comprendre la tristesse plus que les calculs .</t>
  </si>
  <si>
    <t>Posso capire i calcoli più della tristezza .</t>
  </si>
  <si>
    <t>He likes calculations more than sadness .</t>
  </si>
  <si>
    <t>Je peux comprendre les calculs plus que la tristesse .</t>
  </si>
  <si>
    <t>Amo i sussidiari più della musica .</t>
  </si>
  <si>
    <t>I like textbooks more than music .</t>
  </si>
  <si>
    <t>J' aime les manuels scolaires plus que la musique .</t>
  </si>
  <si>
    <t>Amo la musica più dei sussidiari .</t>
  </si>
  <si>
    <t>I like music more than textbooks .</t>
  </si>
  <si>
    <t>J' aime la musique plus que les manuels scolaires .</t>
  </si>
  <si>
    <t>Amo i sussidiari più dei libri .</t>
  </si>
  <si>
    <t>I like textbooks more than books .</t>
  </si>
  <si>
    <t>J' aime les manuels scolaires plus que les livres .</t>
  </si>
  <si>
    <t>Amo i libri più dei sussidiari .</t>
  </si>
  <si>
    <t>I like books more than textbooks .</t>
  </si>
  <si>
    <t>J' aime les livres plus que les manuels scolaires .</t>
  </si>
  <si>
    <t>Amo i libri più della musica .</t>
  </si>
  <si>
    <t>I like books more than music .</t>
  </si>
  <si>
    <t>J' aime les livres plus que la musique .</t>
  </si>
  <si>
    <t>Amo i sussidiari più del cinema .</t>
  </si>
  <si>
    <t>I like textbooks more than films .</t>
  </si>
  <si>
    <t>J' aime les manuels scolaires plus que le cinéma .</t>
  </si>
  <si>
    <t>Amo il cinema più dei sussidiari .</t>
  </si>
  <si>
    <t>I like films more than textbooks .</t>
  </si>
  <si>
    <t>J' aime le cinéma plus que les manuels scolaires .</t>
  </si>
  <si>
    <t>Amo i libri più del cinema .</t>
  </si>
  <si>
    <t>I like books more than films .</t>
  </si>
  <si>
    <t>J' aime les livres plus que le cinéma .</t>
  </si>
  <si>
    <t>Amo i sussidiari più dei cartoni animati .</t>
  </si>
  <si>
    <t>I like textbooks more than cartoons .</t>
  </si>
  <si>
    <t>J' aime les manuels scolaires plus que les dessins animés .</t>
  </si>
  <si>
    <t>Amo i cartoni animati più dei sussidiari .</t>
  </si>
  <si>
    <t>I like cartoons more than textbooks .</t>
  </si>
  <si>
    <t>J' aime les dessins animés plus que les manuels scolaires .</t>
  </si>
  <si>
    <t>Amo i libri più dei cartoni animati .</t>
  </si>
  <si>
    <t>I like books more than cartoons .</t>
  </si>
  <si>
    <t>J' aime les livres plus que les dessins animés .</t>
  </si>
  <si>
    <t>Amo i sussidiari più dei dipinti .</t>
  </si>
  <si>
    <t>I like textbooks more than paintings .</t>
  </si>
  <si>
    <t>J' aime les manuels scolaires plus que les peintures .</t>
  </si>
  <si>
    <t>Amo i dipinti più dei sussidiari .</t>
  </si>
  <si>
    <t>I like paintings more than textbooks .</t>
  </si>
  <si>
    <t>J' aime les peintures plus que les manuels scolaires .</t>
  </si>
  <si>
    <t>Amo i libri più dei dipinti .</t>
  </si>
  <si>
    <t>I like books more than paintings .</t>
  </si>
  <si>
    <t>J' aime les livres plus que les peintures .</t>
  </si>
  <si>
    <t>Amo i saggi più della musica .</t>
  </si>
  <si>
    <t>I like essays more than music .</t>
  </si>
  <si>
    <t>J' aime les essais plus que la musique .</t>
  </si>
  <si>
    <t>Amo la musica più dei saggi .</t>
  </si>
  <si>
    <t>I like music more than essays .</t>
  </si>
  <si>
    <t>J' aime la musique plus que les essais .</t>
  </si>
  <si>
    <t>Amo i saggi più dei libri .</t>
  </si>
  <si>
    <t>I like essays more than books .</t>
  </si>
  <si>
    <t>J' aime les essais plus que les livres .</t>
  </si>
  <si>
    <t>Amo i libri più dei saggi .</t>
  </si>
  <si>
    <t>I like books more than essays .</t>
  </si>
  <si>
    <t>J' aime les livres plus que les essais .</t>
  </si>
  <si>
    <t>Amo i saggi più del cinema .</t>
  </si>
  <si>
    <t>I like essays more than films .</t>
  </si>
  <si>
    <t>J' aime les essais plus que le cinéma .</t>
  </si>
  <si>
    <t>Amo il cinema più dei saggi .</t>
  </si>
  <si>
    <t>I like films more than essays .</t>
  </si>
  <si>
    <t>J' aime le cinéma plus que les essais .</t>
  </si>
  <si>
    <t>Amo i saggi più dei cartoni animati .</t>
  </si>
  <si>
    <t>I like essays more than cartoons .</t>
  </si>
  <si>
    <t>J' aime les essais plus que les dessins animés .</t>
  </si>
  <si>
    <t>Amo i cartoni animati più dei saggi .</t>
  </si>
  <si>
    <t>I like cartoons more than essays .</t>
  </si>
  <si>
    <t>J' aime les dessins animés plus que les essais .</t>
  </si>
  <si>
    <t>Amo i saggi più dei dipinti .</t>
  </si>
  <si>
    <t>I like essays more than paintings .</t>
  </si>
  <si>
    <t>J' aime les essais plus que les peintures .</t>
  </si>
  <si>
    <t>Amo i dipinti più dei saggi .</t>
  </si>
  <si>
    <t>I like paintings more than essays .</t>
  </si>
  <si>
    <t>J' aime les peintures plus que les essais .</t>
  </si>
  <si>
    <t>Amo i romanzi più della musica .</t>
  </si>
  <si>
    <t>I like novels more than music .</t>
  </si>
  <si>
    <t>J' aime les romans plus que la musique .</t>
  </si>
  <si>
    <t>Amo la musica più dei romanzi .</t>
  </si>
  <si>
    <t>I like music more than novels .</t>
  </si>
  <si>
    <t>J' aime la musique plus que les romans .</t>
  </si>
  <si>
    <t>Amo i romanzi più dei libri .</t>
  </si>
  <si>
    <t>I like novels more than books .</t>
  </si>
  <si>
    <t>J' aime les romans plus que les livres .</t>
  </si>
  <si>
    <t>Amo i libri più dei romanzi .</t>
  </si>
  <si>
    <t>I like books more than novels .</t>
  </si>
  <si>
    <t>J' aime les livres plus que les romans .</t>
  </si>
  <si>
    <t>Amo i romanzi più del cinema .</t>
  </si>
  <si>
    <t>I like novels more than films .</t>
  </si>
  <si>
    <t>J' aime les romans plus que le cinéma .</t>
  </si>
  <si>
    <t>Amo il cinema più dei romanzi .</t>
  </si>
  <si>
    <t>I like films more than novels .</t>
  </si>
  <si>
    <t>J' aime le cinéma plus que les romans .</t>
  </si>
  <si>
    <t>Amo i romanzi più dei cartoni animati .</t>
  </si>
  <si>
    <t>I like novels more than cartoons .</t>
  </si>
  <si>
    <t>J' aime les romans plus que les dessins animés .</t>
  </si>
  <si>
    <t>Amo i cartoni animati più dei romanzi .</t>
  </si>
  <si>
    <t>I like cartoons more than novels .</t>
  </si>
  <si>
    <t>J' aime les dessins animés plus que les romans .</t>
  </si>
  <si>
    <t>Amo i romanzi più dei dipinti .</t>
  </si>
  <si>
    <t>I like novels more than paintings .</t>
  </si>
  <si>
    <t>J' aime les romans plus que les peintures .</t>
  </si>
  <si>
    <t>Amo i dipinti più dei romanzi .</t>
  </si>
  <si>
    <t>I like paintings more than novels .</t>
  </si>
  <si>
    <t>J' aime les peintures plus que les romans .</t>
  </si>
  <si>
    <t>Amo i manuali più della musica .</t>
  </si>
  <si>
    <t>I like handbooks more than music .</t>
  </si>
  <si>
    <t>J' aime les manuels plus que la musique .</t>
  </si>
  <si>
    <t>Amo la musica più dei manuali .</t>
  </si>
  <si>
    <t>I like music more than handbooks .</t>
  </si>
  <si>
    <t>J' aime la musique plus que les manuels .</t>
  </si>
  <si>
    <t>Amo i manuali più dei libri .</t>
  </si>
  <si>
    <t>I like handbooks more than books .</t>
  </si>
  <si>
    <t>J' aime les manuels plus que les livres .</t>
  </si>
  <si>
    <t>Amo i libri più dei manuali .</t>
  </si>
  <si>
    <t>I like books more than handbooks .</t>
  </si>
  <si>
    <t>J' aime les livres plus que les manuels .</t>
  </si>
  <si>
    <t>Amo i manuali più del cinema .</t>
  </si>
  <si>
    <t>I like handbooks more than films .</t>
  </si>
  <si>
    <t>J' aime les manuels plus que le cinéma .</t>
  </si>
  <si>
    <t>Amo il cinema più dei manuali .</t>
  </si>
  <si>
    <t>I like films more than handbooks .</t>
  </si>
  <si>
    <t>J' aime le cinéma plus que les manuels .</t>
  </si>
  <si>
    <t>Amo i manuali più dei cartoni animati .</t>
  </si>
  <si>
    <t>I like handbooks more than cartoons .</t>
  </si>
  <si>
    <t>J' aime les manuels plus que les dessins animés .</t>
  </si>
  <si>
    <t>Amo i cartoni animati più dei manuali .</t>
  </si>
  <si>
    <t>I like cartoons more than handbooks .</t>
  </si>
  <si>
    <t>J' aime les dessins animés plus que les manuels .</t>
  </si>
  <si>
    <t>Amo i manuali più dei dipinti .</t>
  </si>
  <si>
    <t>I like handbooks more than paintings .</t>
  </si>
  <si>
    <t>J' aime les manuels plus que les peintures .</t>
  </si>
  <si>
    <t>Amo i dipinti più dei manuali .</t>
  </si>
  <si>
    <t>I like paintings more than handbooks .</t>
  </si>
  <si>
    <t>J' aime les peintures plus que les manuels .</t>
  </si>
  <si>
    <t>Amo gli impiegati più delle fabbriche .</t>
  </si>
  <si>
    <t>I like clerks more than factories .</t>
  </si>
  <si>
    <t>J' aime les greffiers plus que les usines .</t>
  </si>
  <si>
    <t>Amo le fabbriche più degli impiegati .</t>
  </si>
  <si>
    <t>I like factories more than clerks .</t>
  </si>
  <si>
    <t>J' aime les usines plus que les greffiers .</t>
  </si>
  <si>
    <t>Amo gli impiegati più dei lavoratori .</t>
  </si>
  <si>
    <t>I like clerks more than workers .</t>
  </si>
  <si>
    <t>J' aime les greffiers plus que les travailleurs .</t>
  </si>
  <si>
    <t>Amo i lavoratori più degli impiegati .</t>
  </si>
  <si>
    <t>I like workers more than clerks .</t>
  </si>
  <si>
    <t>J' aime les travailleurs plus que les greffiers .</t>
  </si>
  <si>
    <t>Amo i lavoratori più delle fabbriche .</t>
  </si>
  <si>
    <t>I like workers more than factories .</t>
  </si>
  <si>
    <t>J' aime les travailleurs plus que les usines .</t>
  </si>
  <si>
    <t>Amo gli impiegati più dei ristoranti .</t>
  </si>
  <si>
    <t>I like clerks more than restaurants .</t>
  </si>
  <si>
    <t>J' aime les greffiers plus que les restaurants .</t>
  </si>
  <si>
    <t>Amo i ristoranti più degli impiegati .</t>
  </si>
  <si>
    <t>I like restaurants more than clerks .</t>
  </si>
  <si>
    <t>J' aime les restaurants plus que les greffiers .</t>
  </si>
  <si>
    <t>Amo i lavoratori più dei ristoranti .</t>
  </si>
  <si>
    <t>I like workers more than restaurants .</t>
  </si>
  <si>
    <t>J' aime les travailleurs plus que les restaurants .</t>
  </si>
  <si>
    <t>Amo gli impiegati più delle scuole .</t>
  </si>
  <si>
    <t>I like clerks more than schools .</t>
  </si>
  <si>
    <t>J' aime les greffiers plus que les écoles .</t>
  </si>
  <si>
    <t>Amo le scuole più degli impiegati .</t>
  </si>
  <si>
    <t>I like schools more than clerks .</t>
  </si>
  <si>
    <t>J' aime les écoles plus que les greffiers .</t>
  </si>
  <si>
    <t>Amo i lavoratori più delle scuole .</t>
  </si>
  <si>
    <t>I like workers more than schools .</t>
  </si>
  <si>
    <t>J' aime les travailleurs plus que les écoles .</t>
  </si>
  <si>
    <t>Amo gli impiegati più degli uffici .</t>
  </si>
  <si>
    <t>I like clerks more than offices .</t>
  </si>
  <si>
    <t>J' aime les greffiers plus que les bureaux .</t>
  </si>
  <si>
    <t>Amo gli uffici più degli impiegati .</t>
  </si>
  <si>
    <t>I like offices more than clerks .</t>
  </si>
  <si>
    <t>J' aime les bureaux plus que les greffiers .</t>
  </si>
  <si>
    <t>Amo i lavoratori più degli uffici .</t>
  </si>
  <si>
    <t>I like workers more than offices .</t>
  </si>
  <si>
    <t>J' aime les travailleurs plus que les bureaux .</t>
  </si>
  <si>
    <t>Amo i camerieri più delle fabbriche .</t>
  </si>
  <si>
    <t>I like waiters more than factories .</t>
  </si>
  <si>
    <t>J' aime les serveurs plus que les usines .</t>
  </si>
  <si>
    <t>Amo le fabbriche più dei camerieri .</t>
  </si>
  <si>
    <t>I like factories more than waiters .</t>
  </si>
  <si>
    <t>J' aime les usines plus que les serveurs .</t>
  </si>
  <si>
    <t>Amo i camerieri più dei lavoratori .</t>
  </si>
  <si>
    <t>I like waiters more than workers .</t>
  </si>
  <si>
    <t>J' aime les serveurs plus que les travailleurs .</t>
  </si>
  <si>
    <t>Amo i lavoratori più dei camerieri .</t>
  </si>
  <si>
    <t>I like workers more than waiters .</t>
  </si>
  <si>
    <t>J' aime les travailleurs plus que les serveurs .</t>
  </si>
  <si>
    <t>Amo i camerieri più dei ristoranti .</t>
  </si>
  <si>
    <t>I like waiters more than restaurants .</t>
  </si>
  <si>
    <t>J' aime les serveurs plus que les restaurants .</t>
  </si>
  <si>
    <t>Amo i ristoranti più dei camerieri .</t>
  </si>
  <si>
    <t>I like restaurants more than waiters .</t>
  </si>
  <si>
    <t>J' aime les restaurants plus que les serveurs .</t>
  </si>
  <si>
    <t>Amo i camerieri più delle scuole .</t>
  </si>
  <si>
    <t>I like waiters more than schools .</t>
  </si>
  <si>
    <t>J' aime les serveurs plus que les écoles .</t>
  </si>
  <si>
    <t>Amo le scuole più dei camerieri .</t>
  </si>
  <si>
    <t>I like schools more than waiters .</t>
  </si>
  <si>
    <t>J' aime les écoles plus que les serveurs .</t>
  </si>
  <si>
    <t>Amo i camerieri più degli uffici .</t>
  </si>
  <si>
    <t>I like waiters more than offices .</t>
  </si>
  <si>
    <t>J' aime les serveurs plus que les bureaux .</t>
  </si>
  <si>
    <t>Amo gli uffici più dei camerieri .</t>
  </si>
  <si>
    <t>I like offices more than waiters .</t>
  </si>
  <si>
    <t>J' aime les bureaux plus que les serveurs .</t>
  </si>
  <si>
    <t>Amo i guardiani più delle fabbriche .</t>
  </si>
  <si>
    <t>I like caretakers more than factories .</t>
  </si>
  <si>
    <t>J' aime les gardiens plus que les usines .</t>
  </si>
  <si>
    <t>Amo le fabbriche più dei guardiani .</t>
  </si>
  <si>
    <t>I like factories more than caretakers .</t>
  </si>
  <si>
    <t>J' aime les usines plus que les gardiens .</t>
  </si>
  <si>
    <t>Amo i guardiani più dei lavoratori .</t>
  </si>
  <si>
    <t>I like caretakers more than workers .</t>
  </si>
  <si>
    <t>J' aime les gardiens plus que les travailleurs .</t>
  </si>
  <si>
    <t>Amo i lavoratori più dei guardiani .</t>
  </si>
  <si>
    <t>I like workers more than caretakers .</t>
  </si>
  <si>
    <t>J' aime les travailleurs plus que les gardiens .</t>
  </si>
  <si>
    <t>Amo i guardiani più dei ristoranti .</t>
  </si>
  <si>
    <t>I like caretakers more than restaurants .</t>
  </si>
  <si>
    <t>J' aime les gardiens plus que les restaurants .</t>
  </si>
  <si>
    <t>Amo i ristoranti più dei guardiani .</t>
  </si>
  <si>
    <t>I like restaurants more than caretakers .</t>
  </si>
  <si>
    <t>J' aime les restaurants plus que les gardiens .</t>
  </si>
  <si>
    <t>Amo i guardiani più delle scuole .</t>
  </si>
  <si>
    <t>I like caretakers more than schools .</t>
  </si>
  <si>
    <t>J' aime les gardiens plus que les écoles .</t>
  </si>
  <si>
    <t>Amo le scuole più dei guardiani .</t>
  </si>
  <si>
    <t>I like schools more than caretakers .</t>
  </si>
  <si>
    <t>J' aime les écoles plus que les gardiens .</t>
  </si>
  <si>
    <t>Amo i guardiani più degli uffici .</t>
  </si>
  <si>
    <t>I like caretakers more than offices .</t>
  </si>
  <si>
    <t>J' aime les gardiens plus que les bureaux .</t>
  </si>
  <si>
    <t>Amo gli uffici più dei guardiani .</t>
  </si>
  <si>
    <t>I like offices more than caretakers .</t>
  </si>
  <si>
    <t>J' aime les bureaux plus que les gardiens .</t>
  </si>
  <si>
    <t>Amo i professori più delle fabbriche .</t>
  </si>
  <si>
    <t>I like professors more than factories .</t>
  </si>
  <si>
    <t>J' aime les professeurs plus que les usines .</t>
  </si>
  <si>
    <t>Amo le fabbriche più dei professori .</t>
  </si>
  <si>
    <t>I like factories more than professors .</t>
  </si>
  <si>
    <t>J' aime les usines plus que les professeurs .</t>
  </si>
  <si>
    <t>Amo i professori più dei lavoratori .</t>
  </si>
  <si>
    <t>I like professors more than workers .</t>
  </si>
  <si>
    <t>J' aime les professeurs plus que les travailleurs .</t>
  </si>
  <si>
    <t>Amo i lavoratori più dei professori .</t>
  </si>
  <si>
    <t>I like workers more than professors .</t>
  </si>
  <si>
    <t>J' aime les travailleurs plus que les professeurs .</t>
  </si>
  <si>
    <t>Amo i professori più dei ristoranti .</t>
  </si>
  <si>
    <t>I like professors more than restaurants .</t>
  </si>
  <si>
    <t>J' aime les professeurs plus que les restaurants .</t>
  </si>
  <si>
    <t>Amo i ristoranti più dei professori .</t>
  </si>
  <si>
    <t>I like restaurants more than professors .</t>
  </si>
  <si>
    <t>J' aime les restaurants plus que les professeurs .</t>
  </si>
  <si>
    <t>Amo i professori più delle scuole .</t>
  </si>
  <si>
    <t>I like professors more than schools .</t>
  </si>
  <si>
    <t>J' aime les professeurs plus que les écoles .</t>
  </si>
  <si>
    <t>Amo le scuole più dei professori .</t>
  </si>
  <si>
    <t>I like schools more than professors .</t>
  </si>
  <si>
    <t>J' aime les écoles plus que les professeurs .</t>
  </si>
  <si>
    <t>Amo i professori più degli uffici .</t>
  </si>
  <si>
    <t>I like professors more than offices .</t>
  </si>
  <si>
    <t>J' aime les professeurs plus que les bureaux .</t>
  </si>
  <si>
    <t>Amo gli uffici più dei professori .</t>
  </si>
  <si>
    <t>I like offices more than professors .</t>
  </si>
  <si>
    <t>J' aime les bureaux plus que les professeurs .</t>
  </si>
  <si>
    <t>Amo i biologi più degli impiegati .</t>
  </si>
  <si>
    <t>I like biologists more than clerks .</t>
  </si>
  <si>
    <t>J' aime les biologistes plus que les greffiers .</t>
  </si>
  <si>
    <t>Amo gli impiegati più dei biologi .</t>
  </si>
  <si>
    <t>I like clerks more than biologists .</t>
  </si>
  <si>
    <t>J' aime les greffiers plus que les biologistes .</t>
  </si>
  <si>
    <t>Amo i biologi più degli scienziati .</t>
  </si>
  <si>
    <t>I like biologists more than scientists .</t>
  </si>
  <si>
    <t>J' aime les biologistes plus que les scientifiques .</t>
  </si>
  <si>
    <t>Amo gli scienziati più dei biologi .</t>
  </si>
  <si>
    <t>I like scientists more than biologists .</t>
  </si>
  <si>
    <t>J' aime les scientifiques plus que les biologistes .</t>
  </si>
  <si>
    <t>Amo gli scienziati più degli impiegati .</t>
  </si>
  <si>
    <t>I like scientists more than clerks .</t>
  </si>
  <si>
    <t>J' aime les scientifiques plus que les greffiers .</t>
  </si>
  <si>
    <t>Amo i biologi più dei camerieri .</t>
  </si>
  <si>
    <t>I like biologists more than waiters .</t>
  </si>
  <si>
    <t>J' aime les biologistes plus que les serveurs .</t>
  </si>
  <si>
    <t>Amo i camerieri più dei biologi .</t>
  </si>
  <si>
    <t>I like waiters more than biologists .</t>
  </si>
  <si>
    <t>J' aime les serveurs plus que les biologistes .</t>
  </si>
  <si>
    <t>Amo gli scienziati più dei camerieri .</t>
  </si>
  <si>
    <t>I like scientists more than waiters .</t>
  </si>
  <si>
    <t>J' aime les scientifiques plus que les serveurs .</t>
  </si>
  <si>
    <t>Amo i biologi più dei guardiani .</t>
  </si>
  <si>
    <t>I like biologists more than caretakers .</t>
  </si>
  <si>
    <t>J' aime les biologistes plus que les gardiens .</t>
  </si>
  <si>
    <t>Amo i guardiani più dei biologi .</t>
  </si>
  <si>
    <t>I like caretakers more than biologists .</t>
  </si>
  <si>
    <t>J' aime les gardiens plus que les biologistes .</t>
  </si>
  <si>
    <t>Amo gli scienziati più dei guardiani .</t>
  </si>
  <si>
    <t>I like scientists more than caretakers .</t>
  </si>
  <si>
    <t>J' aime les scientifiques plus que les gardiens .</t>
  </si>
  <si>
    <t>Amo i biologi più dei portieri .</t>
  </si>
  <si>
    <t>I like biologists more than janitors .</t>
  </si>
  <si>
    <t>J' aime les biologistes plus que les concierges .</t>
  </si>
  <si>
    <t>Amo i portieri più dei biologi .</t>
  </si>
  <si>
    <t>I like janitors more than biologists .</t>
  </si>
  <si>
    <t>J' aime les concierges plus que les biologistes .</t>
  </si>
  <si>
    <t>Amo gli scienziati più dei portieri .</t>
  </si>
  <si>
    <t>I like scientists more than janitors .</t>
  </si>
  <si>
    <t>J' aime les scientifiques plus que les concierges .</t>
  </si>
  <si>
    <t>Amo i genetisti più degli impiegati .</t>
  </si>
  <si>
    <t>I like geneticists more than clerks .</t>
  </si>
  <si>
    <t>J' aime les généticiens plus que les greffiers .</t>
  </si>
  <si>
    <t>Amo gli impiegati più dei genetisti .</t>
  </si>
  <si>
    <t>I like clerks more than geneticists .</t>
  </si>
  <si>
    <t>J' aime les greffiers plus que les généticiens .</t>
  </si>
  <si>
    <t>Amo i genetisti più degli scienziati .</t>
  </si>
  <si>
    <t>I like geneticists more than scientists .</t>
  </si>
  <si>
    <t>J' aime les généticiens plus que les scientifiques .</t>
  </si>
  <si>
    <t>Amo gli scienziati più dei genetisti .</t>
  </si>
  <si>
    <t>I like scientists more than geneticists .</t>
  </si>
  <si>
    <t>J' aime les scientifiques plus que les généticiens .</t>
  </si>
  <si>
    <t>Amo i genetisti più dei camerieri .</t>
  </si>
  <si>
    <t>I like geneticists more than waiters .</t>
  </si>
  <si>
    <t>J' aime les généticiens plus que les serveurs .</t>
  </si>
  <si>
    <t>Amo i camerieri più dei genetisti .</t>
  </si>
  <si>
    <t>I like waiters more than geneticists .</t>
  </si>
  <si>
    <t>J' aime les serveurs plus que les généticiens .</t>
  </si>
  <si>
    <t>Amo i genetisti più dei guardiani .</t>
  </si>
  <si>
    <t>I like geneticists more than caretakers .</t>
  </si>
  <si>
    <t>J' aime les généticiens plus que les gardiens .</t>
  </si>
  <si>
    <t>Amo i guardiani più dei genetisti .</t>
  </si>
  <si>
    <t>I like caretakers more than geneticists .</t>
  </si>
  <si>
    <t>J' aime les gardiens plus que les généticiens .</t>
  </si>
  <si>
    <t>Amo i genetisti più dei portieri .</t>
  </si>
  <si>
    <t>I like geneticists more than janitors .</t>
  </si>
  <si>
    <t>J' aime les généticiens plus que les concierges .</t>
  </si>
  <si>
    <t>Amo i portieri più dei genetisti .</t>
  </si>
  <si>
    <t>I like janitors more than geneticists .</t>
  </si>
  <si>
    <t>J' aime les concierges plus que les généticiens .</t>
  </si>
  <si>
    <t>Amo gli astronomi più degli impiegati .</t>
  </si>
  <si>
    <t>I like astronomers more than clerks .</t>
  </si>
  <si>
    <t>J' aime les astronomes plus que les greffiers .</t>
  </si>
  <si>
    <t>Amo gli impiegati più degli astronomi .</t>
  </si>
  <si>
    <t>I like clerks more than astronomers .</t>
  </si>
  <si>
    <t>J' aime les greffiers plus que les astronomes .</t>
  </si>
  <si>
    <t>Amo gli astronomi più degli scienziati .</t>
  </si>
  <si>
    <t>I like astronomers more than scientists .</t>
  </si>
  <si>
    <t>J' aime les astronomes plus que les scientifiques .</t>
  </si>
  <si>
    <t>Amo gli scienziati più degli astronomi .</t>
  </si>
  <si>
    <t>I like scientists more than astronomers .</t>
  </si>
  <si>
    <t>J' aime les scientifiques plus que les astronomes .</t>
  </si>
  <si>
    <t>Amo gli astronomi più dei camerieri .</t>
  </si>
  <si>
    <t>I like astronomers more than waiters .</t>
  </si>
  <si>
    <t>J' aime les astronomes plus que les serveurs .</t>
  </si>
  <si>
    <t>Amo i camerieri più degli astronomi .</t>
  </si>
  <si>
    <t>I like waiters more than astronomers .</t>
  </si>
  <si>
    <t>J' aime les serveurs plus que les astronomes .</t>
  </si>
  <si>
    <t>Amo gli astronomi più dei guardiani .</t>
  </si>
  <si>
    <t>I like astronomers more than caretakers .</t>
  </si>
  <si>
    <t>J' aime les astronomes plus que les gardiens .</t>
  </si>
  <si>
    <t>Amo i guardiani più degli astronomi .</t>
  </si>
  <si>
    <t>I like caretakers more than astronomers .</t>
  </si>
  <si>
    <t>J' aime les gardiens plus que les astronomes .</t>
  </si>
  <si>
    <t>Amo gli astronomi più dei portieri .</t>
  </si>
  <si>
    <t>I like astronomers more than janitors .</t>
  </si>
  <si>
    <t>J' aime les astronomes plus que les concierges .</t>
  </si>
  <si>
    <t>Amo i portieri più degli astronomi .</t>
  </si>
  <si>
    <t>I like janitors more than astronomers .</t>
  </si>
  <si>
    <t>J' aime les concierges plus que les astronomes .</t>
  </si>
  <si>
    <t>Amo i fisici più degli impiegati .</t>
  </si>
  <si>
    <t>I like physicists more than clerks .</t>
  </si>
  <si>
    <t>J' aime les physiciens plus que les greffiers .</t>
  </si>
  <si>
    <t>Amo gli impiegati più dei fisici .</t>
  </si>
  <si>
    <t>I like clerks more than physicists .</t>
  </si>
  <si>
    <t>J' aime les greffiers plus que les physiciens .</t>
  </si>
  <si>
    <t>Amo i fisici più degli scienziati .</t>
  </si>
  <si>
    <t>I like physicists more than scientists .</t>
  </si>
  <si>
    <t>J' aime les physiciens plus que les scientifiques .</t>
  </si>
  <si>
    <t>Amo gli scienziati più dei fisici .</t>
  </si>
  <si>
    <t>I like scientists more than physicists .</t>
  </si>
  <si>
    <t>J' aime les scientifiques plus que les physiciens .</t>
  </si>
  <si>
    <t>Amo i fisici più dei camerieri .</t>
  </si>
  <si>
    <t>I like physicists more than waiters .</t>
  </si>
  <si>
    <t>J' aime les physiciens plus que les serveurs .</t>
  </si>
  <si>
    <t>Amo i camerieri più dei fisici .</t>
  </si>
  <si>
    <t>I like waiters more than physicists .</t>
  </si>
  <si>
    <t>J' aime les serveurs plus que les physiciens .</t>
  </si>
  <si>
    <t>Amo i fisici più dei guardiani .</t>
  </si>
  <si>
    <t>I like physicists more than caretakers .</t>
  </si>
  <si>
    <t>J' aime les physiciens plus que les gardiens .</t>
  </si>
  <si>
    <t>Amo i guardiani più dei fisici .</t>
  </si>
  <si>
    <t>I like caretakers more than physicists .</t>
  </si>
  <si>
    <t>J' aime les gardiens plus que les physiciens .</t>
  </si>
  <si>
    <t>Amo i fisici più dei portieri .</t>
  </si>
  <si>
    <t>I like physicists more than janitors .</t>
  </si>
  <si>
    <t>J' aime les physiciens plus que les concierges .</t>
  </si>
  <si>
    <t>Amo i portieri più dei fisici .</t>
  </si>
  <si>
    <t>I like janitors more than physicists .</t>
  </si>
  <si>
    <t>J' aime les concierges plus que les physiciens .</t>
  </si>
  <si>
    <t>Amo gli husky , eccetto i cani .</t>
  </si>
  <si>
    <t>I like huskies , except dogs .</t>
  </si>
  <si>
    <t>J' aime les huskies , sauf les chiens .</t>
  </si>
  <si>
    <t>Si fida della vista , eccetto che delle dicerie .</t>
  </si>
  <si>
    <t>He trusts his sight , except rumors .</t>
  </si>
  <si>
    <t>Il fait confiance à sa vision , sauf les rumeurs .</t>
  </si>
  <si>
    <t>Si fida delle dicerie , eccetto che della vista .</t>
  </si>
  <si>
    <t>He trusts rumors , except his sight .</t>
  </si>
  <si>
    <t>Il fait confiance aux rumeurs , sauf sa vision .</t>
  </si>
  <si>
    <t>Si fida della vista , eccetto che dei sensi .</t>
  </si>
  <si>
    <t>He trusts his sight , except his senses .</t>
  </si>
  <si>
    <t>Il fait confiance à sa vision , sauf ses sens .</t>
  </si>
  <si>
    <t>Si fida dei sensi , eccetto che della vista .</t>
  </si>
  <si>
    <t>He trusts his senses , except his sight .</t>
  </si>
  <si>
    <t>Il fait confiance à ses sens , sauf sa vision .</t>
  </si>
  <si>
    <t>Si fida dei sensi , eccetto che delle dicerie .</t>
  </si>
  <si>
    <t>He trusts his senses , except rumors .</t>
  </si>
  <si>
    <t>Il fait confiance à ses sens , sauf les rumeurs .</t>
  </si>
  <si>
    <t>Si fida della vista , eccetto che dei notiziari .</t>
  </si>
  <si>
    <t>He trusts his sight , except reports .</t>
  </si>
  <si>
    <t>Il fait confiance à sa vision , sauf les rapports .</t>
  </si>
  <si>
    <t>Si fida dei notiziari , eccetto che della vista .</t>
  </si>
  <si>
    <t>He trusts reports , except his sight .</t>
  </si>
  <si>
    <t>Il fait confiance aux rapports , sauf sa vision .</t>
  </si>
  <si>
    <t>Si fida dei sensi , eccetto che dei notiziari .</t>
  </si>
  <si>
    <t>He trusts his senses , except reports .</t>
  </si>
  <si>
    <t>Il fait confiance à ses sens , sauf les rapports .</t>
  </si>
  <si>
    <t>Si fida della vista , eccetto che delle ricostruzioni .</t>
  </si>
  <si>
    <t>He trusts his sight , except reconstructions .</t>
  </si>
  <si>
    <t>Il fait confiance à sa vision , sauf les reconstructions .</t>
  </si>
  <si>
    <t>Si fida delle ricostruzioni , eccetto che della vista .</t>
  </si>
  <si>
    <t>He trusts reconstructions , except his sight .</t>
  </si>
  <si>
    <t>Il fait confiance aux reconstructions , sauf sa vision .</t>
  </si>
  <si>
    <t>Si fida dei sensi , eccetto che delle ricostruzioni .</t>
  </si>
  <si>
    <t>He trusts his senses , except reconstructions .</t>
  </si>
  <si>
    <t>Il fait confiance à ses sens , sauf les reconstructions .</t>
  </si>
  <si>
    <t>Si fida della vista , eccetto che delle congetture .</t>
  </si>
  <si>
    <t>He trusts his sight , except guesses .</t>
  </si>
  <si>
    <t>Il fait confiance à sa vision , sauf les suppositions .</t>
  </si>
  <si>
    <t>Si fida delle congetture , eccetto che della vista .</t>
  </si>
  <si>
    <t>He trusts guesses , except his sight .</t>
  </si>
  <si>
    <t>Il fait confiance aux suppositions , sauf sa vision .</t>
  </si>
  <si>
    <t>Si fida dei sensi , eccetto che delle congetture .</t>
  </si>
  <si>
    <t>He trusts his senses , except guesses .</t>
  </si>
  <si>
    <t>Il fait confiance à ses sens , sauf les suppositions .</t>
  </si>
  <si>
    <t>Amo i bobtail , eccetto i gatti .</t>
  </si>
  <si>
    <t>I like bobtails , except cats .</t>
  </si>
  <si>
    <t>J' aime les bobtails , sauf les chats .</t>
  </si>
  <si>
    <t>Si fida dell' udito , eccetto che delle dicerie .</t>
  </si>
  <si>
    <t>He trusts his hearing , except rumors .</t>
  </si>
  <si>
    <t>Il fait confiance à son odorat , sauf les rumeurs .</t>
  </si>
  <si>
    <t>Si fida delle dicerie , eccetto che dell' udito .</t>
  </si>
  <si>
    <t>He trusts rumors , except his hearing .</t>
  </si>
  <si>
    <t>Il fait confiance aux rumeurs , sauf son odorat .</t>
  </si>
  <si>
    <t>Si fida dell' udito , eccetto che dei sensi .</t>
  </si>
  <si>
    <t>He trusts his hearing , except his senses .</t>
  </si>
  <si>
    <t>Il fait confiance à son odorat , sauf ses sens .</t>
  </si>
  <si>
    <t>Si fida dei sensi , eccetto che dell' udito .</t>
  </si>
  <si>
    <t>He trusts his senses , except his hearing .</t>
  </si>
  <si>
    <t>Il fait confiance à ses sens , sauf son odorat .</t>
  </si>
  <si>
    <t>Si fida dell' udito , eccetto che dei notiziari .</t>
  </si>
  <si>
    <t>He trusts his hearing , except reports .</t>
  </si>
  <si>
    <t>Il fait confiance à son odorat , sauf les rapports .</t>
  </si>
  <si>
    <t>Si fida dei notiziari , eccetto che dell' udito .</t>
  </si>
  <si>
    <t>He trusts reports , except his hearing .</t>
  </si>
  <si>
    <t>Il fait confiance aux rapports , sauf son odorat .</t>
  </si>
  <si>
    <t>Si fida dell' udito , eccetto che delle ricostruzioni .</t>
  </si>
  <si>
    <t>He trusts his hearing , except reconstructions .</t>
  </si>
  <si>
    <t>Il fait confiance à son odorat , sauf les reconstructions .</t>
  </si>
  <si>
    <t>Si fida delle ricostruzioni , eccetto che dell' udito .</t>
  </si>
  <si>
    <t>He trusts reconstructions , except his hearing .</t>
  </si>
  <si>
    <t>Il fait confiance aux reconstructions , sauf son odorat .</t>
  </si>
  <si>
    <t>Si fida dell' udito , eccetto che delle congetture .</t>
  </si>
  <si>
    <t>He trusts his hearing , except guesses .</t>
  </si>
  <si>
    <t>Il fait confiance à son odorat , sauf les suppositions .</t>
  </si>
  <si>
    <t>Si fida delle congetture , eccetto che dell' udito .</t>
  </si>
  <si>
    <t>He trusts guesses , except his hearing .</t>
  </si>
  <si>
    <t>Il fait confiance aux suppositions , sauf son odorat .</t>
  </si>
  <si>
    <t>Si fida del tatto , eccetto che delle dicerie .</t>
  </si>
  <si>
    <t>He trusts his touch , except rumors .</t>
  </si>
  <si>
    <t>Il fait confiance à son sens du toucher , sauf les rumeurs .</t>
  </si>
  <si>
    <t>Si fida delle dicerie , eccetto che del tatto .</t>
  </si>
  <si>
    <t>He trusts rumors , except his touch .</t>
  </si>
  <si>
    <t>Il fait confiance aux rumeurs , sauf son sens du toucher .</t>
  </si>
  <si>
    <t>Si fida del tatto , eccetto che dei sensi .</t>
  </si>
  <si>
    <t>He trusts his touch , except his senses .</t>
  </si>
  <si>
    <t>Il fait confiance à son sens du toucher , sauf ses sens .</t>
  </si>
  <si>
    <t>Si fida dei sensi , eccetto che del tatto .</t>
  </si>
  <si>
    <t>He trusts his senses , except his touch .</t>
  </si>
  <si>
    <t>Il fait confiance à ses sens , sauf son sens du toucher .</t>
  </si>
  <si>
    <t>Si fida del tatto , eccetto che dei notiziari .</t>
  </si>
  <si>
    <t>He trusts his touch , except reports .</t>
  </si>
  <si>
    <t>Il fait confiance à son sens du toucher , sauf les rapports .</t>
  </si>
  <si>
    <t>Si fida dei notiziari , eccetto che del tatto .</t>
  </si>
  <si>
    <t>He trusts reports , except his touch .</t>
  </si>
  <si>
    <t>Il fait confiance aux rapports , sauf son sens du toucher .</t>
  </si>
  <si>
    <t>Si fida del tatto , eccetto che delle ricostruzioni .</t>
  </si>
  <si>
    <t>He trusts his touch , except reconstructions .</t>
  </si>
  <si>
    <t>Il fait confiance à son sens du toucher , sauf les reconstructions .</t>
  </si>
  <si>
    <t>Si fida delle ricostruzioni , eccetto che del tatto .</t>
  </si>
  <si>
    <t>He trusts reconstructions , except his touch .</t>
  </si>
  <si>
    <t>Il fait confiance aux reconstructions , sauf son sens du toucher .</t>
  </si>
  <si>
    <t>Si fida del tatto , eccetto che delle congetture .</t>
  </si>
  <si>
    <t>He trusts his touch , except guesses .</t>
  </si>
  <si>
    <t>Il fait confiance à son sens du toucher , sauf les suppositions .</t>
  </si>
  <si>
    <t>Si fida delle congetture , eccetto che del tatto .</t>
  </si>
  <si>
    <t>He trusts guesses , except his touch .</t>
  </si>
  <si>
    <t>Il fait confiance aux suppositions , sauf son sens du toucher .</t>
  </si>
  <si>
    <t>Si fida del gusto , eccetto che delle dicerie .</t>
  </si>
  <si>
    <t>He trusts his taste , except rumors .</t>
  </si>
  <si>
    <t>Il fait confiance à son sens du goût , sauf les rumeurs .</t>
  </si>
  <si>
    <t>Si fida delle dicerie , eccetto che del gusto .</t>
  </si>
  <si>
    <t>He trusts rumors , except his taste .</t>
  </si>
  <si>
    <t>Il fait confiance aux rumeurs , sauf son sens du goût .</t>
  </si>
  <si>
    <t>Si fida del gusto , eccetto che dei sensi .</t>
  </si>
  <si>
    <t>He trusts his taste , except his senses .</t>
  </si>
  <si>
    <t>Il fait confiance à son sens du goût , sauf ses sens .</t>
  </si>
  <si>
    <t>Si fida dei sensi , eccetto che del gusto .</t>
  </si>
  <si>
    <t>He trusts his senses , except his taste .</t>
  </si>
  <si>
    <t>Il fait confiance à ses sens , sauf son sens du goût .</t>
  </si>
  <si>
    <t>Si fida del gusto , eccetto che dei notiziari .</t>
  </si>
  <si>
    <t>He trusts his taste , except reports .</t>
  </si>
  <si>
    <t>Il fait confiance à son sens du goût , sauf les rapports .</t>
  </si>
  <si>
    <t>Si fida dei notiziari , eccetto che del gusto .</t>
  </si>
  <si>
    <t>He trusts reports , except his taste .</t>
  </si>
  <si>
    <t>Il fait confiance aux rapports , sauf son sens du goût .</t>
  </si>
  <si>
    <t>Si fida del gusto , eccetto che delle ricostruzioni .</t>
  </si>
  <si>
    <t>He trusts his taste , except reconstructions .</t>
  </si>
  <si>
    <t>Il fait confiance à son sens du goût , sauf les reconstructions .</t>
  </si>
  <si>
    <t>Si fida delle ricostruzioni , eccetto che del gusto .</t>
  </si>
  <si>
    <t>He trusts reconstructions , except his taste .</t>
  </si>
  <si>
    <t>Il fait confiance aux reconstructions , sauf son sens du goût .</t>
  </si>
  <si>
    <t>Si fida del gusto , eccetto che delle congetture .</t>
  </si>
  <si>
    <t>He trusts his taste , except guesses .</t>
  </si>
  <si>
    <t>Il fait confiance à son sens du goût , sauf les suppositions .</t>
  </si>
  <si>
    <t>Si fida delle congetture , eccetto che del gusto .</t>
  </si>
  <si>
    <t>He trusts guesses , except his taste .</t>
  </si>
  <si>
    <t>Il fait confiance aux suppositions , sauf son sens du goût .</t>
  </si>
  <si>
    <t>Amo i gatti , eccetto i bobtail .</t>
  </si>
  <si>
    <t>I like cats , except bobtails .</t>
  </si>
  <si>
    <t>J' aime les chats , sauf les bobtails .</t>
  </si>
  <si>
    <t>Posso capire la gioia , eccetto la saggezza .</t>
  </si>
  <si>
    <t>He likes joy , except wisdom .</t>
  </si>
  <si>
    <t>Je peux comprendre la joie , sauf la sagesse .</t>
  </si>
  <si>
    <t>Posso capire la saggezza , eccetto la gioia .</t>
  </si>
  <si>
    <t>He likes wisdom , except joy .</t>
  </si>
  <si>
    <t>Je peux comprendre la sagesse , sauf la joie .</t>
  </si>
  <si>
    <t>Posso capire la gioia , eccetto le emozioni .</t>
  </si>
  <si>
    <t>He likes joy , except emotions .</t>
  </si>
  <si>
    <t>Je peux comprendre la joie , sauf les émotions .</t>
  </si>
  <si>
    <t>Posso capire le emozioni , eccetto la gioia .</t>
  </si>
  <si>
    <t>He likes emotions , except joy .</t>
  </si>
  <si>
    <t>Je peux comprendre les émotions , sauf la joie .</t>
  </si>
  <si>
    <t>Posso capire le emozioni , eccetto la saggezza .</t>
  </si>
  <si>
    <t>He likes emotions , except wisdom .</t>
  </si>
  <si>
    <t>Je peux comprendre les émotions , sauf la sagesse .</t>
  </si>
  <si>
    <t>Posso capire la gioia , eccetto la stupidità .</t>
  </si>
  <si>
    <t>He likes joy , except stupidity .</t>
  </si>
  <si>
    <t>Je peux comprendre la joie , sauf la stupidité .</t>
  </si>
  <si>
    <t>Posso capire la stupidità , eccetto la gioia .</t>
  </si>
  <si>
    <t>He likes stupidity , except joy .</t>
  </si>
  <si>
    <t>Je peux comprendre la stupidité , sauf la joie .</t>
  </si>
  <si>
    <t>Posso capire le emozioni , eccetto la stupidità .</t>
  </si>
  <si>
    <t>He likes emotions , except stupidity .</t>
  </si>
  <si>
    <t>Je peux comprendre les émotions , sauf la stupidité .</t>
  </si>
  <si>
    <t>Posso capire la gioia , eccetto la logica .</t>
  </si>
  <si>
    <t>He likes joy , except logic .</t>
  </si>
  <si>
    <t>Je peux comprendre la joie , sauf la logique .</t>
  </si>
  <si>
    <t>Posso capire la logica , eccetto la gioia .</t>
  </si>
  <si>
    <t>He likes logic , except joy .</t>
  </si>
  <si>
    <t>Je peux comprendre la logique , sauf la joie .</t>
  </si>
  <si>
    <t>Posso capire le emozioni , eccetto la logica .</t>
  </si>
  <si>
    <t>He likes emotions , except logic .</t>
  </si>
  <si>
    <t>Je peux comprendre les émotions , sauf la logique .</t>
  </si>
  <si>
    <t>Posso capire la gioia , eccetto i calcoli .</t>
  </si>
  <si>
    <t>He likes joy , except calculations .</t>
  </si>
  <si>
    <t>Je peux comprendre la joie , sauf les calculs .</t>
  </si>
  <si>
    <t>Posso capire i calcoli , eccetto la gioia .</t>
  </si>
  <si>
    <t>He likes calculations , except joy .</t>
  </si>
  <si>
    <t>Je peux comprendre les calculs , sauf la joie .</t>
  </si>
  <si>
    <t>Posso capire le emozioni , eccetto i calcoli .</t>
  </si>
  <si>
    <t>He likes emotions , except calculations .</t>
  </si>
  <si>
    <t>Je peux comprendre les émotions , sauf les calculs .</t>
  </si>
  <si>
    <t>Posso capire la paura , eccetto la saggezza .</t>
  </si>
  <si>
    <t>He likes fear , except wisdom .</t>
  </si>
  <si>
    <t>Je peux comprendre la peur , sauf la sagesse .</t>
  </si>
  <si>
    <t>Posso capire la saggezza , eccetto la paura .</t>
  </si>
  <si>
    <t>He likes wisdom , except fear .</t>
  </si>
  <si>
    <t>Je peux comprendre la sagesse , sauf la peur .</t>
  </si>
  <si>
    <t>Posso capire la paura , eccetto le emozioni .</t>
  </si>
  <si>
    <t>He likes fear , except emotions .</t>
  </si>
  <si>
    <t>Je peux comprendre la peur , sauf les émotions .</t>
  </si>
  <si>
    <t>Posso capire le emozioni , eccetto la paura .</t>
  </si>
  <si>
    <t>He likes emotions , except fear .</t>
  </si>
  <si>
    <t>Je peux comprendre les émotions , sauf la peur .</t>
  </si>
  <si>
    <t>Posso capire la paura , eccetto la stupidità .</t>
  </si>
  <si>
    <t>He likes fear , except stupidity .</t>
  </si>
  <si>
    <t>Je peux comprendre la peur , sauf la stupidité .</t>
  </si>
  <si>
    <t>Posso capire la stupidità , eccetto la paura .</t>
  </si>
  <si>
    <t>He likes stupidity , except fear .</t>
  </si>
  <si>
    <t>Je peux comprendre la stupidité , sauf la peur .</t>
  </si>
  <si>
    <t>Posso capire la paura , eccetto la logica .</t>
  </si>
  <si>
    <t>He likes fear , except logic .</t>
  </si>
  <si>
    <t>Je peux comprendre la peur , sauf la logique .</t>
  </si>
  <si>
    <t>Posso capire la logica , eccetto la paura .</t>
  </si>
  <si>
    <t>He likes logic , except fear .</t>
  </si>
  <si>
    <t>Je peux comprendre la logique , sauf la peur .</t>
  </si>
  <si>
    <t>Posso capire la paura , eccetto i calcoli .</t>
  </si>
  <si>
    <t>He likes fear , except calculations .</t>
  </si>
  <si>
    <t>Je peux comprendre la peur , sauf les calculs .</t>
  </si>
  <si>
    <t>Posso capire i calcoli , eccetto la paura .</t>
  </si>
  <si>
    <t>He likes calculations , except fear .</t>
  </si>
  <si>
    <t>Je peux comprendre les calculs , sauf la peur .</t>
  </si>
  <si>
    <t>Amo i bobtail , eccetto i cani .</t>
  </si>
  <si>
    <t>I like bobtails , except dogs .</t>
  </si>
  <si>
    <t>J' aime les bobtails , sauf les chiens .</t>
  </si>
  <si>
    <t>Posso capire l' amore , eccetto la saggezza .</t>
  </si>
  <si>
    <t>He likes love , except wisdom .</t>
  </si>
  <si>
    <t>Je peux comprendre l' amour , sauf la sagesse .</t>
  </si>
  <si>
    <t>Posso capire la saggezza , eccetto l' amore .</t>
  </si>
  <si>
    <t>He likes wisdom , except love .</t>
  </si>
  <si>
    <t>Je peux comprendre la sagesse , sauf l' amour .</t>
  </si>
  <si>
    <t>Posso capire l' amore , eccetto le emozioni .</t>
  </si>
  <si>
    <t>He likes love , except emotions .</t>
  </si>
  <si>
    <t>Je peux comprendre l' amour , sauf les émotions .</t>
  </si>
  <si>
    <t>Posso capire le emozioni , eccetto l' amore .</t>
  </si>
  <si>
    <t>He likes emotions , except love .</t>
  </si>
  <si>
    <t>Je peux comprendre les émotions , sauf l' amour .</t>
  </si>
  <si>
    <t>Posso capire l' amore , eccetto la stupidità .</t>
  </si>
  <si>
    <t>He likes love , except stupidity .</t>
  </si>
  <si>
    <t>Je peux comprendre l' amour , sauf la stupidité .</t>
  </si>
  <si>
    <t>Posso capire la stupidità , eccetto l' amore .</t>
  </si>
  <si>
    <t>He likes stupidity , except love .</t>
  </si>
  <si>
    <t>Je peux comprendre la stupidité , sauf l' amour .</t>
  </si>
  <si>
    <t>Posso capire l' amore , eccetto la logica .</t>
  </si>
  <si>
    <t>He likes love , except logic .</t>
  </si>
  <si>
    <t>Je peux comprendre l' amour , sauf la logique .</t>
  </si>
  <si>
    <t>Posso capire la logica , eccetto l' amore .</t>
  </si>
  <si>
    <t>He likes logic , except love .</t>
  </si>
  <si>
    <t>Je peux comprendre la logique , sauf l' amour .</t>
  </si>
  <si>
    <t>Posso capire l' amore , eccetto i calcoli .</t>
  </si>
  <si>
    <t>He likes love , except calculations .</t>
  </si>
  <si>
    <t>Je peux comprendre l' amour , sauf les calculs .</t>
  </si>
  <si>
    <t>Posso capire i calcoli , eccetto l' amore .</t>
  </si>
  <si>
    <t>He likes calculations , except love .</t>
  </si>
  <si>
    <t>Je peux comprendre les calculs , sauf l' amour .</t>
  </si>
  <si>
    <t>Posso capire la tristezza , eccetto la saggezza .</t>
  </si>
  <si>
    <t>He likes sadness , except wisdom .</t>
  </si>
  <si>
    <t>Je peux comprendre la tristesse , sauf la sagesse .</t>
  </si>
  <si>
    <t>Posso capire la saggezza , eccetto la tristezza .</t>
  </si>
  <si>
    <t>He likes wisdom , except sadness .</t>
  </si>
  <si>
    <t>Je peux comprendre la sagesse , sauf la tristesse .</t>
  </si>
  <si>
    <t>Posso capire la tristezza , eccetto le emozioni .</t>
  </si>
  <si>
    <t>He likes sadness , except emotions .</t>
  </si>
  <si>
    <t>Je peux comprendre la tristesse , sauf les émotions .</t>
  </si>
  <si>
    <t>Posso capire le emozioni , eccetto la tristezza .</t>
  </si>
  <si>
    <t>He likes emotions , except sadness .</t>
  </si>
  <si>
    <t>Je peux comprendre les émotions , sauf la tristesse .</t>
  </si>
  <si>
    <t>Posso capire la tristezza , eccetto la stupidità .</t>
  </si>
  <si>
    <t>He likes sadness , except stupidity .</t>
  </si>
  <si>
    <t>Je peux comprendre la tristesse , sauf la stupidité .</t>
  </si>
  <si>
    <t>Posso capire la stupidità , eccetto la tristezza .</t>
  </si>
  <si>
    <t>He likes stupidity , except sadness .</t>
  </si>
  <si>
    <t>Je peux comprendre la stupidité , sauf la tristesse .</t>
  </si>
  <si>
    <t>Posso capire la tristezza , eccetto la logica .</t>
  </si>
  <si>
    <t>He likes sadness , except logic .</t>
  </si>
  <si>
    <t>Je peux comprendre la tristesse , sauf la logique .</t>
  </si>
  <si>
    <t>Posso capire la logica , eccetto la tristezza .</t>
  </si>
  <si>
    <t>He likes logic , except sadness .</t>
  </si>
  <si>
    <t>Je peux comprendre la logique , sauf la tristesse .</t>
  </si>
  <si>
    <t>Posso capire la tristezza , eccetto i calcoli .</t>
  </si>
  <si>
    <t>He likes sadness , except calculations .</t>
  </si>
  <si>
    <t>Je peux comprendre la tristesse , sauf les calculs .</t>
  </si>
  <si>
    <t>Posso capire i calcoli , eccetto la tristezza .</t>
  </si>
  <si>
    <t>He likes calculations , except sadness .</t>
  </si>
  <si>
    <t>Je peux comprendre les calculs , sauf la tristesse .</t>
  </si>
  <si>
    <t>Amo i sussidiari , eccetto la musica .</t>
  </si>
  <si>
    <t>I like textbooks , except music .</t>
  </si>
  <si>
    <t>J' aime les manuels scolaires , sauf la musique .</t>
  </si>
  <si>
    <t>Amo la musica , eccetto i sussidiari .</t>
  </si>
  <si>
    <t>I like music , except textbooks .</t>
  </si>
  <si>
    <t>J' aime la musique , sauf les manuels scolaires .</t>
  </si>
  <si>
    <t>Amo i sussidiari , eccetto i libri .</t>
  </si>
  <si>
    <t>I like textbooks , except books .</t>
  </si>
  <si>
    <t>J' aime les manuels scolaires , sauf les livres .</t>
  </si>
  <si>
    <t>Amo i libri , eccetto i sussidiari .</t>
  </si>
  <si>
    <t>I like books , except textbooks .</t>
  </si>
  <si>
    <t>J' aime les livres , sauf les manuels scolaires .</t>
  </si>
  <si>
    <t>Amo i libri , eccetto la musica .</t>
  </si>
  <si>
    <t>I like books , except music .</t>
  </si>
  <si>
    <t>J' aime les livres , sauf la musique .</t>
  </si>
  <si>
    <t>Amo i sussidiari , eccetto il cinema .</t>
  </si>
  <si>
    <t>I like textbooks , except films .</t>
  </si>
  <si>
    <t>J' aime les manuels scolaires , sauf le cinéma .</t>
  </si>
  <si>
    <t>Amo il cinema , eccetto i sussidiari .</t>
  </si>
  <si>
    <t>I like films , except textbooks .</t>
  </si>
  <si>
    <t>J' aime le cinéma , sauf les manuels scolaires .</t>
  </si>
  <si>
    <t>Amo i libri , eccetto il cinema .</t>
  </si>
  <si>
    <t>I like books , except films .</t>
  </si>
  <si>
    <t>J' aime les livres , sauf le cinéma .</t>
  </si>
  <si>
    <t>Amo i sussidiari , eccetto i cartoni animati .</t>
  </si>
  <si>
    <t>I like textbooks , except cartoons .</t>
  </si>
  <si>
    <t>J' aime les manuels scolaires , sauf les dessins animés .</t>
  </si>
  <si>
    <t>Amo i cartoni animati , eccetto i sussidiari .</t>
  </si>
  <si>
    <t>I like cartoons , except textbooks .</t>
  </si>
  <si>
    <t>J' aime les dessins animés , sauf les manuels scolaires .</t>
  </si>
  <si>
    <t>Amo i libri , eccetto i cartoni animati .</t>
  </si>
  <si>
    <t>I like books , except cartoons .</t>
  </si>
  <si>
    <t>J' aime les livres , sauf les dessins animés .</t>
  </si>
  <si>
    <t>Amo i sussidiari , eccetto i dipinti .</t>
  </si>
  <si>
    <t>I like textbooks , except paintings .</t>
  </si>
  <si>
    <t>J' aime les manuels scolaires , sauf les peintures .</t>
  </si>
  <si>
    <t>Amo i dipinti , eccetto i sussidiari .</t>
  </si>
  <si>
    <t>I like paintings , except textbooks .</t>
  </si>
  <si>
    <t>J' aime les peintures , sauf les manuels scolaires .</t>
  </si>
  <si>
    <t>Amo i cani , eccetto i bobtail .</t>
  </si>
  <si>
    <t>I like dogs , except bobtails .</t>
  </si>
  <si>
    <t>J' aime les chiens , sauf les bobtails .</t>
  </si>
  <si>
    <t>Amo i libri , eccetto i dipinti .</t>
  </si>
  <si>
    <t>I like books , except paintings .</t>
  </si>
  <si>
    <t>J' aime les livres , sauf les peintures .</t>
  </si>
  <si>
    <t>Amo i saggi , eccetto la musica .</t>
  </si>
  <si>
    <t>I like essays , except music .</t>
  </si>
  <si>
    <t>J' aime les essais , sauf la musique .</t>
  </si>
  <si>
    <t>Amo la musica , eccetto i saggi .</t>
  </si>
  <si>
    <t>I like music , except essays .</t>
  </si>
  <si>
    <t>J' aime la musique , sauf les essais .</t>
  </si>
  <si>
    <t>Amo i saggi , eccetto i libri .</t>
  </si>
  <si>
    <t>I like essays , except books .</t>
  </si>
  <si>
    <t>J' aime les essais , sauf les livres .</t>
  </si>
  <si>
    <t>Amo i libri , eccetto i saggi .</t>
  </si>
  <si>
    <t>I like books , except essays .</t>
  </si>
  <si>
    <t>J' aime les livres , sauf les essais .</t>
  </si>
  <si>
    <t>Amo i saggi , eccetto il cinema .</t>
  </si>
  <si>
    <t>I like essays , except films .</t>
  </si>
  <si>
    <t>J' aime les essais , sauf le cinéma .</t>
  </si>
  <si>
    <t>Amo il cinema , eccetto i saggi .</t>
  </si>
  <si>
    <t>I like films , except essays .</t>
  </si>
  <si>
    <t>J' aime le cinéma , sauf les essais .</t>
  </si>
  <si>
    <t>Amo i saggi , eccetto i cartoni animati .</t>
  </si>
  <si>
    <t>I like essays , except cartoons .</t>
  </si>
  <si>
    <t>J' aime les essais , sauf les dessins animés .</t>
  </si>
  <si>
    <t>Amo i cartoni animati , eccetto i saggi .</t>
  </si>
  <si>
    <t>I like cartoons , except essays .</t>
  </si>
  <si>
    <t>J' aime les dessins animés , sauf les essais .</t>
  </si>
  <si>
    <t>Amo i saggi , eccetto i dipinti .</t>
  </si>
  <si>
    <t>I like essays , except paintings .</t>
  </si>
  <si>
    <t>J' aime les essais , sauf les peintures .</t>
  </si>
  <si>
    <t>Amo i dipinti , eccetto i saggi .</t>
  </si>
  <si>
    <t>I like paintings , except essays .</t>
  </si>
  <si>
    <t>J' aime les peintures , sauf les essais .</t>
  </si>
  <si>
    <t>Amo i romanzi , eccetto la musica .</t>
  </si>
  <si>
    <t>I like novels , except music .</t>
  </si>
  <si>
    <t>J' aime les romans , sauf la musique .</t>
  </si>
  <si>
    <t>Amo la musica , eccetto i romanzi .</t>
  </si>
  <si>
    <t>I like music , except novels .</t>
  </si>
  <si>
    <t>J' aime la musique , sauf les romans .</t>
  </si>
  <si>
    <t>Amo i romanzi , eccetto i libri .</t>
  </si>
  <si>
    <t>I like novels , except books .</t>
  </si>
  <si>
    <t>J' aime les romans , sauf les livres .</t>
  </si>
  <si>
    <t>Amo i libri , eccetto i romanzi .</t>
  </si>
  <si>
    <t>I like books , except novels .</t>
  </si>
  <si>
    <t>J' aime les livres , sauf les romans .</t>
  </si>
  <si>
    <t>Amo i romanzi , eccetto il cinema .</t>
  </si>
  <si>
    <t>I like novels , except films .</t>
  </si>
  <si>
    <t>J' aime les romans , sauf le cinéma .</t>
  </si>
  <si>
    <t>Amo il cinema , eccetto i romanzi .</t>
  </si>
  <si>
    <t>I like films , except novels .</t>
  </si>
  <si>
    <t>J' aime le cinéma , sauf les romans .</t>
  </si>
  <si>
    <t>Amo i romanzi , eccetto i cartoni animati .</t>
  </si>
  <si>
    <t>I like novels , except cartoons .</t>
  </si>
  <si>
    <t>J' aime les romans , sauf les dessins animés .</t>
  </si>
  <si>
    <t>Amo i cartoni animati , eccetto i romanzi .</t>
  </si>
  <si>
    <t>I like cartoons , except novels .</t>
  </si>
  <si>
    <t>J' aime les dessins animés , sauf les romans .</t>
  </si>
  <si>
    <t>Amo i romanzi , eccetto i dipinti .</t>
  </si>
  <si>
    <t>I like novels , except paintings .</t>
  </si>
  <si>
    <t>J' aime les romans , sauf les peintures .</t>
  </si>
  <si>
    <t>Amo i dipinti , eccetto i romanzi .</t>
  </si>
  <si>
    <t>I like paintings , except novels .</t>
  </si>
  <si>
    <t>J' aime les peintures , sauf les romans .</t>
  </si>
  <si>
    <t>Amo i manuali , eccetto la musica .</t>
  </si>
  <si>
    <t>I like handbooks , except music .</t>
  </si>
  <si>
    <t>J' aime les manuels , sauf la musique .</t>
  </si>
  <si>
    <t>Amo la musica , eccetto i manuali .</t>
  </si>
  <si>
    <t>I like music , except handbooks .</t>
  </si>
  <si>
    <t>J' aime la musique , sauf les manuels .</t>
  </si>
  <si>
    <t>Amo i manuali , eccetto i libri .</t>
  </si>
  <si>
    <t>I like handbooks , except books .</t>
  </si>
  <si>
    <t>J' aime les manuels , sauf les livres .</t>
  </si>
  <si>
    <t>Amo i libri , eccetto i manuali .</t>
  </si>
  <si>
    <t>I like books , except handbooks .</t>
  </si>
  <si>
    <t>J' aime les livres , sauf les manuels .</t>
  </si>
  <si>
    <t>Amo i manuali , eccetto il cinema .</t>
  </si>
  <si>
    <t>I like handbooks , except films .</t>
  </si>
  <si>
    <t>J' aime les manuels , sauf le cinéma .</t>
  </si>
  <si>
    <t>Amo il cinema , eccetto i manuali .</t>
  </si>
  <si>
    <t>I like films , except handbooks .</t>
  </si>
  <si>
    <t>J' aime le cinéma , sauf les manuels .</t>
  </si>
  <si>
    <t>Amo i manuali , eccetto i cartoni animati .</t>
  </si>
  <si>
    <t>I like handbooks , except cartoons .</t>
  </si>
  <si>
    <t>J' aime les manuels , sauf les dessins animés .</t>
  </si>
  <si>
    <t>Amo i cartoni animati , eccetto i manuali .</t>
  </si>
  <si>
    <t>I like cartoons , except handbooks .</t>
  </si>
  <si>
    <t>J' aime les dessins animés , sauf les manuels .</t>
  </si>
  <si>
    <t>Amo i manuali , eccetto i dipinti .</t>
  </si>
  <si>
    <t>I like handbooks , except paintings .</t>
  </si>
  <si>
    <t>J' aime les manuels , sauf les peintures .</t>
  </si>
  <si>
    <t>Amo i dipinti , eccetto i manuali .</t>
  </si>
  <si>
    <t>I like paintings , except handbooks .</t>
  </si>
  <si>
    <t>J' aime les peintures , sauf les manuels .</t>
  </si>
  <si>
    <t>Amo gli impiegati , eccetto le fabbriche .</t>
  </si>
  <si>
    <t>I like clerks , except factories .</t>
  </si>
  <si>
    <t>J' aime les greffiers , sauf les usines .</t>
  </si>
  <si>
    <t>Amo le fabbriche , eccetto gli impiegati .</t>
  </si>
  <si>
    <t>I like factories , except clerks .</t>
  </si>
  <si>
    <t>J' aime les usines , sauf les greffiers .</t>
  </si>
  <si>
    <t>Amo gli impiegati , eccetto i lavoratori .</t>
  </si>
  <si>
    <t>I like clerks , except workers .</t>
  </si>
  <si>
    <t>J' aime les greffiers , sauf les travailleurs .</t>
  </si>
  <si>
    <t>Amo i lavoratori , eccetto gli impiegati .</t>
  </si>
  <si>
    <t>I like workers , except clerks .</t>
  </si>
  <si>
    <t>J' aime les travailleurs , sauf les greffiers .</t>
  </si>
  <si>
    <t>Amo i lavoratori , eccetto le fabbriche .</t>
  </si>
  <si>
    <t>I like workers , except factories .</t>
  </si>
  <si>
    <t>J' aime les travailleurs , sauf les usines .</t>
  </si>
  <si>
    <t>Amo gli impiegati , eccetto i ristoranti .</t>
  </si>
  <si>
    <t>I like clerks , except restaurants .</t>
  </si>
  <si>
    <t>J' aime les greffiers , sauf les restaurants .</t>
  </si>
  <si>
    <t>Amo i ristoranti , eccetto gli impiegati .</t>
  </si>
  <si>
    <t>I like restaurants , except clerks .</t>
  </si>
  <si>
    <t>J' aime les restaurants , sauf les greffiers .</t>
  </si>
  <si>
    <t>Amo i lavoratori , eccetto i ristoranti .</t>
  </si>
  <si>
    <t>I like workers , except restaurants .</t>
  </si>
  <si>
    <t>J' aime les travailleurs , sauf les restaurants .</t>
  </si>
  <si>
    <t>Amo gli impiegati , eccetto le scuole .</t>
  </si>
  <si>
    <t>I like clerks , except schools .</t>
  </si>
  <si>
    <t>J' aime les greffiers , sauf les écoles .</t>
  </si>
  <si>
    <t>Amo le scuole , eccetto gli impiegati .</t>
  </si>
  <si>
    <t>I like schools , except clerks .</t>
  </si>
  <si>
    <t>J' aime les écoles , sauf les greffiers .</t>
  </si>
  <si>
    <t>Amo i lavoratori , eccetto le scuole .</t>
  </si>
  <si>
    <t>I like workers , except schools .</t>
  </si>
  <si>
    <t>J' aime les travailleurs , sauf les écoles .</t>
  </si>
  <si>
    <t>Amo gli impiegati , eccetto gli uffici .</t>
  </si>
  <si>
    <t>I like clerks , except offices .</t>
  </si>
  <si>
    <t>J' aime les greffiers , sauf les bureaux .</t>
  </si>
  <si>
    <t>Amo gli uffici , eccetto gli impiegati .</t>
  </si>
  <si>
    <t>I like offices , except clerks .</t>
  </si>
  <si>
    <t>J' aime les bureaux , sauf les greffiers .</t>
  </si>
  <si>
    <t>Amo i lavoratori , eccetto gli uffici .</t>
  </si>
  <si>
    <t>I like workers , except offices .</t>
  </si>
  <si>
    <t>J' aime les travailleurs , sauf les bureaux .</t>
  </si>
  <si>
    <t>Amo i camerieri , eccetto le fabbriche .</t>
  </si>
  <si>
    <t>I like waiters , except factories .</t>
  </si>
  <si>
    <t>J' aime les serveurs , sauf les usines .</t>
  </si>
  <si>
    <t>Amo le fabbriche , eccetto i camerieri .</t>
  </si>
  <si>
    <t>I like factories , except waiters .</t>
  </si>
  <si>
    <t>J' aime les usines , sauf les serveurs .</t>
  </si>
  <si>
    <t>Amo i camerieri , eccetto i lavoratori .</t>
  </si>
  <si>
    <t>I like waiters , except workers .</t>
  </si>
  <si>
    <t>J' aime les serveurs , sauf les travailleurs .</t>
  </si>
  <si>
    <t>Amo i lavoratori , eccetto i camerieri .</t>
  </si>
  <si>
    <t>I like workers , except waiters .</t>
  </si>
  <si>
    <t>J' aime les travailleurs , sauf les serveurs .</t>
  </si>
  <si>
    <t>Amo i camerieri , eccetto i ristoranti .</t>
  </si>
  <si>
    <t>I like waiters , except restaurants .</t>
  </si>
  <si>
    <t>J' aime les serveurs , sauf les restaurants .</t>
  </si>
  <si>
    <t>Amo i ristoranti , eccetto i camerieri .</t>
  </si>
  <si>
    <t>I like restaurants , except waiters .</t>
  </si>
  <si>
    <t>J' aime les restaurants , sauf les serveurs .</t>
  </si>
  <si>
    <t>Amo i camerieri , eccetto le scuole .</t>
  </si>
  <si>
    <t>I like waiters , except schools .</t>
  </si>
  <si>
    <t>J' aime les serveurs , sauf les écoles .</t>
  </si>
  <si>
    <t>Amo le scuole , eccetto i camerieri .</t>
  </si>
  <si>
    <t>I like schools , except waiters .</t>
  </si>
  <si>
    <t>J' aime les écoles , sauf les serveurs .</t>
  </si>
  <si>
    <t>Amo i camerieri , eccetto gli uffici .</t>
  </si>
  <si>
    <t>I like waiters , except offices .</t>
  </si>
  <si>
    <t>J' aime les serveurs , sauf les bureaux .</t>
  </si>
  <si>
    <t>Amo gli uffici , eccetto i camerieri .</t>
  </si>
  <si>
    <t>I like offices , except waiters .</t>
  </si>
  <si>
    <t>J' aime les bureaux , sauf les serveurs .</t>
  </si>
  <si>
    <t>Amo i bobtail , eccetto i criceti .</t>
  </si>
  <si>
    <t>I like bobtails , except hamsters .</t>
  </si>
  <si>
    <t>J' aime les bobtails , sauf les hamsters .</t>
  </si>
  <si>
    <t>Amo i guardiani , eccetto le fabbriche .</t>
  </si>
  <si>
    <t>I like caretakers , except factories .</t>
  </si>
  <si>
    <t>J' aime les gardiens , sauf les usines .</t>
  </si>
  <si>
    <t>Amo le fabbriche , eccetto i guardiani .</t>
  </si>
  <si>
    <t>I like factories , except caretakers .</t>
  </si>
  <si>
    <t>J' aime les usines , sauf les gardiens .</t>
  </si>
  <si>
    <t>Amo i guardiani , eccetto i lavoratori .</t>
  </si>
  <si>
    <t>I like caretakers , except workers .</t>
  </si>
  <si>
    <t>J' aime les gardiens , sauf les travailleurs .</t>
  </si>
  <si>
    <t>Amo i lavoratori , eccetto i guardiani .</t>
  </si>
  <si>
    <t>I like workers , except caretakers .</t>
  </si>
  <si>
    <t>J' aime les travailleurs , sauf les gardiens .</t>
  </si>
  <si>
    <t>Amo i guardiani , eccetto i ristoranti .</t>
  </si>
  <si>
    <t>I like caretakers , except restaurants .</t>
  </si>
  <si>
    <t>J' aime les gardiens , sauf les restaurants .</t>
  </si>
  <si>
    <t>Amo i ristoranti , eccetto i guardiani .</t>
  </si>
  <si>
    <t>I like restaurants , except caretakers .</t>
  </si>
  <si>
    <t>J' aime les restaurants , sauf les gardiens .</t>
  </si>
  <si>
    <t>Amo i guardiani , eccetto le scuole .</t>
  </si>
  <si>
    <t>I like caretakers , except schools .</t>
  </si>
  <si>
    <t>J' aime les gardiens , sauf les écoles .</t>
  </si>
  <si>
    <t>Amo le scuole , eccetto i guardiani .</t>
  </si>
  <si>
    <t>I like schools , except caretakers .</t>
  </si>
  <si>
    <t>J' aime les écoles , sauf les gardiens .</t>
  </si>
  <si>
    <t>Amo i guardiani , eccetto gli uffici .</t>
  </si>
  <si>
    <t>I like caretakers , except offices .</t>
  </si>
  <si>
    <t>J' aime les gardiens , sauf les bureaux .</t>
  </si>
  <si>
    <t>Amo gli uffici , eccetto i guardiani .</t>
  </si>
  <si>
    <t>I like offices , except caretakers .</t>
  </si>
  <si>
    <t>J' aime les bureaux , sauf les gardiens .</t>
  </si>
  <si>
    <t>Amo i professori , eccetto le fabbriche .</t>
  </si>
  <si>
    <t>I like professors , except factories .</t>
  </si>
  <si>
    <t>J' aime les professeurs , sauf les usines .</t>
  </si>
  <si>
    <t>Amo le fabbriche , eccetto i professori .</t>
  </si>
  <si>
    <t>I like factories , except professors .</t>
  </si>
  <si>
    <t>J' aime les usines , sauf les professeurs .</t>
  </si>
  <si>
    <t>Amo i professori , eccetto i lavoratori .</t>
  </si>
  <si>
    <t>I like professors , except workers .</t>
  </si>
  <si>
    <t>J' aime les professeurs , sauf les travailleurs .</t>
  </si>
  <si>
    <t>Amo i lavoratori , eccetto i professori .</t>
  </si>
  <si>
    <t>I like workers , except professors .</t>
  </si>
  <si>
    <t>J' aime les travailleurs , sauf les professeurs .</t>
  </si>
  <si>
    <t>Amo i professori , eccetto i ristoranti .</t>
  </si>
  <si>
    <t>I like professors , except restaurants .</t>
  </si>
  <si>
    <t>J' aime les professeurs , sauf les restaurants .</t>
  </si>
  <si>
    <t>Amo i ristoranti , eccetto i professori .</t>
  </si>
  <si>
    <t>I like restaurants , except professors .</t>
  </si>
  <si>
    <t>J' aime les restaurants , sauf les professeurs .</t>
  </si>
  <si>
    <t>Amo i professori , eccetto le scuole .</t>
  </si>
  <si>
    <t>I like professors , except schools .</t>
  </si>
  <si>
    <t>J' aime les professeurs , sauf les écoles .</t>
  </si>
  <si>
    <t>Amo le scuole , eccetto i professori .</t>
  </si>
  <si>
    <t>I like schools , except professors .</t>
  </si>
  <si>
    <t>J' aime les écoles , sauf les professeurs .</t>
  </si>
  <si>
    <t>Amo i professori , eccetto gli uffici .</t>
  </si>
  <si>
    <t>I like professors , except offices .</t>
  </si>
  <si>
    <t>J' aime les professeurs , sauf les bureaux .</t>
  </si>
  <si>
    <t>Amo gli uffici , eccetto i professori .</t>
  </si>
  <si>
    <t>I like offices , except professors .</t>
  </si>
  <si>
    <t>J' aime les bureaux , sauf les professeurs .</t>
  </si>
  <si>
    <t>Amo i criceti , eccetto i bobtail .</t>
  </si>
  <si>
    <t>I like hamsters , except bobtails .</t>
  </si>
  <si>
    <t>J' aime les hamsters , sauf les bobtails .</t>
  </si>
  <si>
    <t>Ho incontrato i biologi , eccetto gli impiegati .</t>
  </si>
  <si>
    <t>I met biologists , except clerks .</t>
  </si>
  <si>
    <t>J' ai rencontré les biologistes , sauf les greffiers .</t>
  </si>
  <si>
    <t>Ho incontrato gli impiegati , eccetto i biologi .</t>
  </si>
  <si>
    <t>I met clerks , except biologists .</t>
  </si>
  <si>
    <t>J' ai rencontré les greffiers , sauf les biologistes .</t>
  </si>
  <si>
    <t>Ho incontrato i biologi , eccetto gli scienziati .</t>
  </si>
  <si>
    <t>I met biologists , except scientists .</t>
  </si>
  <si>
    <t>J' ai rencontré les biologistes , sauf les scientifiques .</t>
  </si>
  <si>
    <t>Ho incontrato gli scienziati , eccetto i biologi .</t>
  </si>
  <si>
    <t>I met scientists , except biologists .</t>
  </si>
  <si>
    <t>J' ai rencontré les scientifiques , sauf les biologistes .</t>
  </si>
  <si>
    <t>Ho incontrato gli scienziati , eccetto gli impiegati .</t>
  </si>
  <si>
    <t>I met scientists , except clerks .</t>
  </si>
  <si>
    <t>J' ai rencontré les scientifiques , sauf les greffiers .</t>
  </si>
  <si>
    <t>Ho incontrato i biologi , eccetto i camerieri .</t>
  </si>
  <si>
    <t>I met biologists , except waiters .</t>
  </si>
  <si>
    <t>J' ai rencontré les biologistes , sauf les serveurs .</t>
  </si>
  <si>
    <t>Ho incontrato i camerieri , eccetto i biologi .</t>
  </si>
  <si>
    <t>I met waiters , except biologists .</t>
  </si>
  <si>
    <t>J' ai rencontré les serveurs , sauf les biologistes .</t>
  </si>
  <si>
    <t>Ho incontrato gli scienziati , eccetto i camerieri .</t>
  </si>
  <si>
    <t>I met scientists , except waiters .</t>
  </si>
  <si>
    <t>J' ai rencontré les scientifiques , sauf les serveurs .</t>
  </si>
  <si>
    <t>Ho incontrato i biologi , eccetto i guardiani .</t>
  </si>
  <si>
    <t>I met biologists , except caretakers .</t>
  </si>
  <si>
    <t>J' ai rencontré les biologistes , sauf les gardiens .</t>
  </si>
  <si>
    <t>Ho incontrato i guardiani , eccetto i biologi .</t>
  </si>
  <si>
    <t>I met caretakers , except biologists .</t>
  </si>
  <si>
    <t>J' ai rencontré les gardiens , sauf les biologistes .</t>
  </si>
  <si>
    <t>Ho incontrato gli scienziati , eccetto i guardiani .</t>
  </si>
  <si>
    <t>I met scientists , except caretakers .</t>
  </si>
  <si>
    <t>J' ai rencontré les scientifiques , sauf les gardiens .</t>
  </si>
  <si>
    <t>Ho incontrato i biologi , eccetto i portieri .</t>
  </si>
  <si>
    <t>I met biologists , except janitors .</t>
  </si>
  <si>
    <t>J' ai rencontré les biologistes , sauf les concierges .</t>
  </si>
  <si>
    <t>Ho incontrato i portieri , eccetto i biologi .</t>
  </si>
  <si>
    <t>I met janitors , except biologists .</t>
  </si>
  <si>
    <t>J' ai rencontré les concierges , sauf les biologistes .</t>
  </si>
  <si>
    <t>Ho incontrato gli scienziati , eccetto i portieri .</t>
  </si>
  <si>
    <t>I met scientists , except janitors .</t>
  </si>
  <si>
    <t>J' ai rencontré les scientifiques , sauf les concierges .</t>
  </si>
  <si>
    <t>Ho incontrato i genetisti , eccetto gli impiegati .</t>
  </si>
  <si>
    <t>I met geneticists , except clerks .</t>
  </si>
  <si>
    <t>J' ai rencontré les généticiens , sauf les greffiers .</t>
  </si>
  <si>
    <t>Ho incontrato gli impiegati , eccetto i genetisti .</t>
  </si>
  <si>
    <t>I met clerks , except geneticists .</t>
  </si>
  <si>
    <t>J' ai rencontré les greffiers , sauf les généticiens .</t>
  </si>
  <si>
    <t>Ho incontrato i genetisti , eccetto gli scienziati .</t>
  </si>
  <si>
    <t>I met geneticists , except scientists .</t>
  </si>
  <si>
    <t>J' ai rencontré les généticiens , sauf les scientifiques .</t>
  </si>
  <si>
    <t>Ho incontrato gli scienziati , eccetto i genetisti .</t>
  </si>
  <si>
    <t>I met scientists , except geneticists .</t>
  </si>
  <si>
    <t>J' ai rencontré les scientifiques , sauf les généticiens .</t>
  </si>
  <si>
    <t>Ho incontrato i genetisti , eccetto i camerieri .</t>
  </si>
  <si>
    <t>I met geneticists , except waiters .</t>
  </si>
  <si>
    <t>J' ai rencontré les généticiens , sauf les serveurs .</t>
  </si>
  <si>
    <t>Ho incontrato i camerieri , eccetto i genetisti .</t>
  </si>
  <si>
    <t>I met waiters , except geneticists .</t>
  </si>
  <si>
    <t>J' ai rencontré les serveurs , sauf les généticiens .</t>
  </si>
  <si>
    <t>Ho incontrato i genetisti , eccetto i guardiani .</t>
  </si>
  <si>
    <t>I met geneticists , except caretakers .</t>
  </si>
  <si>
    <t>J' ai rencontré les généticiens , sauf les gardiens .</t>
  </si>
  <si>
    <t>Ho incontrato i guardiani , eccetto i genetisti .</t>
  </si>
  <si>
    <t>I met caretakers , except geneticists .</t>
  </si>
  <si>
    <t>J' ai rencontré les gardiens , sauf les généticiens .</t>
  </si>
  <si>
    <t>Ho incontrato i genetisti , eccetto i portieri .</t>
  </si>
  <si>
    <t>I met geneticists , except janitors .</t>
  </si>
  <si>
    <t>J' ai rencontré les généticiens , sauf les concierges .</t>
  </si>
  <si>
    <t>Ho incontrato i portieri , eccetto i genetisti .</t>
  </si>
  <si>
    <t>I met janitors , except geneticists .</t>
  </si>
  <si>
    <t>J' ai rencontré les concierges , sauf les généticiens .</t>
  </si>
  <si>
    <t>Ho incontrato gli astronomi , eccetto gli impiegati .</t>
  </si>
  <si>
    <t>I met astronomers , except clerks .</t>
  </si>
  <si>
    <t>J' ai rencontré les astronomes , sauf les greffiers .</t>
  </si>
  <si>
    <t>Ho incontrato gli impiegati , eccetto gli astronomi .</t>
  </si>
  <si>
    <t>I met clerks , except astronomers .</t>
  </si>
  <si>
    <t>J' ai rencontré les greffiers , sauf les astronomes .</t>
  </si>
  <si>
    <t>Ho incontrato gli astronomi , eccetto gli scienziati .</t>
  </si>
  <si>
    <t>I met astronomers , except scientists .</t>
  </si>
  <si>
    <t>J' ai rencontré les astronomes , sauf les scientifiques .</t>
  </si>
  <si>
    <t>Ho incontrato gli scienziati , eccetto gli astronomi .</t>
  </si>
  <si>
    <t>I met scientists , except astronomers .</t>
  </si>
  <si>
    <t>J' ai rencontré les scientifiques , sauf les astronomes .</t>
  </si>
  <si>
    <t>Ho incontrato gli astronomi , eccetto i camerieri .</t>
  </si>
  <si>
    <t>I met astronomers , except waiters .</t>
  </si>
  <si>
    <t>J' ai rencontré les astronomes , sauf les serveurs .</t>
  </si>
  <si>
    <t>Ho incontrato i camerieri , eccetto gli astronomi .</t>
  </si>
  <si>
    <t>I met waiters , except astronomers .</t>
  </si>
  <si>
    <t>J' ai rencontré les serveurs , sauf les astronomes .</t>
  </si>
  <si>
    <t>Ho incontrato gli astronomi , eccetto i guardiani .</t>
  </si>
  <si>
    <t>I met astronomers , except caretakers .</t>
  </si>
  <si>
    <t>J' ai rencontré les astronomes , sauf les gardiens .</t>
  </si>
  <si>
    <t>Ho incontrato i guardiani , eccetto gli astronomi .</t>
  </si>
  <si>
    <t>I met caretakers , except astronomers .</t>
  </si>
  <si>
    <t>J' ai rencontré les gardiens , sauf les astronomes .</t>
  </si>
  <si>
    <t>Ho incontrato gli astronomi , eccetto i portieri .</t>
  </si>
  <si>
    <t>I met astronomers , except janitors .</t>
  </si>
  <si>
    <t>J' ai rencontré les astronomes , sauf les concierges .</t>
  </si>
  <si>
    <t>Ho incontrato i portieri , eccetto gli astronomi .</t>
  </si>
  <si>
    <t>I met janitors , except astronomers .</t>
  </si>
  <si>
    <t>J' ai rencontré les concierges , sauf les astronomes .</t>
  </si>
  <si>
    <t>Ho incontrato i fisici , eccetto gli impiegati .</t>
  </si>
  <si>
    <t>I met physicists , except clerks .</t>
  </si>
  <si>
    <t>J' ai rencontré les physiciens , sauf les greffiers .</t>
  </si>
  <si>
    <t>Ho incontrato gli impiegati , eccetto i fisici .</t>
  </si>
  <si>
    <t>I met clerks , except physicists .</t>
  </si>
  <si>
    <t>J' ai rencontré les greffiers , sauf les physiciens .</t>
  </si>
  <si>
    <t>Ho incontrato i fisici , eccetto gli scienziati .</t>
  </si>
  <si>
    <t>I met physicists , except scientists .</t>
  </si>
  <si>
    <t>J' ai rencontré les physiciens , sauf les scientifiques .</t>
  </si>
  <si>
    <t>Ho incontrato gli scienziati , eccetto i fisici .</t>
  </si>
  <si>
    <t>I met scientists , except physicists .</t>
  </si>
  <si>
    <t>J' ai rencontré les scientifiques , sauf les physiciens .</t>
  </si>
  <si>
    <t>Ho incontrato i fisici , eccetto i camerieri .</t>
  </si>
  <si>
    <t>I met physicists , except waiters .</t>
  </si>
  <si>
    <t>J' ai rencontré les physiciens , sauf les serveurs .</t>
  </si>
  <si>
    <t>Ho incontrato i camerieri , eccetto i fisici .</t>
  </si>
  <si>
    <t>I met waiters , except physicists .</t>
  </si>
  <si>
    <t>J' ai rencontré les serveurs , sauf les physiciens .</t>
  </si>
  <si>
    <t>Ho incontrato i fisici , eccetto i guardiani .</t>
  </si>
  <si>
    <t>I met physicists , except caretakers .</t>
  </si>
  <si>
    <t>J' ai rencontré les physiciens , sauf les gardiens .</t>
  </si>
  <si>
    <t>Ho incontrato i guardiani , eccetto i fisici .</t>
  </si>
  <si>
    <t>I met caretakers , except physicists .</t>
  </si>
  <si>
    <t>J' ai rencontré les gardiens , sauf les physiciens .</t>
  </si>
  <si>
    <t>Ho incontrato i fisici , eccetto i portieri .</t>
  </si>
  <si>
    <t>I met physicists , except janitors .</t>
  </si>
  <si>
    <t>J' ai rencontré les physiciens , sauf les concierges .</t>
  </si>
  <si>
    <t>Ho incontrato i portieri , eccetto i fisici .</t>
  </si>
  <si>
    <t>I met janitors , except physicists .</t>
  </si>
  <si>
    <t>J' ai rencontré les concierges , sauf les physiciens .</t>
  </si>
  <si>
    <t>Amo i cani , eccetto gli husky .</t>
  </si>
  <si>
    <t>I like dogs , except huskies .</t>
  </si>
  <si>
    <t>J' aime les chiens , sauf les huskies .</t>
  </si>
  <si>
    <t>Amo i bobtail , eccetto i pappagalli .</t>
  </si>
  <si>
    <t>I like bobtails , except parrots .</t>
  </si>
  <si>
    <t>J' aime les bobtails , sauf les perrouquets .</t>
  </si>
  <si>
    <t>Amo i pappagalli , eccetto i bobtail .</t>
  </si>
  <si>
    <t>I like parrots , except bobtails .</t>
  </si>
  <si>
    <t>J' aime les perrouquets , sauf les bobtails .</t>
  </si>
  <si>
    <t>Amo i bobtail , eccetto i conigli .</t>
  </si>
  <si>
    <t>I like bobtails , except rabbits .</t>
  </si>
  <si>
    <t>J' aime les bobtails , sauf les lapins .</t>
  </si>
  <si>
    <t>Amo gli husky , ma non i gatti .</t>
  </si>
  <si>
    <t>I like huskies , but not cats .</t>
  </si>
  <si>
    <t>J' aime les huskies , mais pas les chats .</t>
  </si>
  <si>
    <t>Amo i gatti , ma non gli husky .</t>
  </si>
  <si>
    <t>I like cats , but not huskies .</t>
  </si>
  <si>
    <t>J' aime les chats , mais pas les huskies .</t>
  </si>
  <si>
    <t>Amo gli husky , ma non i cani .</t>
  </si>
  <si>
    <t>I like huskies , but not dogs .</t>
  </si>
  <si>
    <t>J' aime les huskies , mais pas les chiens .</t>
  </si>
  <si>
    <t>Amo i cani , ma non gli husky .</t>
  </si>
  <si>
    <t>I like dogs , but not huskies .</t>
  </si>
  <si>
    <t>J' aime les chiens , mais pas les huskies .</t>
  </si>
  <si>
    <t>Amo i cani , ma non i gatti .</t>
  </si>
  <si>
    <t>I like dogs , but not cats .</t>
  </si>
  <si>
    <t>J' aime les chiens , mais pas les chats .</t>
  </si>
  <si>
    <t>Amo gli husky , ma non i criceti .</t>
  </si>
  <si>
    <t>I like huskies , but not hamsters .</t>
  </si>
  <si>
    <t>J' aime les huskies , mais pas les hamsters .</t>
  </si>
  <si>
    <t>Amo i criceti , ma non gli husky .</t>
  </si>
  <si>
    <t>I like hamsters , but not huskies .</t>
  </si>
  <si>
    <t>J' aime les hamsters , mais pas les huskies .</t>
  </si>
  <si>
    <t>Amo i cani , ma non i criceti .</t>
  </si>
  <si>
    <t>I like dogs , but not hamsters .</t>
  </si>
  <si>
    <t>J' aime les chiens , mais pas les hamsters .</t>
  </si>
  <si>
    <t>Amo gli husky , ma non i pappagalli .</t>
  </si>
  <si>
    <t>I like huskies , but not parrots .</t>
  </si>
  <si>
    <t>J' aime les huskies , mais pas les perrouquets .</t>
  </si>
  <si>
    <t>Amo i pappagalli , ma non gli husky .</t>
  </si>
  <si>
    <t>I like parrots , but not huskies .</t>
  </si>
  <si>
    <t>J' aime les perrouquets , mais pas les huskies .</t>
  </si>
  <si>
    <t>Amo i cani , ma non i pappagalli .</t>
  </si>
  <si>
    <t>I like dogs , but not parrots .</t>
  </si>
  <si>
    <t>J' aime les chiens , mais pas les perrouquets .</t>
  </si>
  <si>
    <t>Amo gli husky , ma non i conigli .</t>
  </si>
  <si>
    <t>I like huskies , but not rabbits .</t>
  </si>
  <si>
    <t>J' aime les huskies , mais pas les lapins .</t>
  </si>
  <si>
    <t>Amo i conigli , ma non gli husky .</t>
  </si>
  <si>
    <t>I like rabbits , but not huskies .</t>
  </si>
  <si>
    <t>J' aime les lapins , mais pas les huskies .</t>
  </si>
  <si>
    <t>Amo i cani , ma non i conigli .</t>
  </si>
  <si>
    <t>I like dogs , but not rabbits .</t>
  </si>
  <si>
    <t>J' aime les chiens , mais pas les lapins .</t>
  </si>
  <si>
    <t>Amo i bobtail , ma non i gatti .</t>
  </si>
  <si>
    <t>I like bobtails , but not cats .</t>
  </si>
  <si>
    <t>J' aime les bobtails , mais pas les chats .</t>
  </si>
  <si>
    <t>Amo i gatti , ma non i bobtail .</t>
  </si>
  <si>
    <t>I like cats , but not bobtails .</t>
  </si>
  <si>
    <t>J' aime les chats , mais pas les bobtails .</t>
  </si>
  <si>
    <t>Amo i bobtail , ma non i cani .</t>
  </si>
  <si>
    <t>I like bobtails , but not dogs .</t>
  </si>
  <si>
    <t>J' aime les bobtails , mais pas les chiens .</t>
  </si>
  <si>
    <t>Amo i cani , ma non i bobtail .</t>
  </si>
  <si>
    <t>I like dogs , but not bobtails .</t>
  </si>
  <si>
    <t>J' aime les chiens , mais pas les bobtails .</t>
  </si>
  <si>
    <t>Amo i bobtail , ma non i criceti .</t>
  </si>
  <si>
    <t>I like bobtails , but not hamsters .</t>
  </si>
  <si>
    <t>J' aime les bobtails , mais pas les hamsters .</t>
  </si>
  <si>
    <t>Amo i criceti , ma non i bobtail .</t>
  </si>
  <si>
    <t>I like hamsters , but not bobtails .</t>
  </si>
  <si>
    <t>J' aime les hamsters , mais pas les bobtails .</t>
  </si>
  <si>
    <t>Amo i bobtail , ma non i pappagalli .</t>
  </si>
  <si>
    <t>I like bobtails , but not parrots .</t>
  </si>
  <si>
    <t>J' aime les bobtails , mais pas les perrouquets .</t>
  </si>
  <si>
    <t>Amo i pappagalli , ma non i bobtail .</t>
  </si>
  <si>
    <t>I like parrots , but not bobtails .</t>
  </si>
  <si>
    <t>J' aime les perrouquets , mais pas les bobtails .</t>
  </si>
  <si>
    <t>Amo i bobtail , ma non i conigli .</t>
  </si>
  <si>
    <t>I like bobtails , but not rabbits .</t>
  </si>
  <si>
    <t>J' aime les bobtails , mais pas les lapins .</t>
  </si>
  <si>
    <t>Amo i conigli , ma non i bobtail .</t>
  </si>
  <si>
    <t>I like rabbits , but not bobtails .</t>
  </si>
  <si>
    <t>J' aime les lapins , mais pas les bobtails .</t>
  </si>
  <si>
    <t>Amo i conigli , eccetto i bobtail .</t>
  </si>
  <si>
    <t>I like rabbits , except bobtails .</t>
  </si>
  <si>
    <t>J' aime les lapins , sauf les bobtails .</t>
  </si>
  <si>
    <t>Amo i bulldog , ma non i gatti .</t>
  </si>
  <si>
    <t>I like bulldogs , but not cats .</t>
  </si>
  <si>
    <t>J' aime les bouledogues , mais pas les chats .</t>
  </si>
  <si>
    <t>Amo i gatti , ma non i bulldog .</t>
  </si>
  <si>
    <t>I like cats , but not bulldogs .</t>
  </si>
  <si>
    <t>J' aime les chats , mais pas les bouledogues .</t>
  </si>
  <si>
    <t>Amo i bulldog , ma non i cani .</t>
  </si>
  <si>
    <t>I like bulldogs , but not dogs .</t>
  </si>
  <si>
    <t>J' aime les bouledogues , mais pas les chiens .</t>
  </si>
  <si>
    <t>Amo i cani , ma non i bulldog .</t>
  </si>
  <si>
    <t>I like dogs , but not bulldogs .</t>
  </si>
  <si>
    <t>J' aime les chiens , mais pas les bouledogues .</t>
  </si>
  <si>
    <t>Amo i bulldog , ma non i criceti .</t>
  </si>
  <si>
    <t>I like bulldogs , but not hamsters .</t>
  </si>
  <si>
    <t>J' aime les bouledogues , mais pas les hamsters .</t>
  </si>
  <si>
    <t>Amo i criceti , ma non i bulldog .</t>
  </si>
  <si>
    <t>I like hamsters , but not bulldogs .</t>
  </si>
  <si>
    <t>J' aime les hamsters , mais pas les bouledogues .</t>
  </si>
  <si>
    <t>Amo i bulldog , ma non i pappagalli .</t>
  </si>
  <si>
    <t>I like bulldogs , but not parrots .</t>
  </si>
  <si>
    <t>J' aime les bouledogues , mais pas les perrouquets .</t>
  </si>
  <si>
    <t>Amo i pappagalli , ma non i bulldog .</t>
  </si>
  <si>
    <t>I like parrots , but not bulldogs .</t>
  </si>
  <si>
    <t>J' aime les perrouquets , mais pas les bouledogues .</t>
  </si>
  <si>
    <t>Amo i bulldog , ma non i conigli .</t>
  </si>
  <si>
    <t>I like bulldogs , but not rabbits .</t>
  </si>
  <si>
    <t>J' aime les bouledogues , mais pas les lapins .</t>
  </si>
  <si>
    <t>Amo i conigli , ma non i bulldog .</t>
  </si>
  <si>
    <t>I like rabbits , but not bulldogs .</t>
  </si>
  <si>
    <t>J' aime les lapins , mais pas les bouledogues .</t>
  </si>
  <si>
    <t>Amo i bassotti , ma non i gatti .</t>
  </si>
  <si>
    <t>I like beagles , but not cats .</t>
  </si>
  <si>
    <t>J' aime les beagles , mais pas les chats .</t>
  </si>
  <si>
    <t>Amo i gatti , ma non i bassotti .</t>
  </si>
  <si>
    <t>I like cats , but not beagles .</t>
  </si>
  <si>
    <t>J' aime les chats , mais pas les beagles .</t>
  </si>
  <si>
    <t>Amo i bassotti , ma non i cani .</t>
  </si>
  <si>
    <t>I like beagles , but not dogs .</t>
  </si>
  <si>
    <t>J' aime les beagles , mais pas les chiens .</t>
  </si>
  <si>
    <t>Amo i cani , ma non i bassotti .</t>
  </si>
  <si>
    <t>I like dogs , but not beagles .</t>
  </si>
  <si>
    <t>J' aime les chiens , mais pas les beagles .</t>
  </si>
  <si>
    <t>Amo i bassotti , ma non i criceti .</t>
  </si>
  <si>
    <t>I like beagles , but not hamsters .</t>
  </si>
  <si>
    <t>J' aime les beagles , mais pas les hamsters .</t>
  </si>
  <si>
    <t>Amo i criceti , ma non i bassotti .</t>
  </si>
  <si>
    <t>I like hamsters , but not beagles .</t>
  </si>
  <si>
    <t>J' aime les hamsters , mais pas les beagles .</t>
  </si>
  <si>
    <t>Amo i bassotti , ma non i pappagalli .</t>
  </si>
  <si>
    <t>I like beagles , but not parrots .</t>
  </si>
  <si>
    <t>J' aime les beagles , mais pas les perrouquets .</t>
  </si>
  <si>
    <t>Amo i pappagalli , ma non i bassotti .</t>
  </si>
  <si>
    <t>I like parrots , but not beagles .</t>
  </si>
  <si>
    <t>J' aime les perrouquets , mais pas les beagles .</t>
  </si>
  <si>
    <t>Amo i bassotti , ma non i conigli .</t>
  </si>
  <si>
    <t>I like beagles , but not rabbits .</t>
  </si>
  <si>
    <t>J' aime les beagles , mais pas les lapins .</t>
  </si>
  <si>
    <t>Amo i conigli , ma non i bassotti .</t>
  </si>
  <si>
    <t>I like rabbits , but not beagles .</t>
  </si>
  <si>
    <t>J' aime les lapins , mais pas les beagles .</t>
  </si>
  <si>
    <t>Amo i pappagalli , ma non i gatti .</t>
  </si>
  <si>
    <t>I like parrots , but not cats .</t>
  </si>
  <si>
    <t>J' aime les perrouquets , mais pas les chats .</t>
  </si>
  <si>
    <t>Amo i gatti , ma non i pappagalli .</t>
  </si>
  <si>
    <t>I like cats , but not parrots .</t>
  </si>
  <si>
    <t>J' aime les chats , mais pas les perrouquets .</t>
  </si>
  <si>
    <t>Amo i pappagalli , ma non gli uccelli .</t>
  </si>
  <si>
    <t>I like parrots , but not birds .</t>
  </si>
  <si>
    <t>J' aime les perrouquets , mais pas les oiseaux .</t>
  </si>
  <si>
    <t>Amo gli uccelli , ma non i pappagalli .</t>
  </si>
  <si>
    <t>I like birds , but not parrots .</t>
  </si>
  <si>
    <t>J' aime les oiseaux , mais pas les perrouquets .</t>
  </si>
  <si>
    <t>Amo gli uccelli , ma non i gatti .</t>
  </si>
  <si>
    <t>I like birds , but not cats .</t>
  </si>
  <si>
    <t>J' aime les oiseaux , mais pas les chats .</t>
  </si>
  <si>
    <t>Amo i pappagalli , ma non i criceti .</t>
  </si>
  <si>
    <t>I like parrots , but not hamsters .</t>
  </si>
  <si>
    <t>J' aime les perrouquets , mais pas les hamsters .</t>
  </si>
  <si>
    <t>Amo i criceti , ma non i pappagalli .</t>
  </si>
  <si>
    <t>I like hamsters , but not parrots .</t>
  </si>
  <si>
    <t>J' aime les hamsters , mais pas les perrouquets .</t>
  </si>
  <si>
    <t>Amo gli uccelli , ma non i criceti .</t>
  </si>
  <si>
    <t>I like birds , but not hamsters .</t>
  </si>
  <si>
    <t>J' aime les oiseaux , mais pas les hamsters .</t>
  </si>
  <si>
    <t>Amo i pappagalli , ma non i maiali .</t>
  </si>
  <si>
    <t>I like parrots , but not pigs .</t>
  </si>
  <si>
    <t>J' aime les perrouquets , mais pas les cochons .</t>
  </si>
  <si>
    <t>Amo i maiali , ma non i pappagalli .</t>
  </si>
  <si>
    <t>I like pigs , but not parrots .</t>
  </si>
  <si>
    <t>J' aime les cochons , mais pas les perrouquets .</t>
  </si>
  <si>
    <t>Amo gli uccelli , ma non i maiali .</t>
  </si>
  <si>
    <t>I like birds , but not pigs .</t>
  </si>
  <si>
    <t>J' aime les oiseaux , mais pas les cochons .</t>
  </si>
  <si>
    <t>Amo i pappagalli , ma non i cani .</t>
  </si>
  <si>
    <t>I like parrots , but not dogs .</t>
  </si>
  <si>
    <t>J' aime les perrouquets , mais pas les chiens .</t>
  </si>
  <si>
    <t>Amo gli uccelli , ma non i cani .</t>
  </si>
  <si>
    <t>I like birds , but not dogs .</t>
  </si>
  <si>
    <t>J' aime les oiseaux , mais pas les chiens .</t>
  </si>
  <si>
    <t>Amo le anatre , ma non i gatti .</t>
  </si>
  <si>
    <t>I like ducks , but not cats .</t>
  </si>
  <si>
    <t>J' aime les canards , mais pas les chats .</t>
  </si>
  <si>
    <t>Amo i gatti , ma non le anatre .</t>
  </si>
  <si>
    <t>I like cats , but not ducks .</t>
  </si>
  <si>
    <t>J' aime les chats , mais pas les canards .</t>
  </si>
  <si>
    <t>Amo le anatre , ma non gli uccelli .</t>
  </si>
  <si>
    <t>I like ducks , but not birds .</t>
  </si>
  <si>
    <t>J' aime les canards , mais pas les oiseaux .</t>
  </si>
  <si>
    <t>Amo gli uccelli , ma non le anatre .</t>
  </si>
  <si>
    <t>I like birds , but not ducks .</t>
  </si>
  <si>
    <t>J' aime les oiseaux , mais pas les canards .</t>
  </si>
  <si>
    <t>Amo le anatre , ma non i criceti .</t>
  </si>
  <si>
    <t>I like ducks , but not hamsters .</t>
  </si>
  <si>
    <t>J' aime les canards , mais pas les hamsters .</t>
  </si>
  <si>
    <t>Amo i criceti , ma non le anatre .</t>
  </si>
  <si>
    <t>I like hamsters , but not ducks .</t>
  </si>
  <si>
    <t>J' aime les hamsters , mais pas les canards .</t>
  </si>
  <si>
    <t>Amo le anatre , ma non i maiali .</t>
  </si>
  <si>
    <t>I like ducks , but not pigs .</t>
  </si>
  <si>
    <t>J' aime les canards , mais pas les cochons .</t>
  </si>
  <si>
    <t>Amo i maiali , ma non le anatre .</t>
  </si>
  <si>
    <t>I like pigs , but not ducks .</t>
  </si>
  <si>
    <t>J' aime les cochons , mais pas les canards .</t>
  </si>
  <si>
    <t>Amo le anatre , ma non i cani .</t>
  </si>
  <si>
    <t>I like ducks , but not dogs .</t>
  </si>
  <si>
    <t>J' aime les canards , mais pas les chiens .</t>
  </si>
  <si>
    <t>Amo i cani , ma non le anatre .</t>
  </si>
  <si>
    <t>I like dogs , but not ducks .</t>
  </si>
  <si>
    <t>J' aime les chiens , mais pas les canards .</t>
  </si>
  <si>
    <t>Amo i merli , ma non i gatti .</t>
  </si>
  <si>
    <t>I like blackbirds , but not cats .</t>
  </si>
  <si>
    <t>J' aime les merles , mais pas les chats .</t>
  </si>
  <si>
    <t>Amo i gatti , ma non i merli .</t>
  </si>
  <si>
    <t>I like cats , but not blackbirds .</t>
  </si>
  <si>
    <t>J' aime les chats , mais pas les merles .</t>
  </si>
  <si>
    <t>Amo i merli , ma non gli uccelli .</t>
  </si>
  <si>
    <t>I like blackbirds , but not birds .</t>
  </si>
  <si>
    <t>J' aime les merles , mais pas les oiseaux .</t>
  </si>
  <si>
    <t>Amo gli uccelli , ma non i merli .</t>
  </si>
  <si>
    <t>I like birds , but not blackbirds .</t>
  </si>
  <si>
    <t>J' aime les oiseaux , mais pas les merles .</t>
  </si>
  <si>
    <t>Amo i merli , ma non i criceti .</t>
  </si>
  <si>
    <t>I like blackbirds , but not hamsters .</t>
  </si>
  <si>
    <t>J' aime les merles , mais pas les hamsters .</t>
  </si>
  <si>
    <t>Amo i criceti , ma non i merli .</t>
  </si>
  <si>
    <t>I like hamsters , but not blackbirds .</t>
  </si>
  <si>
    <t>J' aime les hamsters , mais pas les merles .</t>
  </si>
  <si>
    <t>Amo i merli , ma non i maiali .</t>
  </si>
  <si>
    <t>I like blackbirds , but not pigs .</t>
  </si>
  <si>
    <t>J' aime les merles , mais pas les cochons .</t>
  </si>
  <si>
    <t>Amo i maiali , ma non i merli .</t>
  </si>
  <si>
    <t>I like pigs , but not blackbirds .</t>
  </si>
  <si>
    <t>J' aime les cochons , mais pas les merles .</t>
  </si>
  <si>
    <t>Amo i merli , ma non i cani .</t>
  </si>
  <si>
    <t>I like blackbirds , but not dogs .</t>
  </si>
  <si>
    <t>J' aime les merles , mais pas les chiens .</t>
  </si>
  <si>
    <t>Amo i cani , ma non i merli .</t>
  </si>
  <si>
    <t>I like dogs , but not blackbirds .</t>
  </si>
  <si>
    <t>J' aime les chiens , mais pas les merles .</t>
  </si>
  <si>
    <t>Amo i passeri , ma non i gatti .</t>
  </si>
  <si>
    <t>I like sparrows , but not cats .</t>
  </si>
  <si>
    <t>J' aime les moineaux , mais pas les chats .</t>
  </si>
  <si>
    <t>Amo i gatti , ma non i passeri .</t>
  </si>
  <si>
    <t>I like cats , but not sparrows .</t>
  </si>
  <si>
    <t>J' aime les chats , mais pas les moineaux .</t>
  </si>
  <si>
    <t>Amo i passeri , ma non gli uccelli .</t>
  </si>
  <si>
    <t>I like sparrows , but not birds .</t>
  </si>
  <si>
    <t>J' aime les moineaux , mais pas les oiseaux .</t>
  </si>
  <si>
    <t>Amo gli uccelli , ma non i passeri .</t>
  </si>
  <si>
    <t>I like birds , but not sparrows .</t>
  </si>
  <si>
    <t>J' aime les oiseaux , mais pas les moineaux .</t>
  </si>
  <si>
    <t>Amo i passeri , ma non i criceti .</t>
  </si>
  <si>
    <t>I like sparrows , but not hamsters .</t>
  </si>
  <si>
    <t>J' aime les moineaux , mais pas les hamsters .</t>
  </si>
  <si>
    <t>Amo i criceti , ma non i passeri .</t>
  </si>
  <si>
    <t>I like hamsters , but not sparrows .</t>
  </si>
  <si>
    <t>J' aime les hamsters , mais pas les moineaux .</t>
  </si>
  <si>
    <t>Amo i passeri , ma non i maiali .</t>
  </si>
  <si>
    <t>I like sparrows , but not pigs .</t>
  </si>
  <si>
    <t>J' aime les moineaux , mais pas les cochons .</t>
  </si>
  <si>
    <t>Amo i maiali , ma non i passeri .</t>
  </si>
  <si>
    <t>I like pigs , but not sparrows .</t>
  </si>
  <si>
    <t>J' aime les cochons , mais pas les moineaux .</t>
  </si>
  <si>
    <t>Amo i passeri , ma non i cani .</t>
  </si>
  <si>
    <t>I like sparrows , but not dogs .</t>
  </si>
  <si>
    <t>J' aime les moineaux , mais pas les chiens .</t>
  </si>
  <si>
    <t>Amo i cani , ma non i passeri .</t>
  </si>
  <si>
    <t>I like dogs , but not sparrows .</t>
  </si>
  <si>
    <t>J' aime les chiens , mais pas les moineaux .</t>
  </si>
  <si>
    <t>Amo i cani , eccetto i gatti .</t>
  </si>
  <si>
    <t>I like dogs , except cats .</t>
  </si>
  <si>
    <t>J' aime les chiens , sauf les chats .</t>
  </si>
  <si>
    <t>Amo le Harley-Davidson , ma non le navi .</t>
  </si>
  <si>
    <t>I like Harley-Davidson , but not ships .</t>
  </si>
  <si>
    <t>J' aime les Harley-Davidson , mais pas les navaires .</t>
  </si>
  <si>
    <t>Amo le navi , ma non le Harley-Davidson .</t>
  </si>
  <si>
    <t>I like ships , but not Harley-Davidson .</t>
  </si>
  <si>
    <t>J' aime les navaires , mais pas les Harley-Davidson .</t>
  </si>
  <si>
    <t>Amo le Harley-Davidson , ma non le moto .</t>
  </si>
  <si>
    <t>I like Harley-Davidson , but not motorcycles .</t>
  </si>
  <si>
    <t>J' aime les Harley-Davidson , mais pas les motos .</t>
  </si>
  <si>
    <t>Amo le moto , ma non le Harley-Davidson .</t>
  </si>
  <si>
    <t>I like motorcycles , but not Harley-Davidson .</t>
  </si>
  <si>
    <t>J' aime les motos , mais pas les Harley-Davidson .</t>
  </si>
  <si>
    <t>Amo le Harley-Davidson , ma non le biciclette .</t>
  </si>
  <si>
    <t>I like Harley-Davidson , but not bicycles .</t>
  </si>
  <si>
    <t>J' aime les Harley-Davidson , mais pas les vélos .</t>
  </si>
  <si>
    <t>Amo le biciclette , ma non le Harley-Davidson .</t>
  </si>
  <si>
    <t>I like bicycles , but not Harley-Davidson .</t>
  </si>
  <si>
    <t>J' aime les vélos , mais pas les Harley-Davidson .</t>
  </si>
  <si>
    <t>Amo le moto , ma non le Suzuki .</t>
  </si>
  <si>
    <t>I like motorcycles , but not Suzukis .</t>
  </si>
  <si>
    <t>J' aime les motos , mais pas les Suzukis .</t>
  </si>
  <si>
    <t>Amo le Harley-Davidson , ma non i treni .</t>
  </si>
  <si>
    <t>I like Harley-Davidson , but not trains .</t>
  </si>
  <si>
    <t>J' aime les Harley-Davidson , mais pas les trains .</t>
  </si>
  <si>
    <t>Amo i treni , ma non le Harley-Davidson .</t>
  </si>
  <si>
    <t>I like trains , but not Harley-Davidson .</t>
  </si>
  <si>
    <t>J' aime les trains , mais pas les Harley-Davidson .</t>
  </si>
  <si>
    <t>Amo le moto , ma non gli enduro .</t>
  </si>
  <si>
    <t>I like motorcycles , but not enduros .</t>
  </si>
  <si>
    <t>J' aime les motos , mais pas les enduros .</t>
  </si>
  <si>
    <t>Amo le Harley-Davidson , ma non gli aeroplani .</t>
  </si>
  <si>
    <t>I like Harley-Davidson , but not airplanes .</t>
  </si>
  <si>
    <t>J' aime les Harley-Davidson , mais pas les avions .</t>
  </si>
  <si>
    <t>Amo gli aeroplani , ma non le Harley-Davidson .</t>
  </si>
  <si>
    <t>I like planes , but not Harley-Davidson .</t>
  </si>
  <si>
    <t>J' aime les avions , mais pas les Harley-Davidson .</t>
  </si>
  <si>
    <t>Amo le moto , ma non le Kawasakis .</t>
  </si>
  <si>
    <t>I like motorcycles , but not Kawasakis .</t>
  </si>
  <si>
    <t>J' aime les motos , mais pas les Kawasakis .</t>
  </si>
  <si>
    <t>Amo le Suzuki , ma non le navi .</t>
  </si>
  <si>
    <t>I like Suzukis , but not ships .</t>
  </si>
  <si>
    <t>J' aime les Suzukis , mais pas les navaires .</t>
  </si>
  <si>
    <t>Amo le navi , ma non le Suzuki .</t>
  </si>
  <si>
    <t>I like ships , but not Suzukis .</t>
  </si>
  <si>
    <t>J' aime les navaires , mais pas les Suzukis .</t>
  </si>
  <si>
    <t>Amo le Suzuki , ma non le moto .</t>
  </si>
  <si>
    <t>I like Suzukis , but not motorcycles .</t>
  </si>
  <si>
    <t>J' aime les Suzukis , mais pas les motos .</t>
  </si>
  <si>
    <t>Amo le Suzuki , ma non le biciclette .</t>
  </si>
  <si>
    <t>I like Suzukis , but not bicycles .</t>
  </si>
  <si>
    <t>J' aime les Suzukis , mais pas les vélos .</t>
  </si>
  <si>
    <t>Amo le biciclette , ma non le Suzuki .</t>
  </si>
  <si>
    <t>I like bicycles , but not Suzukis .</t>
  </si>
  <si>
    <t>J' aime les vélos , mais pas les Suzukis .</t>
  </si>
  <si>
    <t>Amo le Suzuki , ma non i treni .</t>
  </si>
  <si>
    <t>I like Suzukis , but not trains .</t>
  </si>
  <si>
    <t>J' aime les Suzukis , mais pas les trains .</t>
  </si>
  <si>
    <t>Amo i treni , ma non le Suzuki .</t>
  </si>
  <si>
    <t>I like trains , but not Suzukis .</t>
  </si>
  <si>
    <t>J' aime les trains , mais pas les Suzukis .</t>
  </si>
  <si>
    <t>Amo le Suzuki , ma non gli aeroplani .</t>
  </si>
  <si>
    <t>I like Suzukis , but not airplanes .</t>
  </si>
  <si>
    <t>J' aime les Suzukis , mais pas les avions .</t>
  </si>
  <si>
    <t>Amo gli aeroplani , ma non le Suzuki .</t>
  </si>
  <si>
    <t>I like planes , but not Suzukis .</t>
  </si>
  <si>
    <t>J' aime les avions , mais pas les Suzukis .</t>
  </si>
  <si>
    <t>Amo gli enduro , ma non le navi .</t>
  </si>
  <si>
    <t>I like enduros , but not ships .</t>
  </si>
  <si>
    <t>J' aime les enduros , mais pas les navaires .</t>
  </si>
  <si>
    <t>Amo le navi , ma non gli enduro .</t>
  </si>
  <si>
    <t>I like ships , but not enduros .</t>
  </si>
  <si>
    <t>J' aime les navaires , mais pas les enduros .</t>
  </si>
  <si>
    <t>Amo gli enduro , ma non le moto .</t>
  </si>
  <si>
    <t>I like enduros , but not motorcycles .</t>
  </si>
  <si>
    <t>J' aime les enduros , mais pas les motos .</t>
  </si>
  <si>
    <t>Amo gli enduro , ma non le biciclette .</t>
  </si>
  <si>
    <t>I like enduros , but not bicycles .</t>
  </si>
  <si>
    <t>J' aime les enduros , mais pas les vélos .</t>
  </si>
  <si>
    <t>Amo le biciclette , ma non gli enduro .</t>
  </si>
  <si>
    <t>I like bicycles , but not enduros .</t>
  </si>
  <si>
    <t>J' aime les vélos , mais pas les enduros .</t>
  </si>
  <si>
    <t>Amo gli enduro , ma non i treni .</t>
  </si>
  <si>
    <t>I like enduros , but not trains .</t>
  </si>
  <si>
    <t>J' aime les enduros , mais pas les trains .</t>
  </si>
  <si>
    <t>Amo i treni , ma non gli enduro .</t>
  </si>
  <si>
    <t>I like trains , but not enduros .</t>
  </si>
  <si>
    <t>J' aime les trains , mais pas les enduros .</t>
  </si>
  <si>
    <t>Amo gli enduro , ma non gli aeroplani .</t>
  </si>
  <si>
    <t>I like enduros , but not airplanes .</t>
  </si>
  <si>
    <t>J' aime les enduros , mais pas les avions .</t>
  </si>
  <si>
    <t>Amo gli aeroplani , ma non gli enduro .</t>
  </si>
  <si>
    <t>I like planes , but not enduros .</t>
  </si>
  <si>
    <t>J' aime les avions , mais pas les enduros .</t>
  </si>
  <si>
    <t>Amo le Kawasakis , ma non le navi .</t>
  </si>
  <si>
    <t>I like Kawasakis , but not ships .</t>
  </si>
  <si>
    <t>J' aime les Kawasakis , mais pas les navaires .</t>
  </si>
  <si>
    <t>Amo le navi , ma non le Kawasakis .</t>
  </si>
  <si>
    <t>I like ships , but not Kawasakis .</t>
  </si>
  <si>
    <t>J' aime les navaires , mais pas les Kawasakis .</t>
  </si>
  <si>
    <t>Amo le Kawasakis , ma non le moto .</t>
  </si>
  <si>
    <t>I like Kawasakis , but not motorcycles .</t>
  </si>
  <si>
    <t>J' aime les Kawasakis , mais pas les motos .</t>
  </si>
  <si>
    <t>Amo le Kawasakis , ma non le biciclette .</t>
  </si>
  <si>
    <t>I like Kawasakis , but not bicycles .</t>
  </si>
  <si>
    <t>J' aime les Kawasakis , mais pas les vélos .</t>
  </si>
  <si>
    <t>Amo le biciclette , ma non le Kawasakis .</t>
  </si>
  <si>
    <t>I like bicycles , but not Kawasakis .</t>
  </si>
  <si>
    <t>J' aime les vélos , mais pas les Kawasakis .</t>
  </si>
  <si>
    <t>Amo le Kawasakis , ma non i treni .</t>
  </si>
  <si>
    <t>I like Kawasakis , but not trains .</t>
  </si>
  <si>
    <t>J' aime les Kawasakis , mais pas les trains .</t>
  </si>
  <si>
    <t>Amo i treni , ma non le Kawasakis .</t>
  </si>
  <si>
    <t>I like trains , but not Kawasakis .</t>
  </si>
  <si>
    <t>J' aime les trains , mais pas les Kawasakis .</t>
  </si>
  <si>
    <t>Amo le Kawasakis , ma non gli aeroplani .</t>
  </si>
  <si>
    <t>I like Kawasakis , but not airplanes .</t>
  </si>
  <si>
    <t>J' aime les Kawasakis , mais pas les avions .</t>
  </si>
  <si>
    <t>Amo gli aeroplani , ma non le Kawasakis .</t>
  </si>
  <si>
    <t>I like planes , but not Kawasakis .</t>
  </si>
  <si>
    <t>J' aime les avions , mais pas les Kawasakis .</t>
  </si>
  <si>
    <t>Amo le camicie , ma non le scarpe .</t>
  </si>
  <si>
    <t>I like shirts , but not shoes .</t>
  </si>
  <si>
    <t>J' aime les chemises , mais pas les chaussures .</t>
  </si>
  <si>
    <t>Amo le scarpe , ma non le camicie .</t>
  </si>
  <si>
    <t>I like shoes , but not shirts .</t>
  </si>
  <si>
    <t>J' aime les chaussures , mais pas les chemises .</t>
  </si>
  <si>
    <t>Amo le camicie , ma non i vestiti .</t>
  </si>
  <si>
    <t>I like shirts , but not clothes .</t>
  </si>
  <si>
    <t>J' aime les chemises , mais pas les vêtements .</t>
  </si>
  <si>
    <t>Amo i vestiti , ma non le camicie .</t>
  </si>
  <si>
    <t>I like clothes , but not shirts .</t>
  </si>
  <si>
    <t>J' aime les vêtements , mais pas les chemises .</t>
  </si>
  <si>
    <t>Amo i vestiti , ma non le scarpe .</t>
  </si>
  <si>
    <t>I like clothes , but not shoes .</t>
  </si>
  <si>
    <t>J' aime les vêtements , mais pas les chaussures .</t>
  </si>
  <si>
    <t>Amo le camicie , ma non i gioielli .</t>
  </si>
  <si>
    <t>I like shirts , but not jewelry .</t>
  </si>
  <si>
    <t>J' aime les chemises , mais pas les bijoux .</t>
  </si>
  <si>
    <t>Amo i gioielli , ma non le camicie .</t>
  </si>
  <si>
    <t>I like jewelry , but not shirts .</t>
  </si>
  <si>
    <t>J' aime les bijoux , mais pas les chemises .</t>
  </si>
  <si>
    <t>Amo i vestiti , ma non i gioielli .</t>
  </si>
  <si>
    <t>I like clothes , but not jewelry .</t>
  </si>
  <si>
    <t>J' aime les vêtements , mais pas les bijoux .</t>
  </si>
  <si>
    <t>Amo le camicie , ma non gli occhiali .</t>
  </si>
  <si>
    <t>I like shirts , but not glasses .</t>
  </si>
  <si>
    <t>J' aime les chemises , mais pas les lunettes .</t>
  </si>
  <si>
    <t>Amo gli occhiali , ma non le camicie .</t>
  </si>
  <si>
    <t>I like glasses , but not shirts .</t>
  </si>
  <si>
    <t>J' aime les lunettes , mais pas les chemises .</t>
  </si>
  <si>
    <t>Amo i vestiti , ma non gli occhiali .</t>
  </si>
  <si>
    <t>I like clothes , but not glasses .</t>
  </si>
  <si>
    <t>J' aime les vêtements , mais pas les lunettes .</t>
  </si>
  <si>
    <t>Amo le camicie , ma non gli orecchini .</t>
  </si>
  <si>
    <t>I like shirts , but not earrings .</t>
  </si>
  <si>
    <t>J' aime les chemises , mais pas les boucles d' oreille .</t>
  </si>
  <si>
    <t>Amo gli orecchini , ma non le camicie .</t>
  </si>
  <si>
    <t>I like earrings , but not shirts .</t>
  </si>
  <si>
    <t>J' aime les boucles d' oreille , mais pas les chemises .</t>
  </si>
  <si>
    <t>Amo i vestiti , ma non gli orecchini .</t>
  </si>
  <si>
    <t>I like clothes , but not earrings .</t>
  </si>
  <si>
    <t>J' aime les vêtements , mais pas les boucles d' oreille .</t>
  </si>
  <si>
    <t>Amo i pantaloni , ma non le scarpe .</t>
  </si>
  <si>
    <t>I like trousers , but not shoes .</t>
  </si>
  <si>
    <t>J' aime les pantalons , mais pas les chaussures .</t>
  </si>
  <si>
    <t>Amo le scarpe , ma non i pantaloni .</t>
  </si>
  <si>
    <t>I like shoes , but not trousers .</t>
  </si>
  <si>
    <t>J' aime les chaussures , mais pas les pantalons .</t>
  </si>
  <si>
    <t>Amo i pantaloni , ma non i vestiti .</t>
  </si>
  <si>
    <t>I like trousers , but not clothes .</t>
  </si>
  <si>
    <t>J' aime les pantalons , mais pas les vêtements .</t>
  </si>
  <si>
    <t>Amo i vestiti , ma non i pantaloni .</t>
  </si>
  <si>
    <t>I like clothes , but not trousers .</t>
  </si>
  <si>
    <t>J' aime les vêtements , mais pas les pantalons .</t>
  </si>
  <si>
    <t>Amo i pantaloni , ma non i gioielli .</t>
  </si>
  <si>
    <t>I like trousers , but not jewelry .</t>
  </si>
  <si>
    <t>J' aime les pantalons , mais pas les bijoux .</t>
  </si>
  <si>
    <t>Amo i gioielli , ma non i pantaloni .</t>
  </si>
  <si>
    <t>I like jewelry , but not trousers .</t>
  </si>
  <si>
    <t>J' aime les bijoux , mais pas les pantalons .</t>
  </si>
  <si>
    <t>Amo i pantaloni , ma non gli occhiali .</t>
  </si>
  <si>
    <t>I like trousers , but not glasses .</t>
  </si>
  <si>
    <t>J' aime les pantalons , mais pas les lunettes .</t>
  </si>
  <si>
    <t>Amo gli occhiali , ma non i pantaloni .</t>
  </si>
  <si>
    <t>I like glasses , but not trousers .</t>
  </si>
  <si>
    <t>J' aime les lunettes , mais pas les pantalons .</t>
  </si>
  <si>
    <t>Amo i pantaloni , ma non gli orecchini .</t>
  </si>
  <si>
    <t>I like trousers , but not earrings .</t>
  </si>
  <si>
    <t>J' aime les pantalons , mais pas les boucles d' oreille .</t>
  </si>
  <si>
    <t>Amo gli orecchini , ma non i pantaloni .</t>
  </si>
  <si>
    <t>I like earrings , but not trousers .</t>
  </si>
  <si>
    <t>J' aime les boucles d' oreille , mais pas les pantalons .</t>
  </si>
  <si>
    <t>Amo le calze , ma non le scarpe .</t>
  </si>
  <si>
    <t>I like socks , but not shoes .</t>
  </si>
  <si>
    <t>J' aime les chausettes , mais pas les chaussures .</t>
  </si>
  <si>
    <t>Amo le scarpe , ma non le calze .</t>
  </si>
  <si>
    <t>I like shoes , but not socks .</t>
  </si>
  <si>
    <t>J' aime les chaussures , mais pas les chausettes .</t>
  </si>
  <si>
    <t>Amo le calze , ma non i vestiti .</t>
  </si>
  <si>
    <t>I like socks , but not clothes .</t>
  </si>
  <si>
    <t>J' aime les chausettes , mais pas les vêtements .</t>
  </si>
  <si>
    <t>Amo i vestiti , ma non le calze .</t>
  </si>
  <si>
    <t>I like clothes , but not socks .</t>
  </si>
  <si>
    <t>J' aime les vêtements , mais pas les chausettes .</t>
  </si>
  <si>
    <t>Amo le calze , ma non i gioielli .</t>
  </si>
  <si>
    <t>I like socks , but not jewelry .</t>
  </si>
  <si>
    <t>J' aime les chausettes , mais pas les bijoux .</t>
  </si>
  <si>
    <t>Amo i gioielli , ma non le calze .</t>
  </si>
  <si>
    <t>I like jewelry , but not socks .</t>
  </si>
  <si>
    <t>J' aime les bijoux , mais pas les chausettes .</t>
  </si>
  <si>
    <t>Amo le calze , ma non gli occhiali .</t>
  </si>
  <si>
    <t>I like socks , but not glasses .</t>
  </si>
  <si>
    <t>J' aime les chausettes , mais pas les lunettes .</t>
  </si>
  <si>
    <t>Amo gli occhiali , ma non le calze .</t>
  </si>
  <si>
    <t>I like glasses , but not socks .</t>
  </si>
  <si>
    <t>J' aime les lunettes , mais pas les chausettes .</t>
  </si>
  <si>
    <t>Amo le calze , ma non gli orecchini .</t>
  </si>
  <si>
    <t>I like socks , but not earrings .</t>
  </si>
  <si>
    <t>J' aime les chausettes , mais pas les boucles d' oreille .</t>
  </si>
  <si>
    <t>Amo gli orecchini , ma non le calze .</t>
  </si>
  <si>
    <t>I like earrings , but not socks .</t>
  </si>
  <si>
    <t>J' aime les boucles d' oreille , mais pas les chausettes .</t>
  </si>
  <si>
    <t>Amo le gonne , ma non le scarpe .</t>
  </si>
  <si>
    <t>I like skirts , but not shoes .</t>
  </si>
  <si>
    <t>J' aime les jupes , mais pas les chaussures .</t>
  </si>
  <si>
    <t>Amo le scarpe , ma non le gonne .</t>
  </si>
  <si>
    <t>I like shoes , but not skirts .</t>
  </si>
  <si>
    <t>J' aime les chaussures , mais pas les jupes .</t>
  </si>
  <si>
    <t>Amo le gonne , ma non i vestiti .</t>
  </si>
  <si>
    <t>I like skirts , but not clothes .</t>
  </si>
  <si>
    <t>J' aime les jupes , mais pas les vêtements .</t>
  </si>
  <si>
    <t>Amo i vestiti , ma non le gonne .</t>
  </si>
  <si>
    <t>I like clothes , but not skirts .</t>
  </si>
  <si>
    <t>J' aime les vêtements , mais pas les jupes .</t>
  </si>
  <si>
    <t>Amo le gonne , ma non i gioielli .</t>
  </si>
  <si>
    <t>I like skirts , but not jewelry .</t>
  </si>
  <si>
    <t>J' aime les jupes , mais pas les bijoux .</t>
  </si>
  <si>
    <t>Amo i gioielli , ma non le gonne .</t>
  </si>
  <si>
    <t>I like jewelry , but not skirts .</t>
  </si>
  <si>
    <t>J' aime les bijoux , mais pas les jupes .</t>
  </si>
  <si>
    <t>Amo le gonne , ma non gli occhiali .</t>
  </si>
  <si>
    <t>I like skirts , but not glasses .</t>
  </si>
  <si>
    <t>J' aime les jupes , mais pas les lunettes .</t>
  </si>
  <si>
    <t>Amo gli occhiali , ma non le gonne .</t>
  </si>
  <si>
    <t>I like glasses , but not skirts .</t>
  </si>
  <si>
    <t>J' aime les lunettes , mais pas les jupes .</t>
  </si>
  <si>
    <t>Amo le gonne , ma non gli orecchini .</t>
  </si>
  <si>
    <t>I like skirts , but not earrings .</t>
  </si>
  <si>
    <t>J' aime les jupes , mais pas les boucles d' oreille .</t>
  </si>
  <si>
    <t>Amo gli orecchini , ma non le gonne .</t>
  </si>
  <si>
    <t>I like earrings , but not skirts .</t>
  </si>
  <si>
    <t>J' aime les boucles d' oreille , mais pas les jupes .</t>
  </si>
  <si>
    <t>Adoro le querce , ma non l' erba .</t>
  </si>
  <si>
    <t>I like oaks , but not grass .</t>
  </si>
  <si>
    <t>J' adore les chênes , mais pas la pelouse .</t>
  </si>
  <si>
    <t>Adoro l' erba , ma non le querce .</t>
  </si>
  <si>
    <t>I like grass , but not oaks .</t>
  </si>
  <si>
    <t>J' adore la pelouse , mais pas les chênes .</t>
  </si>
  <si>
    <t>Adoro le querce , ma non gli alberi .</t>
  </si>
  <si>
    <t>I like oaks , but not trees .</t>
  </si>
  <si>
    <t>J' adore les chênes , mais pas les arbres .</t>
  </si>
  <si>
    <t>Adoro gli alberi , ma non le querce .</t>
  </si>
  <si>
    <t>I like trees , but not oaks .</t>
  </si>
  <si>
    <t>J' adore les arbres , mais pas les chênes .</t>
  </si>
  <si>
    <t>Adoro gli alberi , ma non l' erba .</t>
  </si>
  <si>
    <t>I like trees , but not grass .</t>
  </si>
  <si>
    <t>J' adore les arbres , mais pas la pelouse .</t>
  </si>
  <si>
    <t>Adoro le querce , ma non gli animali .</t>
  </si>
  <si>
    <t>I like oaks , but not animals .</t>
  </si>
  <si>
    <t>J' adore les chênes , mais pas les animaux .</t>
  </si>
  <si>
    <t>Adoro gli animali , ma non le querce .</t>
  </si>
  <si>
    <t>I like animals , but not oaks .</t>
  </si>
  <si>
    <t>J' adore les animaux , mais pas les chênes .</t>
  </si>
  <si>
    <t>Adoro gli alberi , ma non gli animali .</t>
  </si>
  <si>
    <t>I like trees , but not animals .</t>
  </si>
  <si>
    <t>J' adore les arbres , mais pas les animaux .</t>
  </si>
  <si>
    <t>Adoro le querce , ma non i cespugli .</t>
  </si>
  <si>
    <t>I like oaks , but not bushes .</t>
  </si>
  <si>
    <t>J' adore les chênes , mais pas les buissons .</t>
  </si>
  <si>
    <t>Adoro i cespugli , ma non le querce .</t>
  </si>
  <si>
    <t>I like bushes , but not oaks .</t>
  </si>
  <si>
    <t>J' adore les buissons , mais pas les chênes .</t>
  </si>
  <si>
    <t>Adoro gli alberi , ma non i cespugli .</t>
  </si>
  <si>
    <t>I like trees , but not bushes .</t>
  </si>
  <si>
    <t>J' adore les arbres , mais pas les buissons .</t>
  </si>
  <si>
    <t>Adoro le querce , ma non gli arbusti .</t>
  </si>
  <si>
    <t>I like oaks , but not shrubs .</t>
  </si>
  <si>
    <t>J' adore les chênes , mais pas les arbustes .</t>
  </si>
  <si>
    <t>Adoro gli arbusti , ma non le querce .</t>
  </si>
  <si>
    <t>I like shrubs , but not oaks .</t>
  </si>
  <si>
    <t>J' adore les arbustes , mais pas les chênes .</t>
  </si>
  <si>
    <t>Amo le Harley-Davidson , eccetto le navi .</t>
  </si>
  <si>
    <t>I like Harley-Davidson , except ships .</t>
  </si>
  <si>
    <t>J' aime les Harley-Davidson , sauf les navaires .</t>
  </si>
  <si>
    <t>Adoro gli alberi , ma non gli arbusti .</t>
  </si>
  <si>
    <t>I like trees , but not shrubs .</t>
  </si>
  <si>
    <t>J' adore les arbres , mais pas les arbustes .</t>
  </si>
  <si>
    <t>Adoro le betulle , ma non l' erba .</t>
  </si>
  <si>
    <t>I like birches , but not grass .</t>
  </si>
  <si>
    <t>J' adore les bouleaux , mais pas la pelouse .</t>
  </si>
  <si>
    <t>Adoro l' erba , ma non le betulle .</t>
  </si>
  <si>
    <t>I like grass , but not birches .</t>
  </si>
  <si>
    <t>J' adore la pelouse , mais pas les bouleaux .</t>
  </si>
  <si>
    <t>Adoro le betulle , ma non gli alberi .</t>
  </si>
  <si>
    <t>I like birches , but not trees .</t>
  </si>
  <si>
    <t>J' adore les bouleaux , mais pas les arbres .</t>
  </si>
  <si>
    <t>Adoro gli alberi , ma non le betulle .</t>
  </si>
  <si>
    <t>I like trees , but not birches .</t>
  </si>
  <si>
    <t>J' adore les arbres , mais pas les bouleaux .</t>
  </si>
  <si>
    <t>Adoro le betulle , ma non gli animali .</t>
  </si>
  <si>
    <t>I like birches , but not animals .</t>
  </si>
  <si>
    <t>J' adore les bouleaux , mais pas les animaux .</t>
  </si>
  <si>
    <t>Adoro gli animali , ma non le betulle .</t>
  </si>
  <si>
    <t>I like animals , but not birches .</t>
  </si>
  <si>
    <t>J' adore les animaux , mais pas les bouleaux .</t>
  </si>
  <si>
    <t>Amo le navi , eccetto le Harley-Davidson .</t>
  </si>
  <si>
    <t>I like ships , except Harley-Davidson .</t>
  </si>
  <si>
    <t>J' aime les navaires , sauf les Harley-Davidson .</t>
  </si>
  <si>
    <t>Adoro le betulle , ma non i cespugli .</t>
  </si>
  <si>
    <t>I like birches , but not bushes .</t>
  </si>
  <si>
    <t>J' adore les bouleaux , mais pas les buissons .</t>
  </si>
  <si>
    <t>Adoro i cespugli , ma non le betulle .</t>
  </si>
  <si>
    <t>I like bushes , but not birches .</t>
  </si>
  <si>
    <t>J' adore les buissons , mais pas les bouleaux .</t>
  </si>
  <si>
    <t>Adoro le betulle , ma non gli arbusti .</t>
  </si>
  <si>
    <t>I like birches , but not shrubs .</t>
  </si>
  <si>
    <t>J' adore les bouleaux , mais pas les arbustes .</t>
  </si>
  <si>
    <t>Adoro gli arbusti , ma non le betulle .</t>
  </si>
  <si>
    <t>I like shrubs , but not birches .</t>
  </si>
  <si>
    <t>J' adore les arbustes , mais pas les bouleaux .</t>
  </si>
  <si>
    <t>Amo le Harley-Davidson , eccetto le moto .</t>
  </si>
  <si>
    <t>I like Harley-Davidson , except motorcycles .</t>
  </si>
  <si>
    <t>J' aime les Harley-Davidson , sauf les motos .</t>
  </si>
  <si>
    <t>Adoro gli abeti , ma non l' erba .</t>
  </si>
  <si>
    <t>I like firs , but not grass .</t>
  </si>
  <si>
    <t>J' adore les sapins , mais pas la pelouse .</t>
  </si>
  <si>
    <t>Adoro l' erba , ma non gli abeti .</t>
  </si>
  <si>
    <t>I like grass , but not firs .</t>
  </si>
  <si>
    <t>J' adore la pelouse , mais pas les sapins .</t>
  </si>
  <si>
    <t>Adoro gli abeti , ma non gli alberi .</t>
  </si>
  <si>
    <t>I like firs , but not trees .</t>
  </si>
  <si>
    <t>J' adore les sapins , mais pas les arbres .</t>
  </si>
  <si>
    <t>Adoro gli alberi , ma non gli abeti .</t>
  </si>
  <si>
    <t>I like trees , but not firs .</t>
  </si>
  <si>
    <t>J' adore les arbres , mais pas les sapins .</t>
  </si>
  <si>
    <t>Adoro gli abeti , ma non gli animali .</t>
  </si>
  <si>
    <t>I like firs , but not animals .</t>
  </si>
  <si>
    <t>J' adore les sapins , mais pas les animaux .</t>
  </si>
  <si>
    <t>Adoro gli animali , ma non gli abeti .</t>
  </si>
  <si>
    <t>I like animals , but not firs .</t>
  </si>
  <si>
    <t>J' adore les animaux , mais pas les sapins .</t>
  </si>
  <si>
    <t>Amo le moto , eccetto le Harley-Davidson .</t>
  </si>
  <si>
    <t>I like motorcycles , except Harley-Davidson .</t>
  </si>
  <si>
    <t>J' aime les motos , sauf les Harley-Davidson .</t>
  </si>
  <si>
    <t>Adoro gli abeti , ma non i cespugli .</t>
  </si>
  <si>
    <t>I like firs , but not bushes .</t>
  </si>
  <si>
    <t>J' adore les sapins , mais pas les buissons .</t>
  </si>
  <si>
    <t>Adoro i cespugli , ma non gli abeti .</t>
  </si>
  <si>
    <t>I like bushes , but not firs .</t>
  </si>
  <si>
    <t>J' adore les buissons , mais pas les sapins .</t>
  </si>
  <si>
    <t>Adoro gli abeti , ma non gli arbusti .</t>
  </si>
  <si>
    <t>I like firs , but not shrubs .</t>
  </si>
  <si>
    <t>J' adore les sapins , mais pas les arbustes .</t>
  </si>
  <si>
    <t>Adoro gli arbusti , ma non gli abeti .</t>
  </si>
  <si>
    <t>I like shrubs , but not firs .</t>
  </si>
  <si>
    <t>J' adore les arbustes , mais pas les sapins .</t>
  </si>
  <si>
    <t>Adoro i pini , ma non l' erba .</t>
  </si>
  <si>
    <t>I like pines , but not grass .</t>
  </si>
  <si>
    <t>J' adore les pins , mais pas la pelouse .</t>
  </si>
  <si>
    <t>Adoro l' erba , ma non i pini .</t>
  </si>
  <si>
    <t>I like grass , but not pines .</t>
  </si>
  <si>
    <t>J' adore la pelouse , mais pas les pins .</t>
  </si>
  <si>
    <t>Adoro i pini , ma non gli alberi .</t>
  </si>
  <si>
    <t>I like pines , but not trees .</t>
  </si>
  <si>
    <t>J' adore les pins , mais pas les arbres .</t>
  </si>
  <si>
    <t>Adoro gli alberi , ma non i pini .</t>
  </si>
  <si>
    <t>I like trees , but not pines .</t>
  </si>
  <si>
    <t>J' adore les arbres , mais pas les pins .</t>
  </si>
  <si>
    <t>Adoro i pini , ma non gli animali .</t>
  </si>
  <si>
    <t>I like pines , but not animals .</t>
  </si>
  <si>
    <t>J' adore les pins , mais pas les animaux .</t>
  </si>
  <si>
    <t>Adoro gli animali , ma non i pini .</t>
  </si>
  <si>
    <t>I like animals , but not pines .</t>
  </si>
  <si>
    <t>J' adore les animaux , mais pas les pins .</t>
  </si>
  <si>
    <t>Amo le Harley-Davidson , eccetto le biciclette .</t>
  </si>
  <si>
    <t>I like Harley-Davidson , except bicycles .</t>
  </si>
  <si>
    <t>J' aime les Harley-Davidson , sauf les vélos .</t>
  </si>
  <si>
    <t>Adoro i pini , ma non i cespugli .</t>
  </si>
  <si>
    <t>I like pines , but not bushes .</t>
  </si>
  <si>
    <t>J' adore les pins , mais pas les buissons .</t>
  </si>
  <si>
    <t>Adoro i cespugli , ma non i pini .</t>
  </si>
  <si>
    <t>I like bushes , but not pines .</t>
  </si>
  <si>
    <t>J' adore les buissons , mais pas les pins .</t>
  </si>
  <si>
    <t>Adoro i pini , ma non gli arbusti .</t>
  </si>
  <si>
    <t>I like pines , but not shrubs .</t>
  </si>
  <si>
    <t>J' adore les pins , mais pas les arbustes .</t>
  </si>
  <si>
    <t>Adoro gli arbusti , ma non i pini .</t>
  </si>
  <si>
    <t>I like shrubs , but not pines .</t>
  </si>
  <si>
    <t>J' adore les arbustes , mais pas les pins .</t>
  </si>
  <si>
    <t>Amo le biciclette , eccetto le Harley-Davidson .</t>
  </si>
  <si>
    <t>I like bicycles , except Harley-Davidson .</t>
  </si>
  <si>
    <t>J' aime les vélos , sauf les Harley-Davidson .</t>
  </si>
  <si>
    <t>Uso il poliestere , ma non il legno .</t>
  </si>
  <si>
    <t>I use polyester , but not wood .</t>
  </si>
  <si>
    <t>J' utilise le polyester , mais pas le bois .</t>
  </si>
  <si>
    <t>Uso il legno , ma non il poliestere .</t>
  </si>
  <si>
    <t>I use wood , but not polyester .</t>
  </si>
  <si>
    <t>J' utilise le bois , mais pas le polyester .</t>
  </si>
  <si>
    <t>Uso il poliestere , ma non la plastica .</t>
  </si>
  <si>
    <t>I use polyester , but not plastic .</t>
  </si>
  <si>
    <t>J' utilise le polyester , mais pas le plastique .</t>
  </si>
  <si>
    <t>Uso la plastica , ma non il poliestere .</t>
  </si>
  <si>
    <t>I use plastic , but not polyester .</t>
  </si>
  <si>
    <t>J' utilise le plastique , mais pas le polyester .</t>
  </si>
  <si>
    <t>Uso la plastica , ma non il legno .</t>
  </si>
  <si>
    <t>I use plastic , but not wood .</t>
  </si>
  <si>
    <t>J' utilise le plastique , mais pas le bois .</t>
  </si>
  <si>
    <t>Uso il poliestere , ma non il cotone .</t>
  </si>
  <si>
    <t>I use polyester , but not cotton .</t>
  </si>
  <si>
    <t>J' utilise le polyester , mais pas le coton .</t>
  </si>
  <si>
    <t>Uso il cotone , ma non il poliestere .</t>
  </si>
  <si>
    <t>I use cotton , but not polyester .</t>
  </si>
  <si>
    <t>J' utilise le coton , mais pas le polyester .</t>
  </si>
  <si>
    <t>Uso la plastica , ma non il cotone .</t>
  </si>
  <si>
    <t>I use plastic , but not cotton .</t>
  </si>
  <si>
    <t>J' utilise le plastique , mais pas le coton .</t>
  </si>
  <si>
    <t>Uso il poliestere , ma non il vetro .</t>
  </si>
  <si>
    <t>I use polyester , but not glass .</t>
  </si>
  <si>
    <t>J' utilise le polyester , mais pas le verre .</t>
  </si>
  <si>
    <t>Uso il vetro , ma non il poliestere .</t>
  </si>
  <si>
    <t>I use glass , but not polyester .</t>
  </si>
  <si>
    <t>J' utilise le verre , mais pas le polyester .</t>
  </si>
  <si>
    <t>Uso la plastica , ma non il vetro .</t>
  </si>
  <si>
    <t>I use plastic , but not glass .</t>
  </si>
  <si>
    <t>J' utilise le plastique , mais pas le verre .</t>
  </si>
  <si>
    <t>Uso il poliestere , ma non il cuoio .</t>
  </si>
  <si>
    <t>I use polyester , but not leather .</t>
  </si>
  <si>
    <t>J' utilise le polyester , mais pas le cuir .</t>
  </si>
  <si>
    <t>Uso il cuoio , ma non il poliestere .</t>
  </si>
  <si>
    <t>I use leather , but not polyester .</t>
  </si>
  <si>
    <t>J' utilise le cuir , mais pas le polyester .</t>
  </si>
  <si>
    <t>Uso la plastica , ma non il cuoio .</t>
  </si>
  <si>
    <t>I use plastic , but not leather .</t>
  </si>
  <si>
    <t>J' utilise le plastique , mais pas le cuir .</t>
  </si>
  <si>
    <t>Uso il nylon , ma non il legno .</t>
  </si>
  <si>
    <t>I use nylon , but not wood .</t>
  </si>
  <si>
    <t>J' utilise le nylon , mais pas le bois .</t>
  </si>
  <si>
    <t>Uso il legno , ma non il nylon .</t>
  </si>
  <si>
    <t>I use wood , but not nylon .</t>
  </si>
  <si>
    <t>J' utilise le bois , mais pas le nylon .</t>
  </si>
  <si>
    <t>Uso il nylon , ma non la plastica .</t>
  </si>
  <si>
    <t>I use nylon , but not plastic .</t>
  </si>
  <si>
    <t>J' utilise le nylon , mais pas le plastique .</t>
  </si>
  <si>
    <t>Uso la plastica , ma non il nylon .</t>
  </si>
  <si>
    <t>I use plastic , but not nylon .</t>
  </si>
  <si>
    <t>J' utilise le plastique , mais pas le nylon .</t>
  </si>
  <si>
    <t>Uso il nylon , ma non il cotone .</t>
  </si>
  <si>
    <t>I use nylon , but not cotton .</t>
  </si>
  <si>
    <t>J' utilise le nylon , mais pas le coton .</t>
  </si>
  <si>
    <t>Uso il cotone , ma non il nylon .</t>
  </si>
  <si>
    <t>I use cotton , but not nylon .</t>
  </si>
  <si>
    <t>J' utilise le coton , mais pas le nylon .</t>
  </si>
  <si>
    <t>Amo le moto , eccetto le Suzuki .</t>
  </si>
  <si>
    <t>I like motorcycles , except Suzukis .</t>
  </si>
  <si>
    <t>J' aime les motos , sauf les Suzukis .</t>
  </si>
  <si>
    <t>Uso il nylon , ma non il vetro .</t>
  </si>
  <si>
    <t>I use nylon , but not glass .</t>
  </si>
  <si>
    <t>J' utilise le nylon , mais pas le verre .</t>
  </si>
  <si>
    <t>Uso il vetro , ma non il nylon .</t>
  </si>
  <si>
    <t>I use glass , but not nylon .</t>
  </si>
  <si>
    <t>J' utilise le verre , mais pas le nylon .</t>
  </si>
  <si>
    <t>Uso il nylon , ma non il cuoio .</t>
  </si>
  <si>
    <t>I use nylon , but not leather .</t>
  </si>
  <si>
    <t>J' utilise le nylon , mais pas le cuir .</t>
  </si>
  <si>
    <t>Uso il cuoio , ma non il nylon .</t>
  </si>
  <si>
    <t>I use leather , but not nylon .</t>
  </si>
  <si>
    <t>J' utilise le cuir , mais pas le nylon .</t>
  </si>
  <si>
    <t>Amo le Harley-Davidson , eccetto i treni .</t>
  </si>
  <si>
    <t>I like Harley-Davidson , except trains .</t>
  </si>
  <si>
    <t>J' aime les Harley-Davidson , sauf les trains .</t>
  </si>
  <si>
    <t>Uso il vinile , ma non il legno .</t>
  </si>
  <si>
    <t>I use vinyl , but not wood .</t>
  </si>
  <si>
    <t>J' utilise le vinyle , mais pas le bois .</t>
  </si>
  <si>
    <t>Uso il legno , ma non il vinile .</t>
  </si>
  <si>
    <t>I use wood , but not vinyl .</t>
  </si>
  <si>
    <t>J' utilise le bois , mais pas le vinyle .</t>
  </si>
  <si>
    <t>Uso il vinile , ma non la plastica .</t>
  </si>
  <si>
    <t>I use vinyl , but not plastic .</t>
  </si>
  <si>
    <t>J' utilise le vinyle , mais pas le plastique .</t>
  </si>
  <si>
    <t>Uso la plastica , ma non il vinile .</t>
  </si>
  <si>
    <t>I use plastic , but not vinyl .</t>
  </si>
  <si>
    <t>J' utilise le plastique , mais pas le vinyle .</t>
  </si>
  <si>
    <t>Uso il vinile , ma non il cotone .</t>
  </si>
  <si>
    <t>I use vinyl , but not cotton .</t>
  </si>
  <si>
    <t>J' utilise le vinyle , mais pas le coton .</t>
  </si>
  <si>
    <t>Uso il cotone , ma non il vinile .</t>
  </si>
  <si>
    <t>I use cotton , but not vinyl .</t>
  </si>
  <si>
    <t>J' utilise le coton , mais pas le vinyle .</t>
  </si>
  <si>
    <t>Amo i treni , eccetto le Harley-Davidson .</t>
  </si>
  <si>
    <t>I like trains , except Harley-Davidson .</t>
  </si>
  <si>
    <t>J' aime les trains , sauf les Harley-Davidson .</t>
  </si>
  <si>
    <t>Uso il vinile , ma non il vetro .</t>
  </si>
  <si>
    <t>I use vinyl , but not glass .</t>
  </si>
  <si>
    <t>J' utilise le vinyle , mais pas le verre .</t>
  </si>
  <si>
    <t>Uso il vetro , ma non il vinile .</t>
  </si>
  <si>
    <t>I use glass , but not vinyl .</t>
  </si>
  <si>
    <t>J' utilise le verre , mais pas le vinyle .</t>
  </si>
  <si>
    <t>Uso il vinile , ma non il cuoio .</t>
  </si>
  <si>
    <t>I use vinyl , but not leather .</t>
  </si>
  <si>
    <t>J' utilise le vinyle , mais pas le cuir .</t>
  </si>
  <si>
    <t>Uso il cuoio , ma non il vinile .</t>
  </si>
  <si>
    <t>I use leather , but not vinyl .</t>
  </si>
  <si>
    <t>J' utilise le cuir , mais pas le vinyle .</t>
  </si>
  <si>
    <t>Uso il PVC , ma non il legno .</t>
  </si>
  <si>
    <t>I use PVC , but not wood .</t>
  </si>
  <si>
    <t>J' utilise le PVC , mais pas le bois .</t>
  </si>
  <si>
    <t>Uso il legno , ma non il PVC .</t>
  </si>
  <si>
    <t>I use wood , but not PVC .</t>
  </si>
  <si>
    <t>J' utilise le bois , mais pas le PVC .</t>
  </si>
  <si>
    <t>Uso il PVC , ma non la plastica .</t>
  </si>
  <si>
    <t>I use PVC , but not plastic .</t>
  </si>
  <si>
    <t>J' utilise le PVC , mais pas le plastique .</t>
  </si>
  <si>
    <t>Uso la plastica , ma non il PVC .</t>
  </si>
  <si>
    <t>I use plastic , but not PVC .</t>
  </si>
  <si>
    <t>J' utilise le plastique , mais pas le PVC .</t>
  </si>
  <si>
    <t>Uso il PVC , ma non il cotone .</t>
  </si>
  <si>
    <t>I use PVC , but not cotton .</t>
  </si>
  <si>
    <t>J' utilise le PVC , mais pas le coton .</t>
  </si>
  <si>
    <t>Uso il cotone , ma non il PVC .</t>
  </si>
  <si>
    <t>I use cotton , but not PVC .</t>
  </si>
  <si>
    <t>J' utilise le coton , mais pas le PVC .</t>
  </si>
  <si>
    <t>Uso il PVC , ma non il vetro .</t>
  </si>
  <si>
    <t>I use PVC , but not glass .</t>
  </si>
  <si>
    <t>J' utilise le PVC , mais pas le verre .</t>
  </si>
  <si>
    <t>Uso il vetro , ma non il PVC .</t>
  </si>
  <si>
    <t>I use glass , but not PVC .</t>
  </si>
  <si>
    <t>J' utilise le verre , mais pas le PVC .</t>
  </si>
  <si>
    <t>Uso il PVC , ma non il cuoio .</t>
  </si>
  <si>
    <t>I use PVC , but not leather .</t>
  </si>
  <si>
    <t>J' utilise le PVC , mais pas le cuir .</t>
  </si>
  <si>
    <t>Uso il cuoio , ma non il PVC .</t>
  </si>
  <si>
    <t>I use leather , but not PVC .</t>
  </si>
  <si>
    <t>J' utilise le cuir , mais pas le PVC .</t>
  </si>
  <si>
    <t>Amo le moto , eccetto gli enduro .</t>
  </si>
  <si>
    <t>I like motorcycles , except enduros .</t>
  </si>
  <si>
    <t>J' aime les motos , sauf les enduros .</t>
  </si>
  <si>
    <t>Apprezzo le sedie , ma non le posate .</t>
  </si>
  <si>
    <t>I like chairs , but not cutlery .</t>
  </si>
  <si>
    <t>J' apprécie les chaises , mais pas les couverts .</t>
  </si>
  <si>
    <t>Apprezzo le posate , ma non le sedie .</t>
  </si>
  <si>
    <t>I like cutlery , but not chairs .</t>
  </si>
  <si>
    <t>J' apprécie les couverts , mais pas les chaises .</t>
  </si>
  <si>
    <t>Apprezzo le sedie , ma non i mobili .</t>
  </si>
  <si>
    <t>I like chairs , but not furniture .</t>
  </si>
  <si>
    <t>J' apprécie les chaises , mais pas les meubles .</t>
  </si>
  <si>
    <t>Apprezzo i mobili , ma non le sedie .</t>
  </si>
  <si>
    <t>I like furniture , but not chairs .</t>
  </si>
  <si>
    <t>J' apprécie les meubles , mais pas les chaises .</t>
  </si>
  <si>
    <t>Apprezzo i mobili , ma non le posate .</t>
  </si>
  <si>
    <t>I like furniture , but not cutlery .</t>
  </si>
  <si>
    <t>J' apprécie les meubles , mais pas les couverts .</t>
  </si>
  <si>
    <t>Apprezzo le sedie , ma non i dipinti .</t>
  </si>
  <si>
    <t>I like chairs , but not paintings .</t>
  </si>
  <si>
    <t>J' apprécie les chaises , mais pas les peintures .</t>
  </si>
  <si>
    <t>Apprezzo i dipinti , ma non le sedie .</t>
  </si>
  <si>
    <t>I like paintings , but not chairs .</t>
  </si>
  <si>
    <t>J' apprécie les peintures , mais pas les chaises .</t>
  </si>
  <si>
    <t>Amo le Harley-Davidson , eccetto gli aeroplani .</t>
  </si>
  <si>
    <t>I like Harley-Davidson , except airplanes .</t>
  </si>
  <si>
    <t>J' aime les Harley-Davidson , sauf les avions .</t>
  </si>
  <si>
    <t>Apprezzo i mobili , ma non i dipinti .</t>
  </si>
  <si>
    <t>I like furniture , but not paintings .</t>
  </si>
  <si>
    <t>J' apprécie les meubles , mais pas les peintures .</t>
  </si>
  <si>
    <t>Apprezzo le sedie , ma non la carta da parati .</t>
  </si>
  <si>
    <t>I like chairs , but not wallpaper .</t>
  </si>
  <si>
    <t>J' apprécie les chaises , mais pas le papier peint .</t>
  </si>
  <si>
    <t>Apprezzo la carta da parati , ma non le sedie .</t>
  </si>
  <si>
    <t>I like wallpaper , but not chairs .</t>
  </si>
  <si>
    <t>J' apprécie le papier peint , mais pas les chaises .</t>
  </si>
  <si>
    <t>Apprezzo i mobili , ma non la carta da parati .</t>
  </si>
  <si>
    <t>I like furniture , but not wallpaper .</t>
  </si>
  <si>
    <t>J' apprécie les meubles , mais pas le papier peint .</t>
  </si>
  <si>
    <t>Apprezzo le sedie , ma non il parquet .</t>
  </si>
  <si>
    <t>I like chairs , but not parquet .</t>
  </si>
  <si>
    <t>J' apprécie les chaises , mais pas le parquet .</t>
  </si>
  <si>
    <t>Apprezzo il parquet , ma non le sedie .</t>
  </si>
  <si>
    <t>I like parquet , but not chairs .</t>
  </si>
  <si>
    <t>J' apprécie le parquet , mais pas les chaises .</t>
  </si>
  <si>
    <t>Amo gli aeroplani , eccetto le Harley-Davidson .</t>
  </si>
  <si>
    <t>I like planes , except Harley-Davidson .</t>
  </si>
  <si>
    <t>J' aime les avions , sauf les Harley-Davidson .</t>
  </si>
  <si>
    <t>Apprezzo i mobili , ma non il parquet .</t>
  </si>
  <si>
    <t>I like furniture , but not parquet .</t>
  </si>
  <si>
    <t>J' apprécie les meubles , mais pas le parquet .</t>
  </si>
  <si>
    <t>Apprezzo i tavoli , ma non le posate .</t>
  </si>
  <si>
    <t>I like tables , but not cutlery .</t>
  </si>
  <si>
    <t>J' apprécie les tables , mais pas les couverts .</t>
  </si>
  <si>
    <t>Apprezzo le posate , ma non i tavoli .</t>
  </si>
  <si>
    <t>I like cutlery , but not tables .</t>
  </si>
  <si>
    <t>J' apprécie les couverts , mais pas les tables .</t>
  </si>
  <si>
    <t>Apprezzo i tavoli , ma non i mobili .</t>
  </si>
  <si>
    <t>I like tables , but not furniture .</t>
  </si>
  <si>
    <t>J' apprécie les tables , mais pas les meubles .</t>
  </si>
  <si>
    <t>Apprezzo i mobili , ma non i tavoli .</t>
  </si>
  <si>
    <t>I like furniture , but not tables .</t>
  </si>
  <si>
    <t>J' apprécie les meubles , mais pas les tables .</t>
  </si>
  <si>
    <t>Apprezzo i tavoli , ma non i dipinti .</t>
  </si>
  <si>
    <t>I like tables , but not paintings .</t>
  </si>
  <si>
    <t>J' apprécie les tables , mais pas les peintures .</t>
  </si>
  <si>
    <t>Apprezzo i dipinti , ma non i tavoli .</t>
  </si>
  <si>
    <t>I like paintings , but not tables .</t>
  </si>
  <si>
    <t>J' apprécie les peintures , mais pas les tables .</t>
  </si>
  <si>
    <t>Apprezzo i tavoli , ma non la carta da parati .</t>
  </si>
  <si>
    <t>I like tables , but not wallpaper .</t>
  </si>
  <si>
    <t>J' apprécie les tables , mais pas le papier peint .</t>
  </si>
  <si>
    <t>Apprezzo la carta da parati , ma non i tavoli .</t>
  </si>
  <si>
    <t>I like wallpaper , but not tables .</t>
  </si>
  <si>
    <t>J' apprécie le papier peint , mais pas les tables .</t>
  </si>
  <si>
    <t>Apprezzo i tavoli , ma non il parquet .</t>
  </si>
  <si>
    <t>I like tables , but not parquet .</t>
  </si>
  <si>
    <t>J' apprécie les tables , mais pas le parquet .</t>
  </si>
  <si>
    <t>Apprezzo il parquet , ma non i tavoli .</t>
  </si>
  <si>
    <t>I like parquet , but not tables .</t>
  </si>
  <si>
    <t>J' apprécie le parquet , mais pas les tables .</t>
  </si>
  <si>
    <t>Apprezzo i guardaroba , ma non le posate .</t>
  </si>
  <si>
    <t>I like wardrobes , but not cutlery .</t>
  </si>
  <si>
    <t>J' apprécie les armoires , mais pas les couverts .</t>
  </si>
  <si>
    <t>Apprezzo le posate , ma non i guardaroba .</t>
  </si>
  <si>
    <t>I like cutlery , but not wardrobes .</t>
  </si>
  <si>
    <t>J' apprécie les couverts , mais pas les armoires .</t>
  </si>
  <si>
    <t>Apprezzo i guardaroba , ma non i mobili .</t>
  </si>
  <si>
    <t>I like wardrobes , but not furniture .</t>
  </si>
  <si>
    <t>J' apprécie les armoires , mais pas les meubles .</t>
  </si>
  <si>
    <t>Apprezzo i mobili , ma non i guardaroba .</t>
  </si>
  <si>
    <t>I like furniture , but not wardrobes .</t>
  </si>
  <si>
    <t>J' apprécie les meubles , mais pas les armoires .</t>
  </si>
  <si>
    <t>Apprezzo i guardaroba , ma non i dipinti .</t>
  </si>
  <si>
    <t>I like wardrobes , but not paintings .</t>
  </si>
  <si>
    <t>J' apprécie les armoires , mais pas les peintures .</t>
  </si>
  <si>
    <t>Apprezzo i dipinti , ma non i guardaroba .</t>
  </si>
  <si>
    <t>I like paintings , but not wardrobes .</t>
  </si>
  <si>
    <t>J' apprécie les peintures , mais pas les armoires .</t>
  </si>
  <si>
    <t>Amo le moto , eccetto le Kawasakis .</t>
  </si>
  <si>
    <t>I like motorcycles , except Kawasakis .</t>
  </si>
  <si>
    <t>J' aime les motos , sauf les Kawasakis .</t>
  </si>
  <si>
    <t>Apprezzo i guardaroba , ma non la carta da parati .</t>
  </si>
  <si>
    <t>I like wardrobes , but not wallpaper .</t>
  </si>
  <si>
    <t>J' apprécie les armoires , mais pas le papier peint .</t>
  </si>
  <si>
    <t>Apprezzo la carta da parati , ma non i guardaroba .</t>
  </si>
  <si>
    <t>I like wallpaper , but not wardrobes .</t>
  </si>
  <si>
    <t>J' apprécie le papier peint , mais pas les armoires .</t>
  </si>
  <si>
    <t>Apprezzo i guardaroba , ma non il parquet .</t>
  </si>
  <si>
    <t>I like wardrobes , but not parquet .</t>
  </si>
  <si>
    <t>J' apprécie les armoires , mais pas le parquet .</t>
  </si>
  <si>
    <t>Apprezzo il parquet , ma non i guardaroba .</t>
  </si>
  <si>
    <t>I like parquet , but not wardrobes .</t>
  </si>
  <si>
    <t>J' apprécie le parquet , mais pas les armoires .</t>
  </si>
  <si>
    <t>Apprezzo i letti , ma non le posate .</t>
  </si>
  <si>
    <t>I like beds , but not cutlery .</t>
  </si>
  <si>
    <t>J' apprécie les lits , mais pas les couverts .</t>
  </si>
  <si>
    <t>Apprezzo le posate , ma non i letti .</t>
  </si>
  <si>
    <t>I like cutlery , but not beds .</t>
  </si>
  <si>
    <t>J' apprécie les couverts , mais pas les lits .</t>
  </si>
  <si>
    <t>Apprezzo i letti , ma non i mobili .</t>
  </si>
  <si>
    <t>I like beds , but not furniture .</t>
  </si>
  <si>
    <t>J' apprécie les lits , mais pas les meubles .</t>
  </si>
  <si>
    <t>Apprezzo i mobili , ma non i letti .</t>
  </si>
  <si>
    <t>I like furniture , but not beds .</t>
  </si>
  <si>
    <t>J' apprécie les meubles , mais pas les lits .</t>
  </si>
  <si>
    <t>Apprezzo i letti , ma non i dipinti .</t>
  </si>
  <si>
    <t>I like beds , but not paintings .</t>
  </si>
  <si>
    <t>J' apprécie les lits , mais pas les peintures .</t>
  </si>
  <si>
    <t>Apprezzo i dipinti , ma non i letti .</t>
  </si>
  <si>
    <t>I like paintings , but not beds .</t>
  </si>
  <si>
    <t>J' apprécie les peintures , mais pas les lits .</t>
  </si>
  <si>
    <t>Apprezzo i letti , ma non la carta da parati .</t>
  </si>
  <si>
    <t>I like beds , but not wallpaper .</t>
  </si>
  <si>
    <t>J' apprécie les lits , mais pas le papier peint .</t>
  </si>
  <si>
    <t>Apprezzo la carta da parati , ma non i letti .</t>
  </si>
  <si>
    <t>I like wallpaper , but not beds .</t>
  </si>
  <si>
    <t>J' apprécie le papier peint , mais pas les lits .</t>
  </si>
  <si>
    <t>Apprezzo i letti , ma non il parquet .</t>
  </si>
  <si>
    <t>I like beds , but not parquet .</t>
  </si>
  <si>
    <t>J' apprécie les lits , mais pas le parquet .</t>
  </si>
  <si>
    <t>Apprezzo il parquet , ma non i letti .</t>
  </si>
  <si>
    <t>I like parquet , but not beds .</t>
  </si>
  <si>
    <t>J' apprécie le parquet , mais pas les lits .</t>
  </si>
  <si>
    <t>Apprezzo il Merlot , ma non la coca cola .</t>
  </si>
  <si>
    <t>I like Merlot , but not coca-cola .</t>
  </si>
  <si>
    <t>J' apprécie le Merlot , mais pas le coca cola .</t>
  </si>
  <si>
    <t>Apprezzo la coca cola , ma non il Merlot .</t>
  </si>
  <si>
    <t>I like coca-cola , but not Merlot .</t>
  </si>
  <si>
    <t>J' apprécie le coca cola , mais pas le Merlot .</t>
  </si>
  <si>
    <t>Apprezzo il Merlot , ma non il vino .</t>
  </si>
  <si>
    <t>I like Merlot , but not wine .</t>
  </si>
  <si>
    <t>J' apprécie le Merlot , mais pas le vin .</t>
  </si>
  <si>
    <t>Apprezzo il vino , ma non il Merlot .</t>
  </si>
  <si>
    <t>I like wine , but not Merlot .</t>
  </si>
  <si>
    <t>J' apprécie le vin , mais pas le Merlot .</t>
  </si>
  <si>
    <t>Apprezzo il vino , ma non la coca cola .</t>
  </si>
  <si>
    <t>I like wine , but not coca-cola .</t>
  </si>
  <si>
    <t>J' apprécie le vin , mais pas le coca cola .</t>
  </si>
  <si>
    <t>Apprezzo il Merlot , ma non l' acqua .</t>
  </si>
  <si>
    <t>I like Merlot , but not water .</t>
  </si>
  <si>
    <t>J' apprécie le Merlot , mais pas l' eau .</t>
  </si>
  <si>
    <t>Apprezzo l' acqua , ma non il Merlot .</t>
  </si>
  <si>
    <t>I like water , but not Merlot .</t>
  </si>
  <si>
    <t>J' apprécie l' eau , mais pas le Merlot .</t>
  </si>
  <si>
    <t>Apprezzo il vino , ma non l' acqua .</t>
  </si>
  <si>
    <t>I like wine , but not water .</t>
  </si>
  <si>
    <t>J' apprécie le vin , mais pas l' eau .</t>
  </si>
  <si>
    <t>Apprezzo il Merlot , ma non la sprite .</t>
  </si>
  <si>
    <t>I like Merlot , but not sprite .</t>
  </si>
  <si>
    <t>J' apprécie le Merlot , mais pas la sprite .</t>
  </si>
  <si>
    <t>Apprezzo la sprite , ma non il Merlot .</t>
  </si>
  <si>
    <t>I like sprite , but not Merlot .</t>
  </si>
  <si>
    <t>J' apprécie la sprite , mais pas le Merlot .</t>
  </si>
  <si>
    <t>Apprezzo il vino , ma non la sprite .</t>
  </si>
  <si>
    <t>I like wine , but not sprite .</t>
  </si>
  <si>
    <t>J' apprécie le vin , mais pas la sprite .</t>
  </si>
  <si>
    <t>Apprezzo il Merlot , ma non la birra .</t>
  </si>
  <si>
    <t>I like Merlot , but not beer .</t>
  </si>
  <si>
    <t>J' apprécie le Merlot , mais pas la bière .</t>
  </si>
  <si>
    <t>Apprezzo la birra , ma non il Merlot .</t>
  </si>
  <si>
    <t>I like beer , but not Merlot .</t>
  </si>
  <si>
    <t>J' apprécie la bière , mais pas le Merlot .</t>
  </si>
  <si>
    <t>Apprezzo il vino , ma non la birra .</t>
  </si>
  <si>
    <t>I like wine , but not beer .</t>
  </si>
  <si>
    <t>J' apprécie le vin , mais pas la bière .</t>
  </si>
  <si>
    <t>Apprezzo lo Chardonnay , ma non la coca cola .</t>
  </si>
  <si>
    <t>I like Chardonnay , but not coca-cola .</t>
  </si>
  <si>
    <t>J' apprécie le Chardonnay , mais pas le coca cola .</t>
  </si>
  <si>
    <t>Apprezzo la coca cola , ma non lo Chardonnay .</t>
  </si>
  <si>
    <t>I like coca-cola , but not Chardonnay .</t>
  </si>
  <si>
    <t>J' apprécie le coca cola , mais pas le Chardonnay .</t>
  </si>
  <si>
    <t>Apprezzo lo Chardonnay , ma non il vino .</t>
  </si>
  <si>
    <t>I like Chardonnay , but not wine .</t>
  </si>
  <si>
    <t>J' apprécie le Chardonnay , mais pas le vin .</t>
  </si>
  <si>
    <t>Apprezzo il vino , ma non lo Chardonnay .</t>
  </si>
  <si>
    <t>I like wine , but not Chardonnay .</t>
  </si>
  <si>
    <t>J' apprécie le vin , mais pas le Chardonnay .</t>
  </si>
  <si>
    <t>Apprezzo lo Chardonnay , ma non l' acqua .</t>
  </si>
  <si>
    <t>I like Chardonnay , but not water .</t>
  </si>
  <si>
    <t>J' apprécie le Chardonnay , mais pas l' eau .</t>
  </si>
  <si>
    <t>Apprezzo l' acqua , ma non lo Chardonnay .</t>
  </si>
  <si>
    <t>I like water , but not Chardonnay .</t>
  </si>
  <si>
    <t>J' apprécie l' eau , mais pas le Chardonnay .</t>
  </si>
  <si>
    <t>Apprezzo lo Chardonnay , ma non la sprite .</t>
  </si>
  <si>
    <t>I like Chardonnay , but not sprite .</t>
  </si>
  <si>
    <t>J' apprécie le Chardonnay , mais pas la sprite .</t>
  </si>
  <si>
    <t>Apprezzo la sprite , ma non lo Chardonnay .</t>
  </si>
  <si>
    <t>I like sprite , but not Chardonnay .</t>
  </si>
  <si>
    <t>J' apprécie la sprite , mais pas le Chardonnay .</t>
  </si>
  <si>
    <t>Apprezzo lo Chardonnay , ma non la birra .</t>
  </si>
  <si>
    <t>I like Chardonnay , but not beer .</t>
  </si>
  <si>
    <t>J' apprécie le Chardonnay , mais pas la bière .</t>
  </si>
  <si>
    <t>Apprezzo la birra , ma non lo Chardonnay .</t>
  </si>
  <si>
    <t>I like beer , but not Chardonnay .</t>
  </si>
  <si>
    <t>J' apprécie la bière , mais pas le Chardonnay .</t>
  </si>
  <si>
    <t>Apprezzo il Chianti , ma non la coca cola .</t>
  </si>
  <si>
    <t>I like Chianti , but not coca-cola .</t>
  </si>
  <si>
    <t>J' apprécie le Chianti , mais pas le coca cola .</t>
  </si>
  <si>
    <t>Apprezzo la coca cola , ma non il Chianti .</t>
  </si>
  <si>
    <t>I like coca-cola , but not Chianti .</t>
  </si>
  <si>
    <t>J' apprécie le coca cola , mais pas le Chianti .</t>
  </si>
  <si>
    <t>Apprezzo il Chianti , ma non il vino .</t>
  </si>
  <si>
    <t>I like Chianti , but not wine .</t>
  </si>
  <si>
    <t>J' apprécie le Chianti , mais pas le vin .</t>
  </si>
  <si>
    <t>Apprezzo il vino , ma non il Chianti .</t>
  </si>
  <si>
    <t>I like wine , but not Chianti .</t>
  </si>
  <si>
    <t>J' apprécie le vin , mais pas le Chianti .</t>
  </si>
  <si>
    <t>Apprezzo il Chianti , ma non l' acqua .</t>
  </si>
  <si>
    <t>I like Chianti , but not water .</t>
  </si>
  <si>
    <t>J' apprécie le Chianti , mais pas l' eau .</t>
  </si>
  <si>
    <t>Apprezzo l' acqua , ma non il Chianti .</t>
  </si>
  <si>
    <t>I like water , but not Chianti .</t>
  </si>
  <si>
    <t>J' apprécie l' eau , mais pas le Chianti .</t>
  </si>
  <si>
    <t>Apprezzo il Chianti , ma non la sprite .</t>
  </si>
  <si>
    <t>I like Chianti , but not sprite .</t>
  </si>
  <si>
    <t>J' apprécie le Chianti , mais pas la sprite .</t>
  </si>
  <si>
    <t>Apprezzo la sprite , ma non il Chianti .</t>
  </si>
  <si>
    <t>I like sprite , but not Chianti .</t>
  </si>
  <si>
    <t>J' apprécie la sprite , mais pas le Chianti .</t>
  </si>
  <si>
    <t>Apprezzo il Chianti , ma non la birra .</t>
  </si>
  <si>
    <t>I like Chianti , but not beer .</t>
  </si>
  <si>
    <t>J' apprécie le Chianti , mais pas la bière .</t>
  </si>
  <si>
    <t>Apprezzo la birra , ma non il Chianti .</t>
  </si>
  <si>
    <t>I like beer , but not Chianti .</t>
  </si>
  <si>
    <t>J' apprécie la bière , mais pas le Chianti .</t>
  </si>
  <si>
    <t>Apprezzo il Primitivo , ma non la coca cola .</t>
  </si>
  <si>
    <t>I like Zinfandel , but not coca-cola .</t>
  </si>
  <si>
    <t>J' apprécie le Cabernet Sauvignon , mais pas le coca cola .</t>
  </si>
  <si>
    <t>Apprezzo la coca cola , ma non il Primitivo .</t>
  </si>
  <si>
    <t>I like coca-cola , but not Zinfandel .</t>
  </si>
  <si>
    <t>J' apprécie le coca cola , mais pas le Cabernet Sauvignon .</t>
  </si>
  <si>
    <t>Apprezzo il Primitivo , ma non il vino .</t>
  </si>
  <si>
    <t>I like Zinfandel , but not wine .</t>
  </si>
  <si>
    <t>J' apprécie le Cabernet Sauvignon , mais pas le vin .</t>
  </si>
  <si>
    <t>Apprezzo il vino , ma non il Primitivo .</t>
  </si>
  <si>
    <t>I like wine , but not Zinfandel .</t>
  </si>
  <si>
    <t>J' apprécie le vin , mais pas le Cabernet Sauvignon .</t>
  </si>
  <si>
    <t>Apprezzo il Primitivo , ma non l' acqua .</t>
  </si>
  <si>
    <t>I like Zinfandel , but not water .</t>
  </si>
  <si>
    <t>J' apprécie le Cabernet Sauvignon , mais pas l' eau .</t>
  </si>
  <si>
    <t>Apprezzo l' acqua , ma non il Primitivo .</t>
  </si>
  <si>
    <t>I like water , but not Zinfandel .</t>
  </si>
  <si>
    <t>J' apprécie l' eau , mais pas le Cabernet Sauvignon .</t>
  </si>
  <si>
    <t>Apprezzo il Primitivo , ma non la sprite .</t>
  </si>
  <si>
    <t>I like Zinfandel , but not sprite .</t>
  </si>
  <si>
    <t>J' apprécie le Cabernet Sauvignon , mais pas la sprite .</t>
  </si>
  <si>
    <t>Apprezzo la sprite , ma non il Primitivo .</t>
  </si>
  <si>
    <t>I like sprite , but not Zinfandel .</t>
  </si>
  <si>
    <t>J' apprécie la sprite , mais pas le Cabernet Sauvignon .</t>
  </si>
  <si>
    <t>Apprezzo il Primitivo , ma non la birra .</t>
  </si>
  <si>
    <t>I like Zinfandel , but not beer .</t>
  </si>
  <si>
    <t>J' apprécie le Cabernet Sauvignon , mais pas la bière .</t>
  </si>
  <si>
    <t>Apprezzo la birra , ma non il Primitivo .</t>
  </si>
  <si>
    <t>I like beer , but not Zinfandel .</t>
  </si>
  <si>
    <t>J' apprécie la bière , mais pas le Cabernet Sauvignon .</t>
  </si>
  <si>
    <t>Amo le Suzuki , eccetto le navi .</t>
  </si>
  <si>
    <t>I like Suzukis , except ships .</t>
  </si>
  <si>
    <t>J' aime les Suzukis , sauf les navaires .</t>
  </si>
  <si>
    <t>Amo le navi , eccetto le Suzuki .</t>
  </si>
  <si>
    <t>I like ships , except Suzukis .</t>
  </si>
  <si>
    <t>J' aime les navaires , sauf les Suzukis .</t>
  </si>
  <si>
    <t>Amo le Suzuki , eccetto le moto .</t>
  </si>
  <si>
    <t>I like Suzukis , except motorcycles .</t>
  </si>
  <si>
    <t>J' aime les Suzukis , sauf les motos .</t>
  </si>
  <si>
    <t>Amo le Suzuki , eccetto le biciclette .</t>
  </si>
  <si>
    <t>I like Suzukis , except bicycles .</t>
  </si>
  <si>
    <t>J' aime les Suzukis , sauf les vélos .</t>
  </si>
  <si>
    <t>Amo le biciclette , eccetto le Suzuki .</t>
  </si>
  <si>
    <t>I like bicycles , except Suzukis .</t>
  </si>
  <si>
    <t>J' aime les vélos , sauf les Suzukis .</t>
  </si>
  <si>
    <t>Apprezzo il rock , ma non gli sport .</t>
  </si>
  <si>
    <t>I like rock , but not sports .</t>
  </si>
  <si>
    <t>J' apprécie le rock , mais pas les sports .</t>
  </si>
  <si>
    <t>Apprezzo gli sport , ma non il rock .</t>
  </si>
  <si>
    <t>I like sports , but not rock .</t>
  </si>
  <si>
    <t>J' apprécie les sports , mais pas le rock .</t>
  </si>
  <si>
    <t>Apprezzo il rock , ma non la musica .</t>
  </si>
  <si>
    <t>I like rock , but not music .</t>
  </si>
  <si>
    <t>J' apprécie le rock , mais pas la musique .</t>
  </si>
  <si>
    <t>Apprezzo la musica , ma non il rock .</t>
  </si>
  <si>
    <t>I like music , but not rock .</t>
  </si>
  <si>
    <t>J' apprécie la musique , mais pas le rock .</t>
  </si>
  <si>
    <t>Apprezzo la musica , ma non gli sport .</t>
  </si>
  <si>
    <t>I like music , but not sports .</t>
  </si>
  <si>
    <t>J' apprécie la musique , mais pas les sports .</t>
  </si>
  <si>
    <t>Apprezzo il rock , ma non i giochi da tavolo .</t>
  </si>
  <si>
    <t>I like rock , but not boardgames .</t>
  </si>
  <si>
    <t>J' apprécie le rock , mais pas les jeux de société .</t>
  </si>
  <si>
    <t>Apprezzo i giochi da tavolo , ma non il rock .</t>
  </si>
  <si>
    <t>I like boardgames , but not rock .</t>
  </si>
  <si>
    <t>J' apprécie les jeux de société , mais pas le rock .</t>
  </si>
  <si>
    <t>Apprezzo la musica , ma non i giochi da tavolo .</t>
  </si>
  <si>
    <t>I like music , but not boardgames .</t>
  </si>
  <si>
    <t>J' apprécie la musique , mais pas les jeux de société .</t>
  </si>
  <si>
    <t>Apprezzo il rock , ma non il cibo .</t>
  </si>
  <si>
    <t>I like rock , but not food .</t>
  </si>
  <si>
    <t>J' apprécie le rock , mais pas les aliments .</t>
  </si>
  <si>
    <t>Apprezzo il cibo , ma non il rock .</t>
  </si>
  <si>
    <t>I like food , but not rock .</t>
  </si>
  <si>
    <t>J' apprécie les aliments , mais pas le rock .</t>
  </si>
  <si>
    <t>Apprezzo la musica , ma non il cibo .</t>
  </si>
  <si>
    <t>I like music , but not food .</t>
  </si>
  <si>
    <t>J' apprécie la musique , mais pas les aliments .</t>
  </si>
  <si>
    <t>Apprezzo il rock , ma non i gioielli .</t>
  </si>
  <si>
    <t>I like rock , but not jewelry .</t>
  </si>
  <si>
    <t>J' apprécie le rock , mais pas les bijoux .</t>
  </si>
  <si>
    <t>Apprezzo i gioielli , ma non il rock .</t>
  </si>
  <si>
    <t>I like jewelry , but not rock .</t>
  </si>
  <si>
    <t>J' apprécie les bijoux , mais pas le rock .</t>
  </si>
  <si>
    <t>Apprezzo la musica , ma non i gioielli .</t>
  </si>
  <si>
    <t>I like music , but not jewelry .</t>
  </si>
  <si>
    <t>J' apprécie la musique , mais pas les bijoux .</t>
  </si>
  <si>
    <t>Apprezzo il jazz , ma non gli sport .</t>
  </si>
  <si>
    <t>I like jazz , but not sports .</t>
  </si>
  <si>
    <t>J' apprécie le jazz , mais pas les sports .</t>
  </si>
  <si>
    <t>Apprezzo gli sport , ma non il jazz .</t>
  </si>
  <si>
    <t>I like sports , but not jazz .</t>
  </si>
  <si>
    <t>J' apprécie les sports , mais pas le jazz .</t>
  </si>
  <si>
    <t>Apprezzo il jazz , ma non la musica .</t>
  </si>
  <si>
    <t>I like jazz , but not music .</t>
  </si>
  <si>
    <t>J' apprécie le jazz , mais pas la musique .</t>
  </si>
  <si>
    <t>Apprezzo la musica , ma non il jazz .</t>
  </si>
  <si>
    <t>I like music , but not jazz .</t>
  </si>
  <si>
    <t>J' apprécie la musique , mais pas le jazz .</t>
  </si>
  <si>
    <t>Apprezzo il jazz , ma non i giochi da tavolo .</t>
  </si>
  <si>
    <t>I like jazz , but not boardgames .</t>
  </si>
  <si>
    <t>J' apprécie le jazz , mais pas les jeux de société .</t>
  </si>
  <si>
    <t>Apprezzo i giochi da tavolo , ma non il jazz .</t>
  </si>
  <si>
    <t>I like boardgames , but not jazz .</t>
  </si>
  <si>
    <t>J' apprécie les jeux de société , mais pas le jazz .</t>
  </si>
  <si>
    <t>Apprezzo il jazz , ma non il cibo .</t>
  </si>
  <si>
    <t>I like jazz , but not food .</t>
  </si>
  <si>
    <t>J' apprécie le jazz , mais pas les aliments .</t>
  </si>
  <si>
    <t>Apprezzo il cibo , ma non il jazz .</t>
  </si>
  <si>
    <t>I like food , but not jazz .</t>
  </si>
  <si>
    <t>J' apprécie les aliments , mais pas le jazz .</t>
  </si>
  <si>
    <t>Apprezzo il jazz , ma non i gioielli .</t>
  </si>
  <si>
    <t>I like jazz , but not jewelry .</t>
  </si>
  <si>
    <t>J' apprécie le jazz , mais pas les bijoux .</t>
  </si>
  <si>
    <t>Apprezzo i gioielli , ma non il jazz .</t>
  </si>
  <si>
    <t>I like jewelry , but not jazz .</t>
  </si>
  <si>
    <t>J' apprécie les bijoux , mais pas le jazz .</t>
  </si>
  <si>
    <t>Amo le Suzuki , eccetto i treni .</t>
  </si>
  <si>
    <t>I like Suzukis , except trains .</t>
  </si>
  <si>
    <t>J' aime les Suzukis , sauf les trains .</t>
  </si>
  <si>
    <t>Apprezzo la techno , ma non gli sport .</t>
  </si>
  <si>
    <t>I like techno , but not sports .</t>
  </si>
  <si>
    <t>J' apprécie la techno , mais pas les sports .</t>
  </si>
  <si>
    <t>Apprezzo gli sport , ma non la techno .</t>
  </si>
  <si>
    <t>I like sports , but not techno .</t>
  </si>
  <si>
    <t>J' apprécie les sports , mais pas la techno .</t>
  </si>
  <si>
    <t>Apprezzo la techno , ma non la musica .</t>
  </si>
  <si>
    <t>I like techno , but not music .</t>
  </si>
  <si>
    <t>J' apprécie la techno , mais pas la musique .</t>
  </si>
  <si>
    <t>Apprezzo la musica , ma non la techno .</t>
  </si>
  <si>
    <t>I like music , but not techno .</t>
  </si>
  <si>
    <t>J' apprécie la musique , mais pas la techno .</t>
  </si>
  <si>
    <t>Apprezzo la techno , ma non i giochi da tavolo .</t>
  </si>
  <si>
    <t>I like techno , but not boardgames .</t>
  </si>
  <si>
    <t>J' apprécie la techno , mais pas les jeux de société .</t>
  </si>
  <si>
    <t>Apprezzo i giochi da tavolo , ma non la techno .</t>
  </si>
  <si>
    <t>I like boardgames , but not techno .</t>
  </si>
  <si>
    <t>J' apprécie les jeux de société , mais pas la techno .</t>
  </si>
  <si>
    <t>Amo i treni , eccetto le Suzuki .</t>
  </si>
  <si>
    <t>I like trains , except Suzukis .</t>
  </si>
  <si>
    <t>J' aime les trains , sauf les Suzukis .</t>
  </si>
  <si>
    <t>Apprezzo la techno , ma non il cibo .</t>
  </si>
  <si>
    <t>I like techno , but not food .</t>
  </si>
  <si>
    <t>J' apprécie la techno , mais pas les aliments .</t>
  </si>
  <si>
    <t>Apprezzo il cibo , ma non la techno .</t>
  </si>
  <si>
    <t>I like food , but not techno .</t>
  </si>
  <si>
    <t>J' apprécie les aliments , mais pas la techno .</t>
  </si>
  <si>
    <t>Apprezzo la techno , ma non i gioielli .</t>
  </si>
  <si>
    <t>I like techno , but not jewelry .</t>
  </si>
  <si>
    <t>J' apprécie la techno , mais pas les bijoux .</t>
  </si>
  <si>
    <t>Apprezzo i gioielli , ma non la techno .</t>
  </si>
  <si>
    <t>I like jewelry , but not techno .</t>
  </si>
  <si>
    <t>J' apprécie les bijoux , mais pas la techno .</t>
  </si>
  <si>
    <t>Apprezzo il blues , ma non gli sport .</t>
  </si>
  <si>
    <t>I like blues , but not sports .</t>
  </si>
  <si>
    <t>J' apprécie le blues , mais pas les sports .</t>
  </si>
  <si>
    <t>Apprezzo gli sport , ma non il blues .</t>
  </si>
  <si>
    <t>I like sports , but not blues .</t>
  </si>
  <si>
    <t>J' apprécie les sports , mais pas le blues .</t>
  </si>
  <si>
    <t>Apprezzo il blues , ma non la musica .</t>
  </si>
  <si>
    <t>I like blues , but not music .</t>
  </si>
  <si>
    <t>J' apprécie le blues , mais pas la musique .</t>
  </si>
  <si>
    <t>Apprezzo la musica , ma non il blues .</t>
  </si>
  <si>
    <t>I like music , but not blues .</t>
  </si>
  <si>
    <t>J' apprécie la musique , mais pas le blues .</t>
  </si>
  <si>
    <t>Apprezzo il blues , ma non i giochi da tavolo .</t>
  </si>
  <si>
    <t>I like blues , but not boardgames .</t>
  </si>
  <si>
    <t>J' apprécie le blues , mais pas les jeux de société .</t>
  </si>
  <si>
    <t>Apprezzo i giochi da tavolo , ma non il blues .</t>
  </si>
  <si>
    <t>I like boardgames , but not blues .</t>
  </si>
  <si>
    <t>J' apprécie les jeux de société , mais pas le blues .</t>
  </si>
  <si>
    <t>Apprezzo il blues , ma non il cibo .</t>
  </si>
  <si>
    <t>I like blues , but not food .</t>
  </si>
  <si>
    <t>J' apprécie le blues , mais pas les aliments .</t>
  </si>
  <si>
    <t>Apprezzo il cibo , ma non il blues .</t>
  </si>
  <si>
    <t>I like food , but not blues .</t>
  </si>
  <si>
    <t>J' apprécie les aliments , mais pas le blues .</t>
  </si>
  <si>
    <t>Apprezzo il blues , ma non i gioielli .</t>
  </si>
  <si>
    <t>I like blues , but not jewelry .</t>
  </si>
  <si>
    <t>J' apprécie le blues , mais pas les bijoux .</t>
  </si>
  <si>
    <t>Apprezzo i gioielli , ma non il blues .</t>
  </si>
  <si>
    <t>I like jewelry , but not blues .</t>
  </si>
  <si>
    <t>J' apprécie les bijoux , mais pas le blues .</t>
  </si>
  <si>
    <t>Amo le Suzuki , eccetto gli aeroplani .</t>
  </si>
  <si>
    <t>I like Suzukis , except airplanes .</t>
  </si>
  <si>
    <t>J' aime les Suzukis , sauf les avions .</t>
  </si>
  <si>
    <t>Amo gli aeroplani , eccetto le Suzuki .</t>
  </si>
  <si>
    <t>I like planes , except Suzukis .</t>
  </si>
  <si>
    <t>J' aime les avions , sauf les Suzukis .</t>
  </si>
  <si>
    <t>Amo gli husky , eccetto i criceti .</t>
  </si>
  <si>
    <t>I like huskies , except hamsters .</t>
  </si>
  <si>
    <t>J' aime les huskies , sauf les hamsters .</t>
  </si>
  <si>
    <t>Adoro il prosciutto cotto , ma non il pesce .</t>
  </si>
  <si>
    <t>I like ham , but not fish .</t>
  </si>
  <si>
    <t>J' adore le jambon , mais pas le poisson .</t>
  </si>
  <si>
    <t>Adoro il pesce , ma non il prosciutto cotto .</t>
  </si>
  <si>
    <t>I like fish , but not ham .</t>
  </si>
  <si>
    <t>J' adore le poisson , mais pas le jambon .</t>
  </si>
  <si>
    <t>Adoro il prosciutto cotto , ma non il maiale .</t>
  </si>
  <si>
    <t>I like ham , but not pork .</t>
  </si>
  <si>
    <t>J' adore le jambon , mais pas le porc .</t>
  </si>
  <si>
    <t>Adoro il maiale , ma non il prosciutto cotto .</t>
  </si>
  <si>
    <t>I like pork , but not ham .</t>
  </si>
  <si>
    <t>J' adore le porc , mais pas le jambon .</t>
  </si>
  <si>
    <t>Adoro il maiale , ma non il pesce .</t>
  </si>
  <si>
    <t>I like pork , but not fish .</t>
  </si>
  <si>
    <t>J' adore le porc , mais pas le poisson .</t>
  </si>
  <si>
    <t>Adoro il prosciutto cotto , ma non i broccoli .</t>
  </si>
  <si>
    <t>I like ham , but not broccoli .</t>
  </si>
  <si>
    <t>J' adore le jambon , mais pas le brocoli .</t>
  </si>
  <si>
    <t>Adoro i broccoli , ma non il prosciutto cotto .</t>
  </si>
  <si>
    <t>I like broccoli , but not ham .</t>
  </si>
  <si>
    <t>J' adore le brocoli , mais pas le jambon .</t>
  </si>
  <si>
    <t>Adoro il maiale , ma non i broccoli .</t>
  </si>
  <si>
    <t>I like pork , but not broccoli .</t>
  </si>
  <si>
    <t>J' adore le porc , mais pas le brocoli .</t>
  </si>
  <si>
    <t>Adoro il prosciutto cotto , ma non le mele .</t>
  </si>
  <si>
    <t>I like ham , but not apples .</t>
  </si>
  <si>
    <t>J' adore le jambon , mais pas les pommes .</t>
  </si>
  <si>
    <t>Adoro le mele , ma non il prosciutto cotto .</t>
  </si>
  <si>
    <t>I like apples , but not ham .</t>
  </si>
  <si>
    <t>J' adore les pommes , mais pas le jambon .</t>
  </si>
  <si>
    <t>Adoro il maiale , ma non le mele .</t>
  </si>
  <si>
    <t>I like pork , but not apples .</t>
  </si>
  <si>
    <t>J' adore le porc , mais pas les pommes .</t>
  </si>
  <si>
    <t>Adoro il prosciutto cotto , ma non le carote .</t>
  </si>
  <si>
    <t>I like ham , but not carrots .</t>
  </si>
  <si>
    <t>J' adore le jambon , mais pas les carottes .</t>
  </si>
  <si>
    <t>Adoro le carote , ma non il prosciutto cotto .</t>
  </si>
  <si>
    <t>I like carrots , but not ham .</t>
  </si>
  <si>
    <t>J' adore les carottes , mais pas le jambon .</t>
  </si>
  <si>
    <t>Adoro il maiale , ma non le carote .</t>
  </si>
  <si>
    <t>I like pork , but not carrots .</t>
  </si>
  <si>
    <t>J' adore le porc , mais pas les carottes .</t>
  </si>
  <si>
    <t>Adoro il prosciutto , ma non il pesce .</t>
  </si>
  <si>
    <t>I like prosciutto , but not fish .</t>
  </si>
  <si>
    <t>J' adore le prosciutto , mais pas le poisson .</t>
  </si>
  <si>
    <t>Adoro il pesce , ma non il prosciutto .</t>
  </si>
  <si>
    <t>I like fish , but not prosciutto .</t>
  </si>
  <si>
    <t>J' adore le poisson , mais pas le prosciutto .</t>
  </si>
  <si>
    <t>Adoro il prosciutto , ma non il maiale .</t>
  </si>
  <si>
    <t>I like prosciutto , but not pork .</t>
  </si>
  <si>
    <t>J' adore le prosciutto , mais pas le porc .</t>
  </si>
  <si>
    <t>Adoro il maiale , ma non il prosciutto .</t>
  </si>
  <si>
    <t>I like pork , but not prosciutto .</t>
  </si>
  <si>
    <t>J' adore le porc , mais pas le prosciutto .</t>
  </si>
  <si>
    <t>Adoro il prosciutto , ma non i broccoli .</t>
  </si>
  <si>
    <t>I like prosciutto , but not broccoli .</t>
  </si>
  <si>
    <t>J' adore le prosciutto , mais pas le brocoli .</t>
  </si>
  <si>
    <t>Adoro i broccoli , ma non il prosciutto .</t>
  </si>
  <si>
    <t>I like broccoli , but not prosciutto .</t>
  </si>
  <si>
    <t>J' adore le brocoli , mais pas le prosciutto .</t>
  </si>
  <si>
    <t>Adoro il prosciutto , ma non le mele .</t>
  </si>
  <si>
    <t>I like prosciutto , but not apples .</t>
  </si>
  <si>
    <t>J' adore le prosciutto , mais pas les pommes .</t>
  </si>
  <si>
    <t>Adoro le mele , ma non il prosciutto .</t>
  </si>
  <si>
    <t>I like apples , but not prosciutto .</t>
  </si>
  <si>
    <t>J' adore les pommes , mais pas le prosciutto .</t>
  </si>
  <si>
    <t>Adoro il prosciutto , ma non le carote .</t>
  </si>
  <si>
    <t>I like prosciutto , but not carrots .</t>
  </si>
  <si>
    <t>J' adore le prosciutto , mais pas les carottes .</t>
  </si>
  <si>
    <t>Adoro le carote , ma non il prosciutto .</t>
  </si>
  <si>
    <t>I like carrots , but not prosciutto .</t>
  </si>
  <si>
    <t>J' adore les carottes , mais pas le prosciutto .</t>
  </si>
  <si>
    <t>Adoro il bacon , ma non il pesce .</t>
  </si>
  <si>
    <t>I like bacon , but not fish .</t>
  </si>
  <si>
    <t>J' adore le bacon , mais pas le poisson .</t>
  </si>
  <si>
    <t>Adoro il pesce , ma non il bacon .</t>
  </si>
  <si>
    <t>I like fish , but not bacon .</t>
  </si>
  <si>
    <t>J' adore le poisson , mais pas le bacon .</t>
  </si>
  <si>
    <t>Adoro il bacon , ma non il maiale .</t>
  </si>
  <si>
    <t>I like bacon , but not pork .</t>
  </si>
  <si>
    <t>J' adore le bacon , mais pas le porc .</t>
  </si>
  <si>
    <t>Adoro il maiale , ma non il bacon .</t>
  </si>
  <si>
    <t>I like pork , but not bacon .</t>
  </si>
  <si>
    <t>J' adore le porc , mais pas le bacon .</t>
  </si>
  <si>
    <t>Adoro il bacon , ma non i broccoli .</t>
  </si>
  <si>
    <t>I like bacon , but not broccoli .</t>
  </si>
  <si>
    <t>J' adore le bacon , mais pas le brocoli .</t>
  </si>
  <si>
    <t>Adoro i broccoli , ma non il bacon .</t>
  </si>
  <si>
    <t>I like broccoli , but not bacon .</t>
  </si>
  <si>
    <t>J' adore le brocoli , mais pas le bacon .</t>
  </si>
  <si>
    <t>Adoro il bacon , ma non le mele .</t>
  </si>
  <si>
    <t>I like bacon , but not apples .</t>
  </si>
  <si>
    <t>J' adore le bacon , mais pas les pommes .</t>
  </si>
  <si>
    <t>Adoro le mele , ma non il bacon .</t>
  </si>
  <si>
    <t>I like apples , but not bacon .</t>
  </si>
  <si>
    <t>J' adore les pommes , mais pas le bacon .</t>
  </si>
  <si>
    <t>Adoro il bacon , ma non le carote .</t>
  </si>
  <si>
    <t>I like bacon , but not carrots .</t>
  </si>
  <si>
    <t>J' adore le bacon , mais pas les carottes .</t>
  </si>
  <si>
    <t>Adoro le carote , ma non il bacon .</t>
  </si>
  <si>
    <t>I like carrots , but not bacon .</t>
  </si>
  <si>
    <t>J' adore les carottes , mais pas le bacon .</t>
  </si>
  <si>
    <t>Adoro il lardo , ma non il pesce .</t>
  </si>
  <si>
    <t>I like lard , but not fish .</t>
  </si>
  <si>
    <t>J' adore les lardons , mais pas le poisson .</t>
  </si>
  <si>
    <t>Adoro il pesce , ma non il lardo .</t>
  </si>
  <si>
    <t>I like fish , but not lard .</t>
  </si>
  <si>
    <t>J' adore le poisson , mais pas les lardons .</t>
  </si>
  <si>
    <t>Adoro il lardo , ma non il maiale .</t>
  </si>
  <si>
    <t>I like lard , but not pork .</t>
  </si>
  <si>
    <t>J' adore les lardons , mais pas le porc .</t>
  </si>
  <si>
    <t>Adoro il maiale , ma non il lardo .</t>
  </si>
  <si>
    <t>I like pork , but not lard .</t>
  </si>
  <si>
    <t>J' adore le porc , mais pas les lardons .</t>
  </si>
  <si>
    <t>Adoro il lardo , ma non i broccoli .</t>
  </si>
  <si>
    <t>I like lard , but not broccoli .</t>
  </si>
  <si>
    <t>J' adore les lardons , mais pas le brocoli .</t>
  </si>
  <si>
    <t>Adoro i broccoli , ma non il lardo .</t>
  </si>
  <si>
    <t>I like broccoli , but not lard .</t>
  </si>
  <si>
    <t>J' adore le brocoli , mais pas les lardons .</t>
  </si>
  <si>
    <t>Adoro il lardo , ma non le mele .</t>
  </si>
  <si>
    <t>I like lard , but not apples .</t>
  </si>
  <si>
    <t>J' adore les lardons , mais pas les pommes .</t>
  </si>
  <si>
    <t>Adoro le mele , ma non il lardo .</t>
  </si>
  <si>
    <t>I like apples , but not lard .</t>
  </si>
  <si>
    <t>J' adore les pommes , mais pas les lardons .</t>
  </si>
  <si>
    <t>Adoro il lardo , ma non le carote .</t>
  </si>
  <si>
    <t>I like lard , but not carrots .</t>
  </si>
  <si>
    <t>J' adore les lardons , mais pas les carottes .</t>
  </si>
  <si>
    <t>Adoro le carote , ma non il lardo .</t>
  </si>
  <si>
    <t>I like carrots , but not lard .</t>
  </si>
  <si>
    <t>J' adore les carottes , mais pas les lardons .</t>
  </si>
  <si>
    <t>Amo gli enduro , eccetto le navi .</t>
  </si>
  <si>
    <t>I like enduros , except ships .</t>
  </si>
  <si>
    <t>J' aime les enduros , sauf les navaires .</t>
  </si>
  <si>
    <t>Amo le navi , eccetto gli enduro .</t>
  </si>
  <si>
    <t>I like ships , except enduros .</t>
  </si>
  <si>
    <t>J' aime les navaires , sauf les enduros .</t>
  </si>
  <si>
    <t>Amo gli enduro , eccetto le moto .</t>
  </si>
  <si>
    <t>I like enduros , except motorcycles .</t>
  </si>
  <si>
    <t>J' aime les enduros , sauf les motos .</t>
  </si>
  <si>
    <t>Amo gli enduro , eccetto le biciclette .</t>
  </si>
  <si>
    <t>I like enduros , except bicycles .</t>
  </si>
  <si>
    <t>J' aime les enduros , sauf les vélos .</t>
  </si>
  <si>
    <t>Amo le biciclette , eccetto gli enduro .</t>
  </si>
  <si>
    <t>I like bicycles , except enduros .</t>
  </si>
  <si>
    <t>J' aime les vélos , sauf les enduros .</t>
  </si>
  <si>
    <t>Adoro il salmone , ma non il pollo .</t>
  </si>
  <si>
    <t>I like salmon , but not chicken .</t>
  </si>
  <si>
    <t>J' adore le saumon , mais pas le poulet .</t>
  </si>
  <si>
    <t>Adoro il pollo , ma non il salmone .</t>
  </si>
  <si>
    <t>I like chicken , but not salmon .</t>
  </si>
  <si>
    <t>J' adore le poulet , mais pas le saumon .</t>
  </si>
  <si>
    <t>Adoro il salmone , ma non i prodotti del mare .</t>
  </si>
  <si>
    <t>I like salmon , but not seafood .</t>
  </si>
  <si>
    <t>J' adore le saumon , mais pas les produits de la mer .</t>
  </si>
  <si>
    <t>Adoro i prodotti del mare , ma non il salmone .</t>
  </si>
  <si>
    <t>I like seafood , but not salmon .</t>
  </si>
  <si>
    <t>J' adore les produits de la mer , mais pas le saumon .</t>
  </si>
  <si>
    <t>Adoro i prodotti del mare , ma non il pollo .</t>
  </si>
  <si>
    <t>I like seafood , but not chicken .</t>
  </si>
  <si>
    <t>J' adore les produits de la mer , mais pas le poulet .</t>
  </si>
  <si>
    <t>Adoro il salmone , ma non il vitello .</t>
  </si>
  <si>
    <t>I like salmon , but not veal .</t>
  </si>
  <si>
    <t>J' adore le saumon , mais pas le veau .</t>
  </si>
  <si>
    <t>Adoro il vitello , ma non il salmone .</t>
  </si>
  <si>
    <t>I like veal , but not salmon .</t>
  </si>
  <si>
    <t>J' adore le veau , mais pas le saumon .</t>
  </si>
  <si>
    <t>Adoro i prodotti del mare , ma non il vitello .</t>
  </si>
  <si>
    <t>I like seafood , but not veal .</t>
  </si>
  <si>
    <t>J' adore les produits de la mer , mais pas le veau .</t>
  </si>
  <si>
    <t>Adoro il salmone , ma non il tacchino .</t>
  </si>
  <si>
    <t>I like salmon , but not turkey .</t>
  </si>
  <si>
    <t>J' adore le saumon , mais pas la dinde .</t>
  </si>
  <si>
    <t>Adoro il tacchino , ma non il salmone .</t>
  </si>
  <si>
    <t>I like turkey , but not salmon .</t>
  </si>
  <si>
    <t>J' adore la dinde , mais pas le saumon .</t>
  </si>
  <si>
    <t>Adoro i prodotti del mare , ma non il tacchino .</t>
  </si>
  <si>
    <t>I like seafood , but not turkey .</t>
  </si>
  <si>
    <t>J' adore les produits de la mer , mais pas la dinde .</t>
  </si>
  <si>
    <t>Adoro il salmone , ma non il manzo .</t>
  </si>
  <si>
    <t>I like salmon , but not beef .</t>
  </si>
  <si>
    <t>J' adore le saumon , mais pas le boeuf .</t>
  </si>
  <si>
    <t>Adoro il manzo , ma non il salmone .</t>
  </si>
  <si>
    <t>I like beef , but not salmon .</t>
  </si>
  <si>
    <t>J' adore le boeuf , mais pas le saumon .</t>
  </si>
  <si>
    <t>Adoro i prodotti del mare , ma non il manzo .</t>
  </si>
  <si>
    <t>I like seafood , but not beef .</t>
  </si>
  <si>
    <t>J' adore les produits de la mer , mais pas le boeuf .</t>
  </si>
  <si>
    <t>Adoro i granchi , ma non il pollo .</t>
  </si>
  <si>
    <t>I like crabs , but not chicken .</t>
  </si>
  <si>
    <t>J' adore les crabes , mais pas le poulet .</t>
  </si>
  <si>
    <t>Adoro il pollo , ma non i granchi .</t>
  </si>
  <si>
    <t>I like chicken , but not crabs .</t>
  </si>
  <si>
    <t>J' adore le poulet , mais pas les crabes .</t>
  </si>
  <si>
    <t>Adoro i granchi , ma non i prodotti del mare .</t>
  </si>
  <si>
    <t>I like crabs , but not seafood .</t>
  </si>
  <si>
    <t>J' adore les crabes , mais pas les produits de la mer .</t>
  </si>
  <si>
    <t>Adoro i prodotti del mare , ma non i granchi .</t>
  </si>
  <si>
    <t>I like seafood , but not crabs .</t>
  </si>
  <si>
    <t>J' adore les produits de la mer , mais pas les crabes .</t>
  </si>
  <si>
    <t>Adoro i granchi , ma non il vitello .</t>
  </si>
  <si>
    <t>I like crabs , but not veal .</t>
  </si>
  <si>
    <t>J' adore les crabes , mais pas le veau .</t>
  </si>
  <si>
    <t>Adoro il vitello , ma non i granchi .</t>
  </si>
  <si>
    <t>I like veal , but not crabs .</t>
  </si>
  <si>
    <t>J' adore le veau , mais pas les crabes .</t>
  </si>
  <si>
    <t>Adoro i granchi , ma non il tacchino .</t>
  </si>
  <si>
    <t>I like crabs , but not turkey .</t>
  </si>
  <si>
    <t>J' adore les crabes , mais pas la dinde .</t>
  </si>
  <si>
    <t>Adoro il tacchino , ma non i granchi .</t>
  </si>
  <si>
    <t>I like turkey , but not crabs .</t>
  </si>
  <si>
    <t>J' adore la dinde , mais pas les crabes .</t>
  </si>
  <si>
    <t>Adoro i granchi , ma non il manzo .</t>
  </si>
  <si>
    <t>I like crabs , but not beef .</t>
  </si>
  <si>
    <t>J' adore les crabes , mais pas le boeuf .</t>
  </si>
  <si>
    <t>Adoro il manzo , ma non i granchi .</t>
  </si>
  <si>
    <t>I like beef , but not crabs .</t>
  </si>
  <si>
    <t>J' adore le boeuf , mais pas les crabes .</t>
  </si>
  <si>
    <t>Amo gli enduro , eccetto i treni .</t>
  </si>
  <si>
    <t>I like enduros , except trains .</t>
  </si>
  <si>
    <t>J' aime les enduros , sauf les trains .</t>
  </si>
  <si>
    <t>Adoro le ostriche , ma non il pollo .</t>
  </si>
  <si>
    <t>I like oysters , but not chicken .</t>
  </si>
  <si>
    <t>J' adore les huîtres , mais pas le poulet .</t>
  </si>
  <si>
    <t>Adoro il pollo , ma non le ostriche .</t>
  </si>
  <si>
    <t>I like chicken , but not oysters .</t>
  </si>
  <si>
    <t>J' adore le poulet , mais pas les huîtres .</t>
  </si>
  <si>
    <t>Adoro le ostriche , ma non i prodotti del mare .</t>
  </si>
  <si>
    <t>I like oysters , but not seafood .</t>
  </si>
  <si>
    <t>J' adore les huîtres , mais pas les produits de la mer .</t>
  </si>
  <si>
    <t>Adoro i prodotti del mare , ma non le ostriche .</t>
  </si>
  <si>
    <t>I like seafood , but not oysters .</t>
  </si>
  <si>
    <t>J' adore les produits de la mer , mais pas les huîtres .</t>
  </si>
  <si>
    <t>Adoro le ostriche , ma non il vitello .</t>
  </si>
  <si>
    <t>I like oysters , but not veal .</t>
  </si>
  <si>
    <t>J' adore les huîtres , mais pas le veau .</t>
  </si>
  <si>
    <t>Adoro il vitello , ma non le ostriche .</t>
  </si>
  <si>
    <t>I like veal , but not oysters .</t>
  </si>
  <si>
    <t>J' adore le veau , mais pas les huîtres .</t>
  </si>
  <si>
    <t>Amo i treni , eccetto gli enduro .</t>
  </si>
  <si>
    <t>I like trains , except enduros .</t>
  </si>
  <si>
    <t>J' aime les trains , sauf les enduros .</t>
  </si>
  <si>
    <t>Adoro le ostriche , ma non il tacchino .</t>
  </si>
  <si>
    <t>I like oysters , but not turkey .</t>
  </si>
  <si>
    <t>J' adore les huîtres , mais pas la dinde .</t>
  </si>
  <si>
    <t>Adoro il tacchino , ma non le ostriche .</t>
  </si>
  <si>
    <t>I like turkey , but not oysters .</t>
  </si>
  <si>
    <t>J' adore la dinde , mais pas les huîtres .</t>
  </si>
  <si>
    <t>Adoro le ostriche , ma non il manzo .</t>
  </si>
  <si>
    <t>I like oysters , but not beef .</t>
  </si>
  <si>
    <t>J' adore les huîtres , mais pas le boeuf .</t>
  </si>
  <si>
    <t>Adoro il manzo , ma non le ostriche .</t>
  </si>
  <si>
    <t>I like beef , but not oysters .</t>
  </si>
  <si>
    <t>J' adore le boeuf , mais pas les huîtres .</t>
  </si>
  <si>
    <t>Adoro il caviale , ma non il pollo .</t>
  </si>
  <si>
    <t>I like caviar , but not chicken .</t>
  </si>
  <si>
    <t>J' adore le caviar , mais pas le poulet .</t>
  </si>
  <si>
    <t>Adoro il pollo , ma non il caviale .</t>
  </si>
  <si>
    <t>I like chicken , but not caviar .</t>
  </si>
  <si>
    <t>J' adore le poulet , mais pas le caviar .</t>
  </si>
  <si>
    <t>Adoro il caviale , ma non i prodotti del mare .</t>
  </si>
  <si>
    <t>I like caviar , but not seafood .</t>
  </si>
  <si>
    <t>J' adore le caviar , mais pas les produits de la mer .</t>
  </si>
  <si>
    <t>Adoro i prodotti del mare , ma non il caviale .</t>
  </si>
  <si>
    <t>I like seafood , but not caviar .</t>
  </si>
  <si>
    <t>J' adore les produits de la mer , mais pas le caviar .</t>
  </si>
  <si>
    <t>Adoro il caviale , ma non il vitello .</t>
  </si>
  <si>
    <t>I like caviar , but not veal .</t>
  </si>
  <si>
    <t>J' adore le caviar , mais pas le veau .</t>
  </si>
  <si>
    <t>Adoro il vitello , ma non il caviale .</t>
  </si>
  <si>
    <t>I like veal , but not caviar .</t>
  </si>
  <si>
    <t>J' adore le veau , mais pas le caviar .</t>
  </si>
  <si>
    <t>Adoro il caviale , ma non il tacchino .</t>
  </si>
  <si>
    <t>I like caviar , but not turkey .</t>
  </si>
  <si>
    <t>J' adore le caviar , mais pas la dinde .</t>
  </si>
  <si>
    <t>Adoro il tacchino , ma non il caviale .</t>
  </si>
  <si>
    <t>I like turkey , but not caviar .</t>
  </si>
  <si>
    <t>J' adore la dinde , mais pas le caviar .</t>
  </si>
  <si>
    <t>Adoro il caviale , ma non il manzo .</t>
  </si>
  <si>
    <t>I like caviar , but not beef .</t>
  </si>
  <si>
    <t>J' adore le caviar , mais pas le boeuf .</t>
  </si>
  <si>
    <t>Adoro il manzo , ma non il caviale .</t>
  </si>
  <si>
    <t>I like beef , but not caviar .</t>
  </si>
  <si>
    <t>J' adore le boeuf , mais pas le caviar .</t>
  </si>
  <si>
    <t>Amo gli enduro , eccetto gli aeroplani .</t>
  </si>
  <si>
    <t>I like enduros , except airplanes .</t>
  </si>
  <si>
    <t>J' aime les enduros , sauf les avions .</t>
  </si>
  <si>
    <t>Amo gli aeroplani , eccetto gli enduro .</t>
  </si>
  <si>
    <t>I like planes , except enduros .</t>
  </si>
  <si>
    <t>J' aime les avions , sauf les enduros .</t>
  </si>
  <si>
    <t>Amo i thriller , ma non i saggi .</t>
  </si>
  <si>
    <t>I like thrillers , but not essays .</t>
  </si>
  <si>
    <t>J' aime les thrillers , mais pas les essais .</t>
  </si>
  <si>
    <t>Amo i saggi , ma non i thriller .</t>
  </si>
  <si>
    <t>I like essays , but not thrillers .</t>
  </si>
  <si>
    <t>J' aime les essais , mais pas les thrillers .</t>
  </si>
  <si>
    <t>Amo i thriller , ma non i film .</t>
  </si>
  <si>
    <t>I like thrillers , but not movies .</t>
  </si>
  <si>
    <t>J' aime les thrillers , mais pas les films .</t>
  </si>
  <si>
    <t>Amo i film , ma non i thriller .</t>
  </si>
  <si>
    <t>I like movies , but not thrillers .</t>
  </si>
  <si>
    <t>J' aime les films , mais pas les thrillers .</t>
  </si>
  <si>
    <t>Amo i film , ma non i saggi .</t>
  </si>
  <si>
    <t>I like movies , but not essays .</t>
  </si>
  <si>
    <t>J' aime les films , mais pas les essais .</t>
  </si>
  <si>
    <t>Amo i thriller , ma non i sussidiari .</t>
  </si>
  <si>
    <t>I like thrillers , but not textbooks .</t>
  </si>
  <si>
    <t>J' aime les thrillers , mais pas les manuels scolaires .</t>
  </si>
  <si>
    <t>Amo i sussidiari , ma non i thriller .</t>
  </si>
  <si>
    <t>I like textbooks , but not thrillers .</t>
  </si>
  <si>
    <t>J' aime les manuels scolaires , mais pas les thrillers .</t>
  </si>
  <si>
    <t>Amo i film , ma non i sussidiari .</t>
  </si>
  <si>
    <t>I like movies , but not textbooks .</t>
  </si>
  <si>
    <t>J' aime les films , mais pas les manuels scolaires .</t>
  </si>
  <si>
    <t>Amo i thriller , ma non i giochi da tavolo .</t>
  </si>
  <si>
    <t>I like thrillers , but not boardgames .</t>
  </si>
  <si>
    <t>J' aime les thrillers , mais pas les jeux de société .</t>
  </si>
  <si>
    <t>Amo i giochi da tavolo , ma non i thriller .</t>
  </si>
  <si>
    <t>I like boardgames , but not thrillers .</t>
  </si>
  <si>
    <t>J' aime les jeux de société , mais pas les thrillers .</t>
  </si>
  <si>
    <t>Amo i film , ma non i giochi da tavolo .</t>
  </si>
  <si>
    <t>I like movies , but not boardgames .</t>
  </si>
  <si>
    <t>J' aime les films , mais pas les jeux de société .</t>
  </si>
  <si>
    <t>Amo i thriller , ma non i videogiochi .</t>
  </si>
  <si>
    <t>I like thrillers , but not videogames .</t>
  </si>
  <si>
    <t>J' aime les thrillers , mais pas les jeux vidéo .</t>
  </si>
  <si>
    <t>Amo i videogiochi , ma non i thriller .</t>
  </si>
  <si>
    <t>I like videogames , but not thrillers .</t>
  </si>
  <si>
    <t>J' aime les jeux vidéo , mais pas les thrillers .</t>
  </si>
  <si>
    <t>Amo i film , ma non i videogiochi .</t>
  </si>
  <si>
    <t>I like movies , but not videogames .</t>
  </si>
  <si>
    <t>J' aime les films , mais pas les jeux vidéo .</t>
  </si>
  <si>
    <t>Amo i western , ma non i saggi .</t>
  </si>
  <si>
    <t>I like westerns , but not essays .</t>
  </si>
  <si>
    <t>J' aime les westerns , mais pas les essais .</t>
  </si>
  <si>
    <t>Amo i saggi , ma non i western .</t>
  </si>
  <si>
    <t>I like essays , but not westerns .</t>
  </si>
  <si>
    <t>J' aime les essais , mais pas les westerns .</t>
  </si>
  <si>
    <t>Amo i western , ma non i film .</t>
  </si>
  <si>
    <t>I like westerns , but not movies .</t>
  </si>
  <si>
    <t>J' aime les westerns , mais pas les films .</t>
  </si>
  <si>
    <t>Amo i film , ma non i western .</t>
  </si>
  <si>
    <t>I like movies , but not westerns .</t>
  </si>
  <si>
    <t>J' aime les films , mais pas les westerns .</t>
  </si>
  <si>
    <t>Amo i western , ma non i sussidiari .</t>
  </si>
  <si>
    <t>I like westerns , but not textbooks .</t>
  </si>
  <si>
    <t>J' aime les westerns , mais pas les manuels scolaires .</t>
  </si>
  <si>
    <t>Amo i sussidiari , ma non i western .</t>
  </si>
  <si>
    <t>I like textbooks , but not westerns .</t>
  </si>
  <si>
    <t>J' aime les manuels scolaires , mais pas les westerns .</t>
  </si>
  <si>
    <t>Amo i western , ma non i giochi da tavolo .</t>
  </si>
  <si>
    <t>I like westerns , but not boardgames .</t>
  </si>
  <si>
    <t>J' aime les westerns , mais pas les jeux de société .</t>
  </si>
  <si>
    <t>Amo i giochi da tavolo , ma non i western .</t>
  </si>
  <si>
    <t>I like boardgames , but not westerns .</t>
  </si>
  <si>
    <t>J' aime les jeux de société , mais pas les westerns .</t>
  </si>
  <si>
    <t>Amo i western , ma non i videogiochi .</t>
  </si>
  <si>
    <t>I like westerns , but not videogames .</t>
  </si>
  <si>
    <t>J' aime les westerns , mais pas les jeux vidéo .</t>
  </si>
  <si>
    <t>Amo i videogiochi , ma non i western .</t>
  </si>
  <si>
    <t>I like videogames , but not westerns .</t>
  </si>
  <si>
    <t>J' aime les jeux vidéo , mais pas les westerns .</t>
  </si>
  <si>
    <t>Amo le commedie , ma non i saggi .</t>
  </si>
  <si>
    <t>I like comedies , but not essays .</t>
  </si>
  <si>
    <t>J' aime les comédies , mais pas les essais .</t>
  </si>
  <si>
    <t>Amo i saggi , ma non le commedie .</t>
  </si>
  <si>
    <t>I like essays , but not comedies .</t>
  </si>
  <si>
    <t>J' aime les essais , mais pas les comédies .</t>
  </si>
  <si>
    <t>Amo le commedie , ma non i film .</t>
  </si>
  <si>
    <t>I like comedies , but not movies .</t>
  </si>
  <si>
    <t>J' aime les comédies , mais pas les films .</t>
  </si>
  <si>
    <t>Amo i film , ma non le commedie .</t>
  </si>
  <si>
    <t>I like movies , but not comedies .</t>
  </si>
  <si>
    <t>J' aime les films , mais pas les comédies .</t>
  </si>
  <si>
    <t>Amo le commedie , ma non i sussidiari .</t>
  </si>
  <si>
    <t>I like comedies , but not textbooks .</t>
  </si>
  <si>
    <t>J' aime les comédies , mais pas les manuels scolaires .</t>
  </si>
  <si>
    <t>Amo i sussidiari , ma non le commedie .</t>
  </si>
  <si>
    <t>I like textbooks , but not comedies .</t>
  </si>
  <si>
    <t>J' aime les manuels scolaires , mais pas les comédies .</t>
  </si>
  <si>
    <t>Amo le commedie , ma non i giochi da tavolo .</t>
  </si>
  <si>
    <t>I like comedies , but not boardgames .</t>
  </si>
  <si>
    <t>J' aime les comédies , mais pas les jeux de société .</t>
  </si>
  <si>
    <t>Amo i giochi da tavolo , ma non le commedie .</t>
  </si>
  <si>
    <t>I like boardgames , but not comedies .</t>
  </si>
  <si>
    <t>J' aime les jeux de société , mais pas les comédies .</t>
  </si>
  <si>
    <t>Amo le commedie , ma non i videogiochi .</t>
  </si>
  <si>
    <t>I like comedies , but not videogames .</t>
  </si>
  <si>
    <t>J' aime les comédies , mais pas les jeux vidéo .</t>
  </si>
  <si>
    <t>Amo i videogiochi , ma non le commedie .</t>
  </si>
  <si>
    <t>I like videogames , but not comedies .</t>
  </si>
  <si>
    <t>J' aime les jeux vidéo , mais pas les comédies .</t>
  </si>
  <si>
    <t>Amo i documentari , ma non i saggi .</t>
  </si>
  <si>
    <t>I like documentaries , but not essays .</t>
  </si>
  <si>
    <t>J' aime les documentaires , mais pas les essais .</t>
  </si>
  <si>
    <t>Amo i saggi , ma non i documentari .</t>
  </si>
  <si>
    <t>I like essays , but not documentaries .</t>
  </si>
  <si>
    <t>J' aime les essais , mais pas les documentaires .</t>
  </si>
  <si>
    <t>Amo i documentari , ma non i film .</t>
  </si>
  <si>
    <t>I like documentaries , but not movies .</t>
  </si>
  <si>
    <t>J' aime les documentaires , mais pas les films .</t>
  </si>
  <si>
    <t>Amo i film , ma non i documentari .</t>
  </si>
  <si>
    <t>I like movies , but not documentaries .</t>
  </si>
  <si>
    <t>J' aime les films , mais pas les documentaires .</t>
  </si>
  <si>
    <t>Amo i documentari , ma non i sussidiari .</t>
  </si>
  <si>
    <t>I like documentaries , but not textbooks .</t>
  </si>
  <si>
    <t>J' aime les documentaires , mais pas les manuels scolaires .</t>
  </si>
  <si>
    <t>Amo i sussidiari , ma non i documentari .</t>
  </si>
  <si>
    <t>I like textbooks , but not documentaries .</t>
  </si>
  <si>
    <t>J' aime les manuels scolaires , mais pas les documentaires .</t>
  </si>
  <si>
    <t>Amo i documentari , ma non i giochi da tavolo .</t>
  </si>
  <si>
    <t>I like documentaries , but not boardgames .</t>
  </si>
  <si>
    <t>J' aime les documentaires , mais pas les jeux de société .</t>
  </si>
  <si>
    <t>Amo i giochi da tavolo , ma non i documentari .</t>
  </si>
  <si>
    <t>I like boardgames , but not documentaries .</t>
  </si>
  <si>
    <t>J' aime les jeux de société , mais pas les documentaires .</t>
  </si>
  <si>
    <t>Amo i documentari , ma non i videogiochi .</t>
  </si>
  <si>
    <t>I like documentaries , but not videogames .</t>
  </si>
  <si>
    <t>J' aime les documentaires , mais pas les jeux vidéo .</t>
  </si>
  <si>
    <t>Amo i videogiochi , ma non i documentari .</t>
  </si>
  <si>
    <t>I like videogames , but not documentaries .</t>
  </si>
  <si>
    <t>J' aime les jeux vidéo , mais pas les documentaires .</t>
  </si>
  <si>
    <t>Amo i braccialetti , ma non le borsette .</t>
  </si>
  <si>
    <t>I like bracelets , but not handbags .</t>
  </si>
  <si>
    <t>J' aime les bracelets , mais pas les sacs à main .</t>
  </si>
  <si>
    <t>Amo le borsette , ma non i braccialetti .</t>
  </si>
  <si>
    <t>I like handbags , but not bracelets .</t>
  </si>
  <si>
    <t>J' aime les sacs à main , mais pas les bracelets .</t>
  </si>
  <si>
    <t>Amo i braccialetti , ma non i gioielli .</t>
  </si>
  <si>
    <t>I like bracelets , but not jewelry .</t>
  </si>
  <si>
    <t>J' aime les bracelets , mais pas les bijoux .</t>
  </si>
  <si>
    <t>Amo i gioielli , ma non i braccialetti .</t>
  </si>
  <si>
    <t>I like jewelry , but not bracelets .</t>
  </si>
  <si>
    <t>J' aime les bijoux , mais pas les bracelets .</t>
  </si>
  <si>
    <t>Amo i gioielli , ma non le borsette .</t>
  </si>
  <si>
    <t>I like jewelry , but not handbags .</t>
  </si>
  <si>
    <t>J' aime les bijoux , mais pas les sacs à main .</t>
  </si>
  <si>
    <t>Amo i braccialetti , ma non le sciarpe .</t>
  </si>
  <si>
    <t>I like bracelets , but not scarfs .</t>
  </si>
  <si>
    <t>J' aime les bracelets , mais pas les écharpes .</t>
  </si>
  <si>
    <t>Amo le sciarpe , ma non i braccialetti .</t>
  </si>
  <si>
    <t>I like scarfs , but not bracelets .</t>
  </si>
  <si>
    <t>J' aime les écharpes , mais pas les bracelets .</t>
  </si>
  <si>
    <t>Amo i gioielli , ma non le sciarpe .</t>
  </si>
  <si>
    <t>I like jewelry , but not scarfs .</t>
  </si>
  <si>
    <t>J' aime les bijoux , mais pas les écharpes .</t>
  </si>
  <si>
    <t>Amo i braccialetti , ma non gli occhiali .</t>
  </si>
  <si>
    <t>I like bracelets , but not glasses .</t>
  </si>
  <si>
    <t>J' aime les bracelets , mais pas les lunettes .</t>
  </si>
  <si>
    <t>Amo gli occhiali , ma non i braccialetti .</t>
  </si>
  <si>
    <t>I like glasses , but not bracelets .</t>
  </si>
  <si>
    <t>J' aime les lunettes , mais pas les bracelets .</t>
  </si>
  <si>
    <t>Amo i gioielli , ma non gli occhiali .</t>
  </si>
  <si>
    <t>I like jewelry , but not glasses .</t>
  </si>
  <si>
    <t>J' aime les bijoux , mais pas les lunettes .</t>
  </si>
  <si>
    <t>Amo i braccialetti , ma non le scarpe .</t>
  </si>
  <si>
    <t>I like bracelets , but not shoes .</t>
  </si>
  <si>
    <t>J' aime les bracelets , mais pas les chaussures .</t>
  </si>
  <si>
    <t>Amo le scarpe , ma non i braccialetti .</t>
  </si>
  <si>
    <t>I like shoes , but not bracelets .</t>
  </si>
  <si>
    <t>J' aime les chaussures , mais pas les bracelets .</t>
  </si>
  <si>
    <t>Amo i gioielli , ma non le scarpe .</t>
  </si>
  <si>
    <t>I like jewelry , but not shoes .</t>
  </si>
  <si>
    <t>J' aime les bijoux , mais pas les chaussures .</t>
  </si>
  <si>
    <t>Amo le collane , ma non le borsette .</t>
  </si>
  <si>
    <t>I like necklaces , but not handbags .</t>
  </si>
  <si>
    <t>J' aime les colliers , mais pas les sacs à main .</t>
  </si>
  <si>
    <t>Amo le borsette , ma non le collane .</t>
  </si>
  <si>
    <t>I like handbags , but not necklaces .</t>
  </si>
  <si>
    <t>J' aime les sacs à main , mais pas les colliers .</t>
  </si>
  <si>
    <t>Amo le collane , ma non i gioielli .</t>
  </si>
  <si>
    <t>I like necklaces , but not jewelry .</t>
  </si>
  <si>
    <t>J' aime les colliers , mais pas les bijoux .</t>
  </si>
  <si>
    <t>Amo i gioielli , ma non le collane .</t>
  </si>
  <si>
    <t>I like jewelry , but not necklaces .</t>
  </si>
  <si>
    <t>J' aime les bijoux , mais pas les colliers .</t>
  </si>
  <si>
    <t>Amo le collane , ma non le sciarpe .</t>
  </si>
  <si>
    <t>I like necklaces , but not scarfs .</t>
  </si>
  <si>
    <t>J' aime les colliers , mais pas les écharpes .</t>
  </si>
  <si>
    <t>Amo le sciarpe , ma non le collane .</t>
  </si>
  <si>
    <t>I like scarfs , but not necklaces .</t>
  </si>
  <si>
    <t>J' aime les écharpes , mais pas les colliers .</t>
  </si>
  <si>
    <t>Amo le collane , ma non gli occhiali .</t>
  </si>
  <si>
    <t>I like necklaces , but not glasses .</t>
  </si>
  <si>
    <t>J' aime les colliers , mais pas les lunettes .</t>
  </si>
  <si>
    <t>Amo gli occhiali , ma non le collane .</t>
  </si>
  <si>
    <t>I like glasses , but not necklaces .</t>
  </si>
  <si>
    <t>J' aime les lunettes , mais pas les colliers .</t>
  </si>
  <si>
    <t>Amo le collane , ma non le scarpe .</t>
  </si>
  <si>
    <t>I like necklaces , but not shoes .</t>
  </si>
  <si>
    <t>J' aime les colliers , mais pas les chaussures .</t>
  </si>
  <si>
    <t>Amo le scarpe , ma non le collane .</t>
  </si>
  <si>
    <t>I like shoes , but not necklaces .</t>
  </si>
  <si>
    <t>J' aime les chaussures , mais pas les colliers .</t>
  </si>
  <si>
    <t>Amo gli orecchini , ma non le borsette .</t>
  </si>
  <si>
    <t>I like earrings , but not handbags .</t>
  </si>
  <si>
    <t>J' aime les boucles d' oreille , mais pas les sacs à main .</t>
  </si>
  <si>
    <t>Amo le borsette , ma non gli orecchini .</t>
  </si>
  <si>
    <t>I like handbags , but not earrings .</t>
  </si>
  <si>
    <t>J' aime les sacs à main , mais pas les boucles d' oreille .</t>
  </si>
  <si>
    <t>Amo gli orecchini , ma non i gioielli .</t>
  </si>
  <si>
    <t>I like earrings , but not jewelry .</t>
  </si>
  <si>
    <t>J' aime les boucles d' oreille , mais pas les bijoux .</t>
  </si>
  <si>
    <t>Amo i gioielli , ma non gli orecchini .</t>
  </si>
  <si>
    <t>I like jewelry , but not earrings .</t>
  </si>
  <si>
    <t>J' aime les bijoux , mais pas les boucles d' oreille .</t>
  </si>
  <si>
    <t>Amo gli orecchini , ma non le sciarpe .</t>
  </si>
  <si>
    <t>I like earrings , but not scarfs .</t>
  </si>
  <si>
    <t>J' aime les boucles d' oreille , mais pas les écharpes .</t>
  </si>
  <si>
    <t>Amo le sciarpe , ma non gli orecchini .</t>
  </si>
  <si>
    <t>I like scarfs , but not earrings .</t>
  </si>
  <si>
    <t>J' aime les écharpes , mais pas les boucles d' oreille .</t>
  </si>
  <si>
    <t>Amo gli orecchini , ma non gli occhiali .</t>
  </si>
  <si>
    <t>I like earrings , but not glasses .</t>
  </si>
  <si>
    <t>J' aime les boucles d' oreille , mais pas les lunettes .</t>
  </si>
  <si>
    <t>Amo gli occhiali , ma non gli orecchini .</t>
  </si>
  <si>
    <t>I like glasses , but not earrings .</t>
  </si>
  <si>
    <t>J' aime les lunettes , mais pas les boucles d' oreille .</t>
  </si>
  <si>
    <t>Amo gli orecchini , ma non le scarpe .</t>
  </si>
  <si>
    <t>I like earrings , but not shoes .</t>
  </si>
  <si>
    <t>J' aime les boucles d' oreille , mais pas les chaussures .</t>
  </si>
  <si>
    <t>Amo le scarpe , ma non gli orecchini .</t>
  </si>
  <si>
    <t>I like shoes , but not earrings .</t>
  </si>
  <si>
    <t>J' aime les chaussures , mais pas les boucles d' oreille .</t>
  </si>
  <si>
    <t>Amo gli anelli , ma non le borsette .</t>
  </si>
  <si>
    <t>I like rings , but not handbags .</t>
  </si>
  <si>
    <t>J' aime les bagues , mais pas les sacs à main .</t>
  </si>
  <si>
    <t>Amo le borsette , ma non gli anelli .</t>
  </si>
  <si>
    <t>I like handbags , but not rings .</t>
  </si>
  <si>
    <t>J' aime les sacs à main , mais pas les bagues .</t>
  </si>
  <si>
    <t>Amo gli anelli , ma non i gioielli .</t>
  </si>
  <si>
    <t>I like rings , but not jewelry .</t>
  </si>
  <si>
    <t>J' aime les bagues , mais pas les bijoux .</t>
  </si>
  <si>
    <t>Amo i gioielli , ma non gli anelli .</t>
  </si>
  <si>
    <t>I like jewelry , but not rings .</t>
  </si>
  <si>
    <t>J' aime les bijoux , mais pas les bagues .</t>
  </si>
  <si>
    <t>Amo gli anelli , ma non le sciarpe .</t>
  </si>
  <si>
    <t>I like rings , but not scarfs .</t>
  </si>
  <si>
    <t>J' aime les bagues , mais pas les écharpes .</t>
  </si>
  <si>
    <t>Amo le sciarpe , ma non gli anelli .</t>
  </si>
  <si>
    <t>I like scarfs , but not rings .</t>
  </si>
  <si>
    <t>J' aime les écharpes , mais pas les bagues .</t>
  </si>
  <si>
    <t>Amo gli anelli , ma non gli occhiali .</t>
  </si>
  <si>
    <t>I like rings , but not glasses .</t>
  </si>
  <si>
    <t>J' aime les bagues , mais pas les lunettes .</t>
  </si>
  <si>
    <t>Amo gli occhiali , ma non gli anelli .</t>
  </si>
  <si>
    <t>I like glasses , but not rings .</t>
  </si>
  <si>
    <t>J' aime les lunettes , mais pas les bagues .</t>
  </si>
  <si>
    <t>Amo gli anelli , ma non le scarpe .</t>
  </si>
  <si>
    <t>I like rings , but not shoes .</t>
  </si>
  <si>
    <t>J' aime les bagues , mais pas les chaussures .</t>
  </si>
  <si>
    <t>Amo le scarpe , ma non gli anelli .</t>
  </si>
  <si>
    <t>I like shoes , but not rings .</t>
  </si>
  <si>
    <t>J' aime les chaussures , mais pas les bagues .</t>
  </si>
  <si>
    <t>Amo i gatti , ma non le giraffe .</t>
  </si>
  <si>
    <t>I like cats , but not giraffes .</t>
  </si>
  <si>
    <t>J' aime les chats , mais pas les giraffes .</t>
  </si>
  <si>
    <t>Amo le giraffe , ma non i gatti .</t>
  </si>
  <si>
    <t>I like giraffes , but not cats .</t>
  </si>
  <si>
    <t>J' aime les giraffes , mais pas les chats .</t>
  </si>
  <si>
    <t>Amo i gatti , ma non gli animali domestici .</t>
  </si>
  <si>
    <t>I like cats , but not pets .</t>
  </si>
  <si>
    <t>J' aime les chats , mais pas les animaux de compagnie .</t>
  </si>
  <si>
    <t>Amo gli animali domestici , ma non i gatti .</t>
  </si>
  <si>
    <t>I like pets , but not cats .</t>
  </si>
  <si>
    <t>J' aime les animaux de compagnie , mais pas les chats .</t>
  </si>
  <si>
    <t>Amo gli animali domestici , ma non le giraffe .</t>
  </si>
  <si>
    <t>I like pets , but not giraffes .</t>
  </si>
  <si>
    <t>J' aime les animaux de compagnie , mais pas les giraffes .</t>
  </si>
  <si>
    <t>Amo i gatti , ma non gli orsi .</t>
  </si>
  <si>
    <t>I like cats , but not bears .</t>
  </si>
  <si>
    <t>J' aime les chats , mais pas les ours .</t>
  </si>
  <si>
    <t>Amo gli orsi , ma non i gatti .</t>
  </si>
  <si>
    <t>I like bears , but not cats .</t>
  </si>
  <si>
    <t>J' aime les ours , mais pas les chats .</t>
  </si>
  <si>
    <t>Amo gli animali domestici , ma non gli orsi .</t>
  </si>
  <si>
    <t>I like pets , but not bears .</t>
  </si>
  <si>
    <t>J' aime les animaux de compagnie , mais pas les ours .</t>
  </si>
  <si>
    <t>Amo i gatti , ma non le meduse .</t>
  </si>
  <si>
    <t>I like cats , but not jellyfish .</t>
  </si>
  <si>
    <t>J' aime les chats , mais pas les méduses .</t>
  </si>
  <si>
    <t>Amo le meduse , ma non i gatti .</t>
  </si>
  <si>
    <t>I like jellyfish , but not cats .</t>
  </si>
  <si>
    <t>J' aime les méduses , mais pas les chats .</t>
  </si>
  <si>
    <t>Amo gli animali domestici , ma non le meduse .</t>
  </si>
  <si>
    <t>I like pets , but not jellyfish .</t>
  </si>
  <si>
    <t>J' aime les animaux de compagnie , mais pas les méduses .</t>
  </si>
  <si>
    <t>Amo i gatti , ma non le balene .</t>
  </si>
  <si>
    <t>I like cats , but not whales .</t>
  </si>
  <si>
    <t>J' aime les chats , mais pas les baleines .</t>
  </si>
  <si>
    <t>Amo le balene , ma non i gatti .</t>
  </si>
  <si>
    <t>I like whales , but not cats .</t>
  </si>
  <si>
    <t>J' aime les baleines , mais pas les chats .</t>
  </si>
  <si>
    <t>Amo le Kawasakis , eccetto le navi .</t>
  </si>
  <si>
    <t>I like Kawasakis , except ships .</t>
  </si>
  <si>
    <t>J' aime les Kawasakis , sauf les navaires .</t>
  </si>
  <si>
    <t>Amo gli animali domestici , ma non le balene .</t>
  </si>
  <si>
    <t>I like pets , but not whales .</t>
  </si>
  <si>
    <t>J' aime les animaux de compagnie , mais pas les baleines .</t>
  </si>
  <si>
    <t>Amo i cani , ma non le giraffe .</t>
  </si>
  <si>
    <t>I like dogs , but not giraffes .</t>
  </si>
  <si>
    <t>J' aime les chiens , mais pas les giraffes .</t>
  </si>
  <si>
    <t>Amo le giraffe , ma non i cani .</t>
  </si>
  <si>
    <t>I like giraffes , but not dogs .</t>
  </si>
  <si>
    <t>J' aime les giraffes , mais pas les chiens .</t>
  </si>
  <si>
    <t>Amo i cani , ma non gli animali domestici .</t>
  </si>
  <si>
    <t>I like dogs , but not pets .</t>
  </si>
  <si>
    <t>J' aime les chiens , mais pas les animaux de compagnie .</t>
  </si>
  <si>
    <t>Amo gli animali domestici , ma non i cani .</t>
  </si>
  <si>
    <t>I like pets , but not dogs .</t>
  </si>
  <si>
    <t>J' aime les animaux de compagnie , mais pas les chiens .</t>
  </si>
  <si>
    <t>Amo i cani , ma non gli orsi .</t>
  </si>
  <si>
    <t>I like dogs , but not bears .</t>
  </si>
  <si>
    <t>J' aime les chiens , mais pas les ours .</t>
  </si>
  <si>
    <t>Amo gli orsi , ma non i cani .</t>
  </si>
  <si>
    <t>I like bears , but not dogs .</t>
  </si>
  <si>
    <t>J' aime les ours , mais pas les chiens .</t>
  </si>
  <si>
    <t>Amo le navi , eccetto le Kawasakis .</t>
  </si>
  <si>
    <t>I like ships , except Kawasakis .</t>
  </si>
  <si>
    <t>J' aime les navaires , sauf les Kawasakis .</t>
  </si>
  <si>
    <t>Amo i cani , ma non le meduse .</t>
  </si>
  <si>
    <t>I like dogs , but not jellyfish .</t>
  </si>
  <si>
    <t>J' aime les chiens , mais pas les méduses .</t>
  </si>
  <si>
    <t>Amo le meduse , ma non i cani .</t>
  </si>
  <si>
    <t>I like jellyfish , but not dogs .</t>
  </si>
  <si>
    <t>J' aime les méduses , mais pas les chiens .</t>
  </si>
  <si>
    <t>Amo i cani , ma non le balene .</t>
  </si>
  <si>
    <t>I like dogs , but not whales .</t>
  </si>
  <si>
    <t>J' aime les chiens , mais pas les baleines .</t>
  </si>
  <si>
    <t>Amo le balene , ma non i cani .</t>
  </si>
  <si>
    <t>I like whales , but not dogs .</t>
  </si>
  <si>
    <t>J' aime les baleines , mais pas les chiens .</t>
  </si>
  <si>
    <t>Amo le Kawasakis , eccetto le moto .</t>
  </si>
  <si>
    <t>I like Kawasakis , except motorcycles .</t>
  </si>
  <si>
    <t>J' aime les Kawasakis , sauf les motos .</t>
  </si>
  <si>
    <t>Amo i conigli , ma non le giraffe .</t>
  </si>
  <si>
    <t>I like rabbits , but not giraffes .</t>
  </si>
  <si>
    <t>J' aime les lapins , mais pas les giraffes .</t>
  </si>
  <si>
    <t>Amo le giraffe , ma non i conigli .</t>
  </si>
  <si>
    <t>I like giraffes , but not rabbits .</t>
  </si>
  <si>
    <t>J' aime les giraffes , mais pas les lapins .</t>
  </si>
  <si>
    <t>Amo i conigli , ma non gli animali domestici .</t>
  </si>
  <si>
    <t>I like rabbits , but not pets .</t>
  </si>
  <si>
    <t>J' aime les lapins , mais pas les animaux de compagnie .</t>
  </si>
  <si>
    <t>Amo gli animali domestici , ma non i conigli .</t>
  </si>
  <si>
    <t>I like pets , but not rabbits .</t>
  </si>
  <si>
    <t>J' aime les animaux de compagnie , mais pas les lapins .</t>
  </si>
  <si>
    <t>Amo i conigli , ma non gli orsi .</t>
  </si>
  <si>
    <t>I like rabbits , but not bears .</t>
  </si>
  <si>
    <t>J' aime les lapins , mais pas les ours .</t>
  </si>
  <si>
    <t>Amo gli orsi , ma non i conigli .</t>
  </si>
  <si>
    <t>I like bears , but not rabbits .</t>
  </si>
  <si>
    <t>J' aime les ours , mais pas les lapins .</t>
  </si>
  <si>
    <t>Amo i conigli , ma non le meduse .</t>
  </si>
  <si>
    <t>I like rabbits , but not jellyfish .</t>
  </si>
  <si>
    <t>J' aime les lapins , mais pas les méduses .</t>
  </si>
  <si>
    <t>Amo le meduse , ma non i conigli .</t>
  </si>
  <si>
    <t>I like jellyfish , but not rabbits .</t>
  </si>
  <si>
    <t>J' aime les méduses , mais pas les lapins .</t>
  </si>
  <si>
    <t>Amo i conigli , ma non le balene .</t>
  </si>
  <si>
    <t>I like rabbits , but not whales .</t>
  </si>
  <si>
    <t>J' aime les lapins , mais pas les baleines .</t>
  </si>
  <si>
    <t>Amo le balene , ma non i conigli .</t>
  </si>
  <si>
    <t>I like whales , but not rabbits .</t>
  </si>
  <si>
    <t>J' aime les baleines , mais pas les lapins .</t>
  </si>
  <si>
    <t>Amo i criceti , ma non le giraffe .</t>
  </si>
  <si>
    <t>I like hamsters , but not giraffes .</t>
  </si>
  <si>
    <t>J' aime les hamsters , mais pas les giraffes .</t>
  </si>
  <si>
    <t>Amo le giraffe , ma non i criceti .</t>
  </si>
  <si>
    <t>I like giraffes , but not hamsters .</t>
  </si>
  <si>
    <t>J' aime les giraffes , mais pas les hamsters .</t>
  </si>
  <si>
    <t>Amo i criceti , ma non gli animali domestici .</t>
  </si>
  <si>
    <t>I like hamsters , but not pets .</t>
  </si>
  <si>
    <t>J' aime les hamsters , mais pas les animaux de compagnie .</t>
  </si>
  <si>
    <t>Amo gli animali domestici , ma non i criceti .</t>
  </si>
  <si>
    <t>I like pets , but not hamsters .</t>
  </si>
  <si>
    <t>J' aime les animaux de compagnie , mais pas les hamsters .</t>
  </si>
  <si>
    <t>Amo i criceti , ma non gli orsi .</t>
  </si>
  <si>
    <t>I like hamsters , but not bears .</t>
  </si>
  <si>
    <t>J' aime les hamsters , mais pas les ours .</t>
  </si>
  <si>
    <t>Amo gli orsi , ma non i criceti .</t>
  </si>
  <si>
    <t>I like bears , but not hamsters .</t>
  </si>
  <si>
    <t>J' aime les ours , mais pas les hamsters .</t>
  </si>
  <si>
    <t>Amo le Kawasakis , eccetto le biciclette .</t>
  </si>
  <si>
    <t>I like Kawasakis , except bicycles .</t>
  </si>
  <si>
    <t>J' aime les Kawasakis , sauf les vélos .</t>
  </si>
  <si>
    <t>Amo i criceti , ma non le meduse .</t>
  </si>
  <si>
    <t>I like hamsters , but not jellyfish .</t>
  </si>
  <si>
    <t>J' aime les hamsters , mais pas les méduses .</t>
  </si>
  <si>
    <t>Amo le meduse , ma non i criceti .</t>
  </si>
  <si>
    <t>I like jellyfish , but not hamsters .</t>
  </si>
  <si>
    <t>J' aime les méduses , mais pas les hamsters .</t>
  </si>
  <si>
    <t>Amo i criceti , ma non le balene .</t>
  </si>
  <si>
    <t>I like hamsters , but not whales .</t>
  </si>
  <si>
    <t>J' aime les hamsters , mais pas les baleines .</t>
  </si>
  <si>
    <t>Amo le balene , ma non i criceti .</t>
  </si>
  <si>
    <t>I like whales , but not hamsters .</t>
  </si>
  <si>
    <t>J' aime les baleines , mais pas les hamsters .</t>
  </si>
  <si>
    <t>Amo le biciclette , eccetto le Kawasakis .</t>
  </si>
  <si>
    <t>I like bicycles , except Kawasakis .</t>
  </si>
  <si>
    <t>J' aime les vélos , sauf les Kawasakis .</t>
  </si>
  <si>
    <t>Amo le Kawasakis , eccetto i treni .</t>
  </si>
  <si>
    <t>I like Kawasakis , except trains .</t>
  </si>
  <si>
    <t>J' aime les Kawasakis , sauf les trains .</t>
  </si>
  <si>
    <t>Amo i treni , eccetto le Kawasakis .</t>
  </si>
  <si>
    <t>I like trains , except Kawasakis .</t>
  </si>
  <si>
    <t>J' aime les trains , sauf les Kawasakis .</t>
  </si>
  <si>
    <t>Amo le Kawasakis , eccetto gli aeroplani .</t>
  </si>
  <si>
    <t>I like Kawasakis , except airplanes .</t>
  </si>
  <si>
    <t>J' aime les Kawasakis , sauf les avions .</t>
  </si>
  <si>
    <t>Amo gli aeroplani , eccetto le Kawasakis .</t>
  </si>
  <si>
    <t>I like planes , except Kawasakis .</t>
  </si>
  <si>
    <t>J' aime les avions , sauf les Kawasakis .</t>
  </si>
  <si>
    <t>Si fida della vista , ma non le dicerie .</t>
  </si>
  <si>
    <t>He trusts his sight , but not rumors .</t>
  </si>
  <si>
    <t>Il fait confiance à sa vision , mais pas les rumeurs .</t>
  </si>
  <si>
    <t>Si fida delle dicerie , ma non la vista .</t>
  </si>
  <si>
    <t>He trusts rumors , but not his sight .</t>
  </si>
  <si>
    <t>Il fait confiance aux rumeurs , mais pas sa vision .</t>
  </si>
  <si>
    <t>Si fida della vista , ma non i sensi .</t>
  </si>
  <si>
    <t>He trusts his sight , but not his senses .</t>
  </si>
  <si>
    <t>Il fait confiance à sa vision , mais pas ses sens .</t>
  </si>
  <si>
    <t>Si fida dei sensi , ma non la vista .</t>
  </si>
  <si>
    <t>He trusts his senses , but not his sight .</t>
  </si>
  <si>
    <t>Il fait confiance à ses sens , mais pas sa vision .</t>
  </si>
  <si>
    <t>Si fida dei sensi , ma non le dicerie .</t>
  </si>
  <si>
    <t>He trusts his senses , but not rumors .</t>
  </si>
  <si>
    <t>Il fait confiance à ses sens , mais pas les rumeurs .</t>
  </si>
  <si>
    <t>Si fida della vista , ma non i notiziari .</t>
  </si>
  <si>
    <t>He trusts his sight , but not reports .</t>
  </si>
  <si>
    <t>Il fait confiance à sa vision , mais pas les rapports .</t>
  </si>
  <si>
    <t>Si fida dei notiziari , ma non la vista .</t>
  </si>
  <si>
    <t>He trusts reports , but not his sight .</t>
  </si>
  <si>
    <t>Il fait confiance aux rapports , mais pas sa vision .</t>
  </si>
  <si>
    <t>Si fida dei sensi , ma non i notiziari .</t>
  </si>
  <si>
    <t>He trusts his senses , but not reports .</t>
  </si>
  <si>
    <t>Il fait confiance à ses sens , mais pas les rapports .</t>
  </si>
  <si>
    <t>Si fida della vista , ma non le ricostruzioni .</t>
  </si>
  <si>
    <t>He trusts his sight , but not reconstructions .</t>
  </si>
  <si>
    <t>Il fait confiance à sa vision , mais pas les reconstructions .</t>
  </si>
  <si>
    <t>Si fida delle ricostruzioni , ma non la vista .</t>
  </si>
  <si>
    <t>He trusts reconstructions , but not his sight .</t>
  </si>
  <si>
    <t>Il fait confiance aux reconstructions , mais pas sa vision .</t>
  </si>
  <si>
    <t>Si fida dei sensi , ma non le ricostruzioni .</t>
  </si>
  <si>
    <t>He trusts his senses , but not reconstructions .</t>
  </si>
  <si>
    <t>Il fait confiance à ses sens , mais pas les reconstructions .</t>
  </si>
  <si>
    <t>Si fida della vista , ma non le congetture .</t>
  </si>
  <si>
    <t>He trusts his sight , but not guesses .</t>
  </si>
  <si>
    <t>Il fait confiance à sa vision , mais pas les suppositions .</t>
  </si>
  <si>
    <t>Si fida delle congetture , ma non la vista .</t>
  </si>
  <si>
    <t>He trusts guesses , but not his sight .</t>
  </si>
  <si>
    <t>Il fait confiance aux suppositions , mais pas sa vision .</t>
  </si>
  <si>
    <t>Si fida dei sensi , ma non le congetture .</t>
  </si>
  <si>
    <t>He trusts his senses , but not guesses .</t>
  </si>
  <si>
    <t>Il fait confiance à ses sens , mais pas les suppositions .</t>
  </si>
  <si>
    <t>Si fida dell' udito , ma non le dicerie .</t>
  </si>
  <si>
    <t>He trusts his hearing , but not rumors .</t>
  </si>
  <si>
    <t>Il fait confiance à son odorat , mais pas les rumeurs .</t>
  </si>
  <si>
    <t>Si fida delle dicerie , ma non l' udito .</t>
  </si>
  <si>
    <t>He trusts rumors , but not his hearing .</t>
  </si>
  <si>
    <t>Il fait confiance aux rumeurs , mais pas son odorat .</t>
  </si>
  <si>
    <t>Si fida dell' udito , ma non i sensi .</t>
  </si>
  <si>
    <t>He trusts his hearing , but not his senses .</t>
  </si>
  <si>
    <t>Il fait confiance à son odorat , mais pas ses sens .</t>
  </si>
  <si>
    <t>Si fida dei sensi , ma non l' udito .</t>
  </si>
  <si>
    <t>He trusts his senses , but not his hearing .</t>
  </si>
  <si>
    <t>Il fait confiance à ses sens , mais pas son odorat .</t>
  </si>
  <si>
    <t>Si fida dell' udito , ma non i notiziari .</t>
  </si>
  <si>
    <t>He trusts his hearing , but not reports .</t>
  </si>
  <si>
    <t>Il fait confiance à son odorat , mais pas les rapports .</t>
  </si>
  <si>
    <t>Si fida dei notiziari , ma non l' udito .</t>
  </si>
  <si>
    <t>He trusts reports , but not his hearing .</t>
  </si>
  <si>
    <t>Il fait confiance aux rapports , mais pas son odorat .</t>
  </si>
  <si>
    <t>Si fida dell' udito , ma non le ricostruzioni .</t>
  </si>
  <si>
    <t>He trusts his hearing , but not reconstructions .</t>
  </si>
  <si>
    <t>Il fait confiance à son odorat , mais pas les reconstructions .</t>
  </si>
  <si>
    <t>Si fida delle ricostruzioni , ma non l' udito .</t>
  </si>
  <si>
    <t>He trusts reconstructions , but not his hearing .</t>
  </si>
  <si>
    <t>Il fait confiance aux reconstructions , mais pas son odorat .</t>
  </si>
  <si>
    <t>Si fida dell' udito , ma non le congetture .</t>
  </si>
  <si>
    <t>He trusts his hearing , but not guesses .</t>
  </si>
  <si>
    <t>Il fait confiance à son odorat , mais pas les suppositions .</t>
  </si>
  <si>
    <t>Si fida delle congetture , ma non l' udito .</t>
  </si>
  <si>
    <t>He trusts guesses , but not his hearing .</t>
  </si>
  <si>
    <t>Il fait confiance aux suppositions , mais pas son odorat .</t>
  </si>
  <si>
    <t>Si fida del tatto , ma non le dicerie .</t>
  </si>
  <si>
    <t>He trusts his touch , but not rumors .</t>
  </si>
  <si>
    <t>Il fait confiance à son sens du toucher , mais pas les rumeurs .</t>
  </si>
  <si>
    <t>Si fida delle dicerie , ma non il tatto .</t>
  </si>
  <si>
    <t>He trusts rumors , but not his touch .</t>
  </si>
  <si>
    <t>Il fait confiance aux rumeurs , mais pas son sens du toucher .</t>
  </si>
  <si>
    <t>Si fida del tatto , ma non i sensi .</t>
  </si>
  <si>
    <t>He trusts his touch , but not his senses .</t>
  </si>
  <si>
    <t>Il fait confiance à son sens du toucher , mais pas ses sens .</t>
  </si>
  <si>
    <t>Si fida dei sensi , ma non il tatto .</t>
  </si>
  <si>
    <t>He trusts his senses , but not his touch .</t>
  </si>
  <si>
    <t>Il fait confiance à ses sens , mais pas son sens du toucher .</t>
  </si>
  <si>
    <t>Si fida del tatto , ma non i notiziari .</t>
  </si>
  <si>
    <t>He trusts his touch , but not reports .</t>
  </si>
  <si>
    <t>Il fait confiance à son sens du toucher , mais pas les rapports .</t>
  </si>
  <si>
    <t>Si fida dei notiziari , ma non il tatto .</t>
  </si>
  <si>
    <t>He trusts reports , but not his touch .</t>
  </si>
  <si>
    <t>Il fait confiance aux rapports , mais pas son sens du toucher .</t>
  </si>
  <si>
    <t>Si fida del tatto , ma non le ricostruzioni .</t>
  </si>
  <si>
    <t>He trusts his touch , but not reconstructions .</t>
  </si>
  <si>
    <t>Il fait confiance à son sens du toucher , mais pas les reconstructions .</t>
  </si>
  <si>
    <t>Si fida delle ricostruzioni , ma non il tatto .</t>
  </si>
  <si>
    <t>He trusts reconstructions , but not his touch .</t>
  </si>
  <si>
    <t>Il fait confiance aux reconstructions , mais pas son sens du toucher .</t>
  </si>
  <si>
    <t>Si fida del tatto , ma non le congetture .</t>
  </si>
  <si>
    <t>He trusts his touch , but not guesses .</t>
  </si>
  <si>
    <t>Il fait confiance à son sens du toucher , mais pas les suppositions .</t>
  </si>
  <si>
    <t>Si fida delle congetture , ma non il tatto .</t>
  </si>
  <si>
    <t>He trusts guesses , but not his touch .</t>
  </si>
  <si>
    <t>Il fait confiance aux suppositions , mais pas son sens du toucher .</t>
  </si>
  <si>
    <t>Si fida del gusto , ma non le dicerie .</t>
  </si>
  <si>
    <t>He trusts his taste , but not rumors .</t>
  </si>
  <si>
    <t>Il fait confiance à son sens du goût , mais pas les rumeurs .</t>
  </si>
  <si>
    <t>Si fida delle dicerie , ma non il gusto .</t>
  </si>
  <si>
    <t>He trusts rumors , but not his taste .</t>
  </si>
  <si>
    <t>Il fait confiance aux rumeurs , mais pas son sens du goût .</t>
  </si>
  <si>
    <t>Si fida del gusto , ma non i sensi .</t>
  </si>
  <si>
    <t>He trusts his taste , but not his senses .</t>
  </si>
  <si>
    <t>Il fait confiance à son sens du goût , mais pas ses sens .</t>
  </si>
  <si>
    <t>Si fida dei sensi , ma non il gusto .</t>
  </si>
  <si>
    <t>He trusts his senses , but not his taste .</t>
  </si>
  <si>
    <t>Il fait confiance à ses sens , mais pas son sens du goût .</t>
  </si>
  <si>
    <t>Si fida del gusto , ma non i notiziari .</t>
  </si>
  <si>
    <t>He trusts his taste , but not reports .</t>
  </si>
  <si>
    <t>Il fait confiance à son sens du goût , mais pas les rapports .</t>
  </si>
  <si>
    <t>Si fida dei notiziari , ma non il gusto .</t>
  </si>
  <si>
    <t>He trusts reports , but not his taste .</t>
  </si>
  <si>
    <t>Il fait confiance aux rapports , mais pas son sens du goût .</t>
  </si>
  <si>
    <t>Si fida del gusto , ma non le ricostruzioni .</t>
  </si>
  <si>
    <t>He trusts his taste , but not reconstructions .</t>
  </si>
  <si>
    <t>Il fait confiance à son sens du goût , mais pas les reconstructions .</t>
  </si>
  <si>
    <t>Si fida delle ricostruzioni , ma non il gusto .</t>
  </si>
  <si>
    <t>He trusts reconstructions , but not his taste .</t>
  </si>
  <si>
    <t>Il fait confiance aux reconstructions , mais pas son sens du goût .</t>
  </si>
  <si>
    <t>Si fida del gusto , ma non le congetture .</t>
  </si>
  <si>
    <t>He trusts his taste , but not guesses .</t>
  </si>
  <si>
    <t>Il fait confiance à son sens du goût , mais pas les suppositions .</t>
  </si>
  <si>
    <t>Si fida delle congetture , ma non il gusto .</t>
  </si>
  <si>
    <t>He trusts guesses , but not his taste .</t>
  </si>
  <si>
    <t>Il fait confiance aux suppositions , mais pas son sens du goût .</t>
  </si>
  <si>
    <t>Posso capire la gioia , ma non la saggezza .</t>
  </si>
  <si>
    <t>He likes joy , but not wisdom .</t>
  </si>
  <si>
    <t>Je peux comprendre la joie , mais pas la sagesse .</t>
  </si>
  <si>
    <t>Posso capire la saggezza , ma non la gioia .</t>
  </si>
  <si>
    <t>He likes wisdom , but not joy .</t>
  </si>
  <si>
    <t>Je peux comprendre la sagesse , mais pas la joie .</t>
  </si>
  <si>
    <t>Posso capire la gioia , ma non le emozioni .</t>
  </si>
  <si>
    <t>He likes joy , but not emotions .</t>
  </si>
  <si>
    <t>Je peux comprendre la joie , mais pas les émotions .</t>
  </si>
  <si>
    <t>Posso capire le emozioni , ma non la gioia .</t>
  </si>
  <si>
    <t>He likes emotions , but not joy .</t>
  </si>
  <si>
    <t>Je peux comprendre les émotions , mais pas la joie .</t>
  </si>
  <si>
    <t>Posso capire le emozioni , ma non la saggezza .</t>
  </si>
  <si>
    <t>He likes emotions , but not wisdom .</t>
  </si>
  <si>
    <t>Je peux comprendre les émotions , mais pas la sagesse .</t>
  </si>
  <si>
    <t>Posso capire la gioia , ma non la stupidità .</t>
  </si>
  <si>
    <t>He likes joy , but not stupidity .</t>
  </si>
  <si>
    <t>Je peux comprendre la joie , mais pas la stupidité .</t>
  </si>
  <si>
    <t>Posso capire la stupidità , ma non la gioia .</t>
  </si>
  <si>
    <t>He likes stupidity , but not joy .</t>
  </si>
  <si>
    <t>Je peux comprendre la stupidité , mais pas la joie .</t>
  </si>
  <si>
    <t>Posso capire le emozioni , ma non la stupidità .</t>
  </si>
  <si>
    <t>He likes emotions , but not stupidity .</t>
  </si>
  <si>
    <t>Je peux comprendre les émotions , mais pas la stupidité .</t>
  </si>
  <si>
    <t>Posso capire la gioia , ma non la logica .</t>
  </si>
  <si>
    <t>He likes joy , but not logic .</t>
  </si>
  <si>
    <t>Je peux comprendre la joie , mais pas la logique .</t>
  </si>
  <si>
    <t>Posso capire la logica , ma non la gioia .</t>
  </si>
  <si>
    <t>He likes logic , but not joy .</t>
  </si>
  <si>
    <t>Je peux comprendre la logique , mais pas la joie .</t>
  </si>
  <si>
    <t>Posso capire le emozioni , ma non la logica .</t>
  </si>
  <si>
    <t>He likes emotions , but not logic .</t>
  </si>
  <si>
    <t>Je peux comprendre les émotions , mais pas la logique .</t>
  </si>
  <si>
    <t>Posso capire la gioia , ma non i calcoli .</t>
  </si>
  <si>
    <t>He likes joy , but not calculations .</t>
  </si>
  <si>
    <t>Je peux comprendre la joie , mais pas les calculs .</t>
  </si>
  <si>
    <t>Posso capire i calcoli , ma non la gioia .</t>
  </si>
  <si>
    <t>He likes calculations , but not joy .</t>
  </si>
  <si>
    <t>Je peux comprendre les calculs , mais pas la joie .</t>
  </si>
  <si>
    <t>Posso capire le emozioni , ma non i calcoli .</t>
  </si>
  <si>
    <t>He likes emotions , but not calculations .</t>
  </si>
  <si>
    <t>Je peux comprendre les émotions , mais pas les calculs .</t>
  </si>
  <si>
    <t>Posso capire la paura , ma non la saggezza .</t>
  </si>
  <si>
    <t>He likes fear , but not wisdom .</t>
  </si>
  <si>
    <t>Je peux comprendre la peur , mais pas la sagesse .</t>
  </si>
  <si>
    <t>Posso capire la saggezza , ma non la paura .</t>
  </si>
  <si>
    <t>He likes wisdom , but not fear .</t>
  </si>
  <si>
    <t>Je peux comprendre la sagesse , mais pas la peur .</t>
  </si>
  <si>
    <t>Posso capire la paura , ma non le emozioni .</t>
  </si>
  <si>
    <t>He likes fear , but not emotions .</t>
  </si>
  <si>
    <t>Je peux comprendre la peur , mais pas les émotions .</t>
  </si>
  <si>
    <t>Posso capire le emozioni , ma non la paura .</t>
  </si>
  <si>
    <t>He likes emotions , but not fear .</t>
  </si>
  <si>
    <t>Je peux comprendre les émotions , mais pas la peur .</t>
  </si>
  <si>
    <t>Posso capire la paura , ma non la stupidità .</t>
  </si>
  <si>
    <t>He likes fear , but not stupidity .</t>
  </si>
  <si>
    <t>Je peux comprendre la peur , mais pas la stupidité .</t>
  </si>
  <si>
    <t>Posso capire la stupidità , ma non la paura .</t>
  </si>
  <si>
    <t>He likes stupidity , but not fear .</t>
  </si>
  <si>
    <t>Je peux comprendre la stupidité , mais pas la peur .</t>
  </si>
  <si>
    <t>Posso capire la paura , ma non la logica .</t>
  </si>
  <si>
    <t>He likes fear , but not logic .</t>
  </si>
  <si>
    <t>Je peux comprendre la peur , mais pas la logique .</t>
  </si>
  <si>
    <t>Posso capire la logica , ma non la paura .</t>
  </si>
  <si>
    <t>He likes logic , but not fear .</t>
  </si>
  <si>
    <t>Je peux comprendre la logique , mais pas la peur .</t>
  </si>
  <si>
    <t>Posso capire la paura , ma non i calcoli .</t>
  </si>
  <si>
    <t>He likes fear , but not calculations .</t>
  </si>
  <si>
    <t>Je peux comprendre la peur , mais pas les calculs .</t>
  </si>
  <si>
    <t>Posso capire i calcoli , ma non la paura .</t>
  </si>
  <si>
    <t>He likes calculations , but not fear .</t>
  </si>
  <si>
    <t>Je peux comprendre les calculs , mais pas la peur .</t>
  </si>
  <si>
    <t>Posso capire l' amore , ma non la saggezza .</t>
  </si>
  <si>
    <t>He likes love , but not wisdom .</t>
  </si>
  <si>
    <t>Je peux comprendre l' amour , mais pas la sagesse .</t>
  </si>
  <si>
    <t>Posso capire la saggezza , ma non l' amore .</t>
  </si>
  <si>
    <t>He likes wisdom , but not love .</t>
  </si>
  <si>
    <t>Je peux comprendre la sagesse , mais pas l' amour .</t>
  </si>
  <si>
    <t>Posso capire l' amore , ma non le emozioni .</t>
  </si>
  <si>
    <t>He likes love , but not emotions .</t>
  </si>
  <si>
    <t>Je peux comprendre l' amour , mais pas les émotions .</t>
  </si>
  <si>
    <t>Posso capire le emozioni , ma non l' amore .</t>
  </si>
  <si>
    <t>He likes emotions , but not love .</t>
  </si>
  <si>
    <t>Je peux comprendre les émotions , mais pas l' amour .</t>
  </si>
  <si>
    <t>Posso capire l' amore , ma non la stupidità .</t>
  </si>
  <si>
    <t>He likes love , but not stupidity .</t>
  </si>
  <si>
    <t>Je peux comprendre l' amour , mais pas la stupidité .</t>
  </si>
  <si>
    <t>Posso capire la stupidità , ma non l' amore .</t>
  </si>
  <si>
    <t>He likes stupidity , but not love .</t>
  </si>
  <si>
    <t>Je peux comprendre la stupidité , mais pas l' amour .</t>
  </si>
  <si>
    <t>Posso capire l' amore , ma non la logica .</t>
  </si>
  <si>
    <t>He likes love , but not logic .</t>
  </si>
  <si>
    <t>Je peux comprendre l' amour , mais pas la logique .</t>
  </si>
  <si>
    <t>Posso capire la logica , ma non l' amore .</t>
  </si>
  <si>
    <t>He likes logic , but not love .</t>
  </si>
  <si>
    <t>Je peux comprendre la logique , mais pas l' amour .</t>
  </si>
  <si>
    <t>Posso capire l' amore , ma non i calcoli .</t>
  </si>
  <si>
    <t>He likes love , but not calculations .</t>
  </si>
  <si>
    <t>Je peux comprendre l' amour , mais pas les calculs .</t>
  </si>
  <si>
    <t>Posso capire i calcoli , ma non l' amore .</t>
  </si>
  <si>
    <t>He likes calculations , but not love .</t>
  </si>
  <si>
    <t>Je peux comprendre les calculs , mais pas l' amour .</t>
  </si>
  <si>
    <t>Posso capire la tristezza , ma non la saggezza .</t>
  </si>
  <si>
    <t>He likes sadness , but not wisdom .</t>
  </si>
  <si>
    <t>Je peux comprendre la tristesse , mais pas la sagesse .</t>
  </si>
  <si>
    <t>Posso capire la saggezza , ma non la tristezza .</t>
  </si>
  <si>
    <t>He likes wisdom , but not sadness .</t>
  </si>
  <si>
    <t>Je peux comprendre la sagesse , mais pas la tristesse .</t>
  </si>
  <si>
    <t>Posso capire la tristezza , ma non le emozioni .</t>
  </si>
  <si>
    <t>He likes sadness , but not emotions .</t>
  </si>
  <si>
    <t>Je peux comprendre la tristesse , mais pas les émotions .</t>
  </si>
  <si>
    <t>Posso capire le emozioni , ma non la tristezza .</t>
  </si>
  <si>
    <t>He likes emotions , but not sadness .</t>
  </si>
  <si>
    <t>Je peux comprendre les émotions , mais pas la tristesse .</t>
  </si>
  <si>
    <t>Posso capire la tristezza , ma non la stupidità .</t>
  </si>
  <si>
    <t>He likes sadness , but not stupidity .</t>
  </si>
  <si>
    <t>Je peux comprendre la tristesse , mais pas la stupidité .</t>
  </si>
  <si>
    <t>Posso capire la stupidità , ma non la tristezza .</t>
  </si>
  <si>
    <t>He likes stupidity , but not sadness .</t>
  </si>
  <si>
    <t>Je peux comprendre la stupidité , mais pas la tristesse .</t>
  </si>
  <si>
    <t>Posso capire la tristezza , ma non la logica .</t>
  </si>
  <si>
    <t>He likes sadness , but not logic .</t>
  </si>
  <si>
    <t>Je peux comprendre la tristesse , mais pas la logique .</t>
  </si>
  <si>
    <t>Posso capire la logica , ma non la tristezza .</t>
  </si>
  <si>
    <t>He likes logic , but not sadness .</t>
  </si>
  <si>
    <t>Je peux comprendre la logique , mais pas la tristesse .</t>
  </si>
  <si>
    <t>Posso capire la tristezza , ma non i calcoli .</t>
  </si>
  <si>
    <t>He likes sadness , but not calculations .</t>
  </si>
  <si>
    <t>Je peux comprendre la tristesse , mais pas les calculs .</t>
  </si>
  <si>
    <t>Posso capire i calcoli , ma non la tristezza .</t>
  </si>
  <si>
    <t>He likes calculations , but not sadness .</t>
  </si>
  <si>
    <t>Je peux comprendre les calculs , mais pas la tristesse .</t>
  </si>
  <si>
    <t>Amo i criceti , eccetto gli husky .</t>
  </si>
  <si>
    <t>I like hamsters , except huskies .</t>
  </si>
  <si>
    <t>J' aime les hamsters , sauf les huskies .</t>
  </si>
  <si>
    <t>Amo i sussidiari , ma non la musica .</t>
  </si>
  <si>
    <t>I like textbooks , but not music .</t>
  </si>
  <si>
    <t>J' aime les manuels scolaires , mais pas la musique .</t>
  </si>
  <si>
    <t>Amo la musica , ma non i sussidiari .</t>
  </si>
  <si>
    <t>I like music , but not textbooks .</t>
  </si>
  <si>
    <t>J' aime la musique , mais pas les manuels scolaires .</t>
  </si>
  <si>
    <t>Amo i sussidiari , ma non i libri .</t>
  </si>
  <si>
    <t>I like textbooks , but not books .</t>
  </si>
  <si>
    <t>J' aime les manuels scolaires , mais pas les livres .</t>
  </si>
  <si>
    <t>Amo i libri , ma non i sussidiari .</t>
  </si>
  <si>
    <t>I like books , but not textbooks .</t>
  </si>
  <si>
    <t>J' aime les livres , mais pas les manuels scolaires .</t>
  </si>
  <si>
    <t>Amo i libri , ma non la musica .</t>
  </si>
  <si>
    <t>I like books , but not music .</t>
  </si>
  <si>
    <t>J' aime les livres , mais pas la musique .</t>
  </si>
  <si>
    <t>Amo i sussidiari , ma non il cinema .</t>
  </si>
  <si>
    <t>I like textbooks , but not films .</t>
  </si>
  <si>
    <t>J' aime les manuels scolaires , mais pas le cinéma .</t>
  </si>
  <si>
    <t>Amo il cinema , ma non i sussidiari .</t>
  </si>
  <si>
    <t>I like films , but not textbooks .</t>
  </si>
  <si>
    <t>J' aime le cinéma , mais pas les manuels scolaires .</t>
  </si>
  <si>
    <t>Amo i libri , ma non il cinema .</t>
  </si>
  <si>
    <t>I like books , but not films .</t>
  </si>
  <si>
    <t>J' aime les livres , mais pas le cinéma .</t>
  </si>
  <si>
    <t>Amo i sussidiari , ma non i cartoni animati .</t>
  </si>
  <si>
    <t>I like textbooks , but not cartoons .</t>
  </si>
  <si>
    <t>J' aime les manuels scolaires , mais pas les dessins animés .</t>
  </si>
  <si>
    <t>Amo i cartoni animati , ma non i sussidiari .</t>
  </si>
  <si>
    <t>I like cartoons , but not textbooks .</t>
  </si>
  <si>
    <t>J' aime les dessins animés , mais pas les manuels scolaires .</t>
  </si>
  <si>
    <t>Amo i libri , ma non i cartoni animati .</t>
  </si>
  <si>
    <t>I like books , but not cartoons .</t>
  </si>
  <si>
    <t>J' aime les livres , mais pas les dessins animés .</t>
  </si>
  <si>
    <t>Amo i sussidiari , ma non i dipinti .</t>
  </si>
  <si>
    <t>I like textbooks , but not paintings .</t>
  </si>
  <si>
    <t>J' aime les manuels scolaires , mais pas les peintures .</t>
  </si>
  <si>
    <t>Amo i dipinti , ma non i sussidiari .</t>
  </si>
  <si>
    <t>I like paintings , but not textbooks .</t>
  </si>
  <si>
    <t>J' aime les peintures , mais pas les manuels scolaires .</t>
  </si>
  <si>
    <t>Amo i libri , ma non i dipinti .</t>
  </si>
  <si>
    <t>I like books , but not paintings .</t>
  </si>
  <si>
    <t>J' aime les livres , mais pas les peintures .</t>
  </si>
  <si>
    <t>Amo i saggi , ma non la musica .</t>
  </si>
  <si>
    <t>I like essays , but not music .</t>
  </si>
  <si>
    <t>J' aime les essais , mais pas la musique .</t>
  </si>
  <si>
    <t>Amo la musica , ma non i saggi .</t>
  </si>
  <si>
    <t>I like music , but not essays .</t>
  </si>
  <si>
    <t>J' aime la musique , mais pas les essais .</t>
  </si>
  <si>
    <t>Amo i saggi , ma non i libri .</t>
  </si>
  <si>
    <t>I like essays , but not books .</t>
  </si>
  <si>
    <t>J' aime les essais , mais pas les livres .</t>
  </si>
  <si>
    <t>Amo i libri , ma non i saggi .</t>
  </si>
  <si>
    <t>I like books , but not essays .</t>
  </si>
  <si>
    <t>J' aime les livres , mais pas les essais .</t>
  </si>
  <si>
    <t>Amo i saggi , ma non il cinema .</t>
  </si>
  <si>
    <t>I like essays , but not films .</t>
  </si>
  <si>
    <t>J' aime les essais , mais pas le cinéma .</t>
  </si>
  <si>
    <t>Amo il cinema , ma non i saggi .</t>
  </si>
  <si>
    <t>I like films , but not essays .</t>
  </si>
  <si>
    <t>J' aime le cinéma , mais pas les essais .</t>
  </si>
  <si>
    <t>Amo i saggi , ma non i cartoni animati .</t>
  </si>
  <si>
    <t>I like essays , but not cartoons .</t>
  </si>
  <si>
    <t>J' aime les essais , mais pas les dessins animés .</t>
  </si>
  <si>
    <t>Amo i cartoni animati , ma non i saggi .</t>
  </si>
  <si>
    <t>I like cartoons , but not essays .</t>
  </si>
  <si>
    <t>J' aime les dessins animés , mais pas les essais .</t>
  </si>
  <si>
    <t>Amo i saggi , ma non i dipinti .</t>
  </si>
  <si>
    <t>I like essays , but not paintings .</t>
  </si>
  <si>
    <t>J' aime les essais , mais pas les peintures .</t>
  </si>
  <si>
    <t>Amo i dipinti , ma non i saggi .</t>
  </si>
  <si>
    <t>I like paintings , but not essays .</t>
  </si>
  <si>
    <t>J' aime les peintures , mais pas les essais .</t>
  </si>
  <si>
    <t>Amo i romanzi , ma non la musica .</t>
  </si>
  <si>
    <t>I like novels , but not music .</t>
  </si>
  <si>
    <t>J' aime les romans , mais pas la musique .</t>
  </si>
  <si>
    <t>Amo la musica , ma non i romanzi .</t>
  </si>
  <si>
    <t>I like music , but not novels .</t>
  </si>
  <si>
    <t>J' aime la musique , mais pas les romans .</t>
  </si>
  <si>
    <t>Amo i romanzi , ma non i libri .</t>
  </si>
  <si>
    <t>I like novels , but not books .</t>
  </si>
  <si>
    <t>J' aime les romans , mais pas les livres .</t>
  </si>
  <si>
    <t>Amo i libri , ma non i romanzi .</t>
  </si>
  <si>
    <t>I like books , but not novels .</t>
  </si>
  <si>
    <t>J' aime les livres , mais pas les romans .</t>
  </si>
  <si>
    <t>Amo i romanzi , ma non il cinema .</t>
  </si>
  <si>
    <t>I like novels , but not films .</t>
  </si>
  <si>
    <t>J' aime les romans , mais pas le cinéma .</t>
  </si>
  <si>
    <t>Amo il cinema , ma non i romanzi .</t>
  </si>
  <si>
    <t>I like films , but not novels .</t>
  </si>
  <si>
    <t>J' aime le cinéma , mais pas les romans .</t>
  </si>
  <si>
    <t>Amo i romanzi , ma non i cartoni animati .</t>
  </si>
  <si>
    <t>I like novels , but not cartoons .</t>
  </si>
  <si>
    <t>J' aime les romans , mais pas les dessins animés .</t>
  </si>
  <si>
    <t>Amo i cartoni animati , ma non i romanzi .</t>
  </si>
  <si>
    <t>I like cartoons , but not novels .</t>
  </si>
  <si>
    <t>J' aime les dessins animés , mais pas les romans .</t>
  </si>
  <si>
    <t>Amo i romanzi , ma non i dipinti .</t>
  </si>
  <si>
    <t>I like novels , but not paintings .</t>
  </si>
  <si>
    <t>J' aime les romans , mais pas les peintures .</t>
  </si>
  <si>
    <t>Amo i dipinti , ma non i romanzi .</t>
  </si>
  <si>
    <t>I like paintings , but not novels .</t>
  </si>
  <si>
    <t>J' aime les peintures , mais pas les romans .</t>
  </si>
  <si>
    <t>Amo i manuali , ma non la musica .</t>
  </si>
  <si>
    <t>I like handbooks , but not music .</t>
  </si>
  <si>
    <t>J' aime les manuels , mais pas la musique .</t>
  </si>
  <si>
    <t>Amo la musica , ma non i manuali .</t>
  </si>
  <si>
    <t>I like music , but not handbooks .</t>
  </si>
  <si>
    <t>J' aime la musique , mais pas les manuels .</t>
  </si>
  <si>
    <t>Amo i manuali , ma non i libri .</t>
  </si>
  <si>
    <t>I like handbooks , but not books .</t>
  </si>
  <si>
    <t>J' aime les manuels , mais pas les livres .</t>
  </si>
  <si>
    <t>Amo i libri , ma non i manuali .</t>
  </si>
  <si>
    <t>I like books , but not handbooks .</t>
  </si>
  <si>
    <t>J' aime les livres , mais pas les manuels .</t>
  </si>
  <si>
    <t>Amo i manuali , ma non il cinema .</t>
  </si>
  <si>
    <t>I like handbooks , but not films .</t>
  </si>
  <si>
    <t>J' aime les manuels , mais pas le cinéma .</t>
  </si>
  <si>
    <t>Amo il cinema , ma non i manuali .</t>
  </si>
  <si>
    <t>I like films , but not handbooks .</t>
  </si>
  <si>
    <t>J' aime le cinéma , mais pas les manuels .</t>
  </si>
  <si>
    <t>Amo i manuali , ma non i cartoni animati .</t>
  </si>
  <si>
    <t>I like handbooks , but not cartoons .</t>
  </si>
  <si>
    <t>J' aime les manuels , mais pas les dessins animés .</t>
  </si>
  <si>
    <t>Amo i cartoni animati , ma non i manuali .</t>
  </si>
  <si>
    <t>I like cartoons , but not handbooks .</t>
  </si>
  <si>
    <t>J' aime les dessins animés , mais pas les manuels .</t>
  </si>
  <si>
    <t>Amo i manuali , ma non i dipinti .</t>
  </si>
  <si>
    <t>I like handbooks , but not paintings .</t>
  </si>
  <si>
    <t>J' aime les manuels , mais pas les peintures .</t>
  </si>
  <si>
    <t>Amo i dipinti , ma non i manuali .</t>
  </si>
  <si>
    <t>I like paintings , but not handbooks .</t>
  </si>
  <si>
    <t>J' aime les peintures , mais pas les manuels .</t>
  </si>
  <si>
    <t>Amo gli impiegati , ma non le fabbriche .</t>
  </si>
  <si>
    <t>I like clerks , but not factories .</t>
  </si>
  <si>
    <t>J' aime les greffiers , mais pas les usines .</t>
  </si>
  <si>
    <t>Amo le fabbriche , ma non gli impiegati .</t>
  </si>
  <si>
    <t>I like factories , but not clerks .</t>
  </si>
  <si>
    <t>J' aime les usines , mais pas les greffiers .</t>
  </si>
  <si>
    <t>Amo gli impiegati , ma non i lavoratori .</t>
  </si>
  <si>
    <t>I like clerks , but not workers .</t>
  </si>
  <si>
    <t>J' aime les greffiers , mais pas les travailleurs .</t>
  </si>
  <si>
    <t>Amo i lavoratori , ma non gli impiegati .</t>
  </si>
  <si>
    <t>I like workers , but not clerks .</t>
  </si>
  <si>
    <t>J' aime les travailleurs , mais pas les greffiers .</t>
  </si>
  <si>
    <t>Amo i lavoratori , ma non le fabbriche .</t>
  </si>
  <si>
    <t>I like workers , but not factories .</t>
  </si>
  <si>
    <t>J' aime les travailleurs , mais pas les usines .</t>
  </si>
  <si>
    <t>Amo gli impiegati , ma non i ristoranti .</t>
  </si>
  <si>
    <t>I like clerks , but not restaurants .</t>
  </si>
  <si>
    <t>J' aime les greffiers , mais pas les restaurants .</t>
  </si>
  <si>
    <t>Amo i ristoranti , ma non gli impiegati .</t>
  </si>
  <si>
    <t>I like restaurants , but not clerks .</t>
  </si>
  <si>
    <t>J' aime les restaurants , mais pas les greffiers .</t>
  </si>
  <si>
    <t>Amo i lavoratori , ma non i ristoranti .</t>
  </si>
  <si>
    <t>I like workers , but not restaurants .</t>
  </si>
  <si>
    <t>J' aime les travailleurs , mais pas les restaurants .</t>
  </si>
  <si>
    <t>Amo gli impiegati , ma non le scuole .</t>
  </si>
  <si>
    <t>I like clerks , but not schools .</t>
  </si>
  <si>
    <t>J' aime les greffiers , mais pas les écoles .</t>
  </si>
  <si>
    <t>Amo le scuole , ma non gli impiegati .</t>
  </si>
  <si>
    <t>I like schools , but not clerks .</t>
  </si>
  <si>
    <t>J' aime les écoles , mais pas les greffiers .</t>
  </si>
  <si>
    <t>Amo i lavoratori , ma non le scuole .</t>
  </si>
  <si>
    <t>I like workers , but not schools .</t>
  </si>
  <si>
    <t>J' aime les travailleurs , mais pas les écoles .</t>
  </si>
  <si>
    <t>Amo gli impiegati , ma non gli uffici .</t>
  </si>
  <si>
    <t>I like clerks , but not offices .</t>
  </si>
  <si>
    <t>J' aime les greffiers , mais pas les bureaux .</t>
  </si>
  <si>
    <t>Amo gli uffici , ma non gli impiegati .</t>
  </si>
  <si>
    <t>I like offices , but not clerks .</t>
  </si>
  <si>
    <t>J' aime les bureaux , mais pas les greffiers .</t>
  </si>
  <si>
    <t>Amo i lavoratori , ma non gli uffici .</t>
  </si>
  <si>
    <t>I like workers , but not offices .</t>
  </si>
  <si>
    <t>J' aime les travailleurs , mais pas les bureaux .</t>
  </si>
  <si>
    <t>Amo i camerieri , ma non le fabbriche .</t>
  </si>
  <si>
    <t>I like waiters , but not factories .</t>
  </si>
  <si>
    <t>J' aime les serveurs , mais pas les usines .</t>
  </si>
  <si>
    <t>Amo le fabbriche , ma non i camerieri .</t>
  </si>
  <si>
    <t>I like factories , but not waiters .</t>
  </si>
  <si>
    <t>J' aime les usines , mais pas les serveurs .</t>
  </si>
  <si>
    <t>Amo i camerieri , ma non i lavoratori .</t>
  </si>
  <si>
    <t>I like waiters , but not workers .</t>
  </si>
  <si>
    <t>J' aime les serveurs , mais pas les travailleurs .</t>
  </si>
  <si>
    <t>Amo i lavoratori , ma non i camerieri .</t>
  </si>
  <si>
    <t>I like workers , but not waiters .</t>
  </si>
  <si>
    <t>J' aime les travailleurs , mais pas les serveurs .</t>
  </si>
  <si>
    <t>Amo i camerieri , ma non i ristoranti .</t>
  </si>
  <si>
    <t>I like waiters , but not restaurants .</t>
  </si>
  <si>
    <t>J' aime les serveurs , mais pas les restaurants .</t>
  </si>
  <si>
    <t>Amo i ristoranti , ma non i camerieri .</t>
  </si>
  <si>
    <t>I like restaurants , but not waiters .</t>
  </si>
  <si>
    <t>J' aime les restaurants , mais pas les serveurs .</t>
  </si>
  <si>
    <t>Amo i camerieri , ma non le scuole .</t>
  </si>
  <si>
    <t>I like waiters , but not schools .</t>
  </si>
  <si>
    <t>J' aime les serveurs , mais pas les écoles .</t>
  </si>
  <si>
    <t>Amo le scuole , ma non i camerieri .</t>
  </si>
  <si>
    <t>I like schools , but not waiters .</t>
  </si>
  <si>
    <t>J' aime les écoles , mais pas les serveurs .</t>
  </si>
  <si>
    <t>Amo i camerieri , ma non gli uffici .</t>
  </si>
  <si>
    <t>I like waiters , but not offices .</t>
  </si>
  <si>
    <t>J' aime les serveurs , mais pas les bureaux .</t>
  </si>
  <si>
    <t>Amo gli uffici , ma non i camerieri .</t>
  </si>
  <si>
    <t>I like offices , but not waiters .</t>
  </si>
  <si>
    <t>J' aime les bureaux , mais pas les serveurs .</t>
  </si>
  <si>
    <t>Amo i guardiani , ma non le fabbriche .</t>
  </si>
  <si>
    <t>I like caretakers , but not factories .</t>
  </si>
  <si>
    <t>J' aime les gardiens , mais pas les usines .</t>
  </si>
  <si>
    <t>Amo le fabbriche , ma non i guardiani .</t>
  </si>
  <si>
    <t>I like factories , but not caretakers .</t>
  </si>
  <si>
    <t>J' aime les usines , mais pas les gardiens .</t>
  </si>
  <si>
    <t>Amo i guardiani , ma non i lavoratori .</t>
  </si>
  <si>
    <t>I like caretakers , but not workers .</t>
  </si>
  <si>
    <t>J' aime les gardiens , mais pas les travailleurs .</t>
  </si>
  <si>
    <t>Amo i lavoratori , ma non i guardiani .</t>
  </si>
  <si>
    <t>I like workers , but not caretakers .</t>
  </si>
  <si>
    <t>J' aime les travailleurs , mais pas les gardiens .</t>
  </si>
  <si>
    <t>Amo i guardiani , ma non i ristoranti .</t>
  </si>
  <si>
    <t>I like caretakers , but not restaurants .</t>
  </si>
  <si>
    <t>J' aime les gardiens , mais pas les restaurants .</t>
  </si>
  <si>
    <t>Amo i ristoranti , ma non i guardiani .</t>
  </si>
  <si>
    <t>I like restaurants , but not caretakers .</t>
  </si>
  <si>
    <t>J' aime les restaurants , mais pas les gardiens .</t>
  </si>
  <si>
    <t>Amo i guardiani , ma non le scuole .</t>
  </si>
  <si>
    <t>I like caretakers , but not schools .</t>
  </si>
  <si>
    <t>J' aime les gardiens , mais pas les écoles .</t>
  </si>
  <si>
    <t>Amo le scuole , ma non i guardiani .</t>
  </si>
  <si>
    <t>I like schools , but not caretakers .</t>
  </si>
  <si>
    <t>J' aime les écoles , mais pas les gardiens .</t>
  </si>
  <si>
    <t>Amo i guardiani , ma non gli uffici .</t>
  </si>
  <si>
    <t>I like caretakers , but not offices .</t>
  </si>
  <si>
    <t>J' aime les gardiens , mais pas les bureaux .</t>
  </si>
  <si>
    <t>Amo gli uffici , ma non i guardiani .</t>
  </si>
  <si>
    <t>I like offices , but not caretakers .</t>
  </si>
  <si>
    <t>J' aime les bureaux , mais pas les gardiens .</t>
  </si>
  <si>
    <t>Amo i professori , ma non le fabbriche .</t>
  </si>
  <si>
    <t>I like professors , but not factories .</t>
  </si>
  <si>
    <t>J' aime les professeurs , mais pas les usines .</t>
  </si>
  <si>
    <t>Amo le fabbriche , ma non i professori .</t>
  </si>
  <si>
    <t>I like factories , but not professors .</t>
  </si>
  <si>
    <t>J' aime les usines , mais pas les professeurs .</t>
  </si>
  <si>
    <t>Amo i professori , ma non i lavoratori .</t>
  </si>
  <si>
    <t>I like professors , but not workers .</t>
  </si>
  <si>
    <t>J' aime les professeurs , mais pas les travailleurs .</t>
  </si>
  <si>
    <t>Amo i lavoratori , ma non i professori .</t>
  </si>
  <si>
    <t>I like workers , but not professors .</t>
  </si>
  <si>
    <t>J' aime les travailleurs , mais pas les professeurs .</t>
  </si>
  <si>
    <t>Amo i professori , ma non i ristoranti .</t>
  </si>
  <si>
    <t>I like professors , but not restaurants .</t>
  </si>
  <si>
    <t>J' aime les professeurs , mais pas les restaurants .</t>
  </si>
  <si>
    <t>Amo i ristoranti , ma non i professori .</t>
  </si>
  <si>
    <t>I like restaurants , but not professors .</t>
  </si>
  <si>
    <t>J' aime les restaurants , mais pas les professeurs .</t>
  </si>
  <si>
    <t>Amo i professori , ma non le scuole .</t>
  </si>
  <si>
    <t>I like professors , but not schools .</t>
  </si>
  <si>
    <t>J' aime les professeurs , mais pas les écoles .</t>
  </si>
  <si>
    <t>Amo le scuole , ma non i professori .</t>
  </si>
  <si>
    <t>I like schools , but not professors .</t>
  </si>
  <si>
    <t>J' aime les écoles , mais pas les professeurs .</t>
  </si>
  <si>
    <t>Amo i professori , ma non gli uffici .</t>
  </si>
  <si>
    <t>I like professors , but not offices .</t>
  </si>
  <si>
    <t>J' aime les professeurs , mais pas les bureaux .</t>
  </si>
  <si>
    <t>Amo gli uffici , ma non i professori .</t>
  </si>
  <si>
    <t>I like offices , but not professors .</t>
  </si>
  <si>
    <t>J' aime les bureaux , mais pas les professeurs .</t>
  </si>
  <si>
    <t>Ho incontrato i biologi , ma non gli impiegati .</t>
  </si>
  <si>
    <t>I met biologists , but not clerks .</t>
  </si>
  <si>
    <t>J' ai rencontré les biologistes , mais pas les greffiers .</t>
  </si>
  <si>
    <t>Ho incontrato gli impiegati , ma non i biologi .</t>
  </si>
  <si>
    <t>I met clerks , but not biologists .</t>
  </si>
  <si>
    <t>J' ai rencontré les greffiers , mais pas les biologistes .</t>
  </si>
  <si>
    <t>Ho incontrato i biologi , ma non gli scienziati .</t>
  </si>
  <si>
    <t>I met biologists , but not scientists .</t>
  </si>
  <si>
    <t>J' ai rencontré les biologistes , mais pas les scientifiques .</t>
  </si>
  <si>
    <t>Ho incontrato gli scienziati , ma non i biologi .</t>
  </si>
  <si>
    <t>I met scientists , but not biologists .</t>
  </si>
  <si>
    <t>J' ai rencontré les scientifiques , mais pas les biologistes .</t>
  </si>
  <si>
    <t>Ho incontrato gli scienziati , ma non gli impiegati .</t>
  </si>
  <si>
    <t>I met scientists , but not clerks .</t>
  </si>
  <si>
    <t>J' ai rencontré les scientifiques , mais pas les greffiers .</t>
  </si>
  <si>
    <t>Ho incontrato i biologi , ma non i camerieri .</t>
  </si>
  <si>
    <t>I met biologists , but not waiters .</t>
  </si>
  <si>
    <t>J' ai rencontré les biologistes , mais pas les serveurs .</t>
  </si>
  <si>
    <t>Ho incontrato i camerieri , ma non i biologi .</t>
  </si>
  <si>
    <t>I met waiters , but not biologists .</t>
  </si>
  <si>
    <t>J' ai rencontré les serveurs , mais pas les biologistes .</t>
  </si>
  <si>
    <t>Ho incontrato gli scienziati , ma non i camerieri .</t>
  </si>
  <si>
    <t>I met scientists , but not waiters .</t>
  </si>
  <si>
    <t>J' ai rencontré les scientifiques , mais pas les serveurs .</t>
  </si>
  <si>
    <t>Ho incontrato i biologi , ma non i guardiani .</t>
  </si>
  <si>
    <t>I met biologists , but not caretakers .</t>
  </si>
  <si>
    <t>J' ai rencontré les biologistes , mais pas les gardiens .</t>
  </si>
  <si>
    <t>Ho incontrato i guardiani , ma non i biologi .</t>
  </si>
  <si>
    <t>I met caretakers , but not biologists .</t>
  </si>
  <si>
    <t>J' ai rencontré les gardiens , mais pas les biologistes .</t>
  </si>
  <si>
    <t>Ho incontrato gli scienziati , ma non i guardiani .</t>
  </si>
  <si>
    <t>I met scientists , but not caretakers .</t>
  </si>
  <si>
    <t>J' ai rencontré les scientifiques , mais pas les gardiens .</t>
  </si>
  <si>
    <t>Ho incontrato i biologi , ma non i portieri .</t>
  </si>
  <si>
    <t>I met biologists , but not janitors .</t>
  </si>
  <si>
    <t>J' ai rencontré les biologistes , mais pas les concierges .</t>
  </si>
  <si>
    <t>Ho incontrato i portieri , ma non i biologi .</t>
  </si>
  <si>
    <t>I met janitors , but not biologists .</t>
  </si>
  <si>
    <t>J' ai rencontré les concierges , mais pas les biologistes .</t>
  </si>
  <si>
    <t>Ho incontrato gli scienziati , ma non i portieri .</t>
  </si>
  <si>
    <t>I met scientists , but not janitors .</t>
  </si>
  <si>
    <t>J' ai rencontré les scientifiques , mais pas les concierges .</t>
  </si>
  <si>
    <t>Ho incontrato i genetisti , ma non gli impiegati .</t>
  </si>
  <si>
    <t>I met geneticists , but not clerks .</t>
  </si>
  <si>
    <t>J' ai rencontré les généticiens , mais pas les greffiers .</t>
  </si>
  <si>
    <t>Ho incontrato gli impiegati , ma non i genetisti .</t>
  </si>
  <si>
    <t>I met clerks , but not geneticists .</t>
  </si>
  <si>
    <t>J' ai rencontré les greffiers , mais pas les généticiens .</t>
  </si>
  <si>
    <t>Ho incontrato i genetisti , ma non gli scienziati .</t>
  </si>
  <si>
    <t>I met geneticists , but not scientists .</t>
  </si>
  <si>
    <t>J' ai rencontré les généticiens , mais pas les scientifiques .</t>
  </si>
  <si>
    <t>Ho incontrato gli scienziati , ma non i genetisti .</t>
  </si>
  <si>
    <t>I met scientists , but not geneticists .</t>
  </si>
  <si>
    <t>J' ai rencontré les scientifiques , mais pas les généticiens .</t>
  </si>
  <si>
    <t>Ho incontrato i genetisti , ma non i camerieri .</t>
  </si>
  <si>
    <t>I met geneticists , but not waiters .</t>
  </si>
  <si>
    <t>J' ai rencontré les généticiens , mais pas les serveurs .</t>
  </si>
  <si>
    <t>Ho incontrato i camerieri , ma non i genetisti .</t>
  </si>
  <si>
    <t>I met waiters , but not geneticists .</t>
  </si>
  <si>
    <t>J' ai rencontré les serveurs , mais pas les généticiens .</t>
  </si>
  <si>
    <t>Ho incontrato i genetisti , ma non i guardiani .</t>
  </si>
  <si>
    <t>I met geneticists , but not caretakers .</t>
  </si>
  <si>
    <t>J' ai rencontré les généticiens , mais pas les gardiens .</t>
  </si>
  <si>
    <t>Ho incontrato i guardiani , ma non i genetisti .</t>
  </si>
  <si>
    <t>I met caretakers , but not geneticists .</t>
  </si>
  <si>
    <t>J' ai rencontré les gardiens , mais pas les généticiens .</t>
  </si>
  <si>
    <t>Ho incontrato i genetisti , ma non i portieri .</t>
  </si>
  <si>
    <t>I met geneticists , but not janitors .</t>
  </si>
  <si>
    <t>J' ai rencontré les généticiens , mais pas les concierges .</t>
  </si>
  <si>
    <t>Ho incontrato i portieri , ma non i genetisti .</t>
  </si>
  <si>
    <t>I met janitors , but not geneticists .</t>
  </si>
  <si>
    <t>J' ai rencontré les concierges , mais pas les généticiens .</t>
  </si>
  <si>
    <t>Amo i bulldog , eccetto i gatti .</t>
  </si>
  <si>
    <t>I like bulldogs , except cats .</t>
  </si>
  <si>
    <t>J' aime les bouledogues , sauf les chats .</t>
  </si>
  <si>
    <t>Ho incontrato gli astronomi , ma non gli impiegati .</t>
  </si>
  <si>
    <t>I met astronomers , but not clerks .</t>
  </si>
  <si>
    <t>J' ai rencontré les astronomes , mais pas les greffiers .</t>
  </si>
  <si>
    <t>Ho incontrato gli impiegati , ma non gli astronomi .</t>
  </si>
  <si>
    <t>I met clerks , but not astronomers .</t>
  </si>
  <si>
    <t>J' ai rencontré les greffiers , mais pas les astronomes .</t>
  </si>
  <si>
    <t>Ho incontrato gli astronomi , ma non gli scienziati .</t>
  </si>
  <si>
    <t>I met astronomers , but not scientists .</t>
  </si>
  <si>
    <t>J' ai rencontré les astronomes , mais pas les scientifiques .</t>
  </si>
  <si>
    <t>Ho incontrato gli scienziati , ma non gli astronomi .</t>
  </si>
  <si>
    <t>I met scientists , but not astronomers .</t>
  </si>
  <si>
    <t>J' ai rencontré les scientifiques , mais pas les astronomes .</t>
  </si>
  <si>
    <t>Ho incontrato gli astronomi , ma non i camerieri .</t>
  </si>
  <si>
    <t>I met astronomers , but not waiters .</t>
  </si>
  <si>
    <t>J' ai rencontré les astronomes , mais pas les serveurs .</t>
  </si>
  <si>
    <t>Ho incontrato i camerieri , ma non gli astronomi .</t>
  </si>
  <si>
    <t>I met waiters , but not astronomers .</t>
  </si>
  <si>
    <t>J' ai rencontré les serveurs , mais pas les astronomes .</t>
  </si>
  <si>
    <t>Ho incontrato gli astronomi , ma non i guardiani .</t>
  </si>
  <si>
    <t>I met astronomers , but not caretakers .</t>
  </si>
  <si>
    <t>J' ai rencontré les astronomes , mais pas les gardiens .</t>
  </si>
  <si>
    <t>Ho incontrato i guardiani , ma non gli astronomi .</t>
  </si>
  <si>
    <t>I met caretakers , but not astronomers .</t>
  </si>
  <si>
    <t>J' ai rencontré les gardiens , mais pas les astronomes .</t>
  </si>
  <si>
    <t>Ho incontrato gli astronomi , ma non i portieri .</t>
  </si>
  <si>
    <t>I met astronomers , but not janitors .</t>
  </si>
  <si>
    <t>J' ai rencontré les astronomes , mais pas les concierges .</t>
  </si>
  <si>
    <t>Ho incontrato i portieri , ma non gli astronomi .</t>
  </si>
  <si>
    <t>I met janitors , but not astronomers .</t>
  </si>
  <si>
    <t>J' ai rencontré les concierges , mais pas les astronomes .</t>
  </si>
  <si>
    <t>Ho incontrato i fisici , ma non gli impiegati .</t>
  </si>
  <si>
    <t>I met physicists , but not clerks .</t>
  </si>
  <si>
    <t>J' ai rencontré les physiciens , mais pas les greffiers .</t>
  </si>
  <si>
    <t>Ho incontrato gli impiegati , ma non i fisici .</t>
  </si>
  <si>
    <t>I met clerks , but not physicists .</t>
  </si>
  <si>
    <t>J' ai rencontré les greffiers , mais pas les physiciens .</t>
  </si>
  <si>
    <t>Ho incontrato i fisici , ma non gli scienziati .</t>
  </si>
  <si>
    <t>I met physicists , but not scientists .</t>
  </si>
  <si>
    <t>J' ai rencontré les physiciens , mais pas les scientifiques .</t>
  </si>
  <si>
    <t>Ho incontrato gli scienziati , ma non i fisici .</t>
  </si>
  <si>
    <t>I met scientists , but not physicists .</t>
  </si>
  <si>
    <t>J' ai rencontré les scientifiques , mais pas les physiciens .</t>
  </si>
  <si>
    <t>Ho incontrato i fisici , ma non i camerieri .</t>
  </si>
  <si>
    <t>I met physicists , but not waiters .</t>
  </si>
  <si>
    <t>J' ai rencontré les physiciens , mais pas les serveurs .</t>
  </si>
  <si>
    <t>Ho incontrato i camerieri , ma non i fisici .</t>
  </si>
  <si>
    <t>I met waiters , but not physicists .</t>
  </si>
  <si>
    <t>J' ai rencontré les serveurs , mais pas les physiciens .</t>
  </si>
  <si>
    <t>Ho incontrato i fisici , ma non i guardiani .</t>
  </si>
  <si>
    <t>I met physicists , but not caretakers .</t>
  </si>
  <si>
    <t>J' ai rencontré les physiciens , mais pas les gardiens .</t>
  </si>
  <si>
    <t>Ho incontrato i guardiani , ma non i fisici .</t>
  </si>
  <si>
    <t>I met caretakers , but not physicists .</t>
  </si>
  <si>
    <t>J' ai rencontré les gardiens , mais pas les physiciens .</t>
  </si>
  <si>
    <t>Ho incontrato i fisici , ma non i portieri .</t>
  </si>
  <si>
    <t>I met physicists , but not janitors .</t>
  </si>
  <si>
    <t>J' ai rencontré les physiciens , mais pas les concierges .</t>
  </si>
  <si>
    <t>Ho incontrato i portieri , ma non i fisici .</t>
  </si>
  <si>
    <t>I met janitors , but not physicists .</t>
  </si>
  <si>
    <t>J' ai rencontré les concierges , mais pas les physiciens .</t>
  </si>
  <si>
    <t>Amo i gatti , eccetto i bulldog .</t>
  </si>
  <si>
    <t>I like cats , except bulldogs .</t>
  </si>
  <si>
    <t>J' aime les chats , sauf les bouledogues .</t>
  </si>
  <si>
    <t>Amo i bulldog , eccetto i cani .</t>
  </si>
  <si>
    <t>I like bulldogs , except dogs .</t>
  </si>
  <si>
    <t>J' aime les bouledogues , sauf les chiens .</t>
  </si>
  <si>
    <t>Amo i cani , eccetto i bulldog .</t>
  </si>
  <si>
    <t>I like dogs , except bulldogs .</t>
  </si>
  <si>
    <t>J' aime les chiens , sauf les bouledogues .</t>
  </si>
  <si>
    <t>Amo gli husky , e più specificamente i gatti .</t>
  </si>
  <si>
    <t>I like huskies , and more specifically cats .</t>
  </si>
  <si>
    <t>J' aime les huskies , et plus particulièrement les chats .</t>
  </si>
  <si>
    <t>Amo i gatti , e più specificamente gli husky .</t>
  </si>
  <si>
    <t>I like cats , and more specifically huskies .</t>
  </si>
  <si>
    <t>J' aime les chats , et plus particulièrement les huskies .</t>
  </si>
  <si>
    <t>Amo gli husky , e più specificamente i cani .</t>
  </si>
  <si>
    <t>I like huskies , and more specifically dogs .</t>
  </si>
  <si>
    <t>J' aime les huskies , et plus particulièrement les chiens .</t>
  </si>
  <si>
    <t>Amo i cani , e più specificamente gli husky .</t>
  </si>
  <si>
    <t>I like dogs , and more specifically huskies .</t>
  </si>
  <si>
    <t>J' aime les chiens , et plus particulièrement les huskies .</t>
  </si>
  <si>
    <t>Amo i cani , e più specificamente i gatti .</t>
  </si>
  <si>
    <t>I like dogs , and more specifically cats .</t>
  </si>
  <si>
    <t>J' aime les chiens , et plus particulièrement les chats .</t>
  </si>
  <si>
    <t>Amo gli husky , e più specificamente i criceti .</t>
  </si>
  <si>
    <t>I like huskies , and more specifically hamsters .</t>
  </si>
  <si>
    <t>J' aime les huskies , et plus particulièrement les hamsters .</t>
  </si>
  <si>
    <t>Amo i criceti , e più specificamente gli husky .</t>
  </si>
  <si>
    <t>I like hamsters , and more specifically huskies .</t>
  </si>
  <si>
    <t>J' aime les hamsters , et plus particulièrement les huskies .</t>
  </si>
  <si>
    <t>Amo i cani , e più specificamente i criceti .</t>
  </si>
  <si>
    <t>I like dogs , and more specifically hamsters .</t>
  </si>
  <si>
    <t>J' aime les chiens , et plus particulièrement les hamsters .</t>
  </si>
  <si>
    <t>Amo gli husky , e più specificamente i pappagalli .</t>
  </si>
  <si>
    <t>I like huskies , and more specifically parrots .</t>
  </si>
  <si>
    <t>J' aime les huskies , et plus particulièrement les perrouquets .</t>
  </si>
  <si>
    <t>Amo i pappagalli , e più specificamente gli husky .</t>
  </si>
  <si>
    <t>I like parrots , and more specifically huskies .</t>
  </si>
  <si>
    <t>J' aime les perrouquets , et plus particulièrement les huskies .</t>
  </si>
  <si>
    <t>Amo i cani , e più specificamente i pappagalli .</t>
  </si>
  <si>
    <t>I like dogs , and more specifically parrots .</t>
  </si>
  <si>
    <t>J' aime les chiens , et plus particulièrement les perrouquets .</t>
  </si>
  <si>
    <t>Amo gli husky , e più specificamente i conigli .</t>
  </si>
  <si>
    <t>I like huskies , and more specifically rabbits .</t>
  </si>
  <si>
    <t>J' aime les huskies , et plus particulièrement les lapins .</t>
  </si>
  <si>
    <t>Amo i conigli , e più specificamente gli husky .</t>
  </si>
  <si>
    <t>I like rabbits , and more specifically huskies .</t>
  </si>
  <si>
    <t>J' aime les lapins , et plus particulièrement les huskies .</t>
  </si>
  <si>
    <t>Amo i cani , e più specificamente i conigli .</t>
  </si>
  <si>
    <t>I like dogs , and more specifically rabbits .</t>
  </si>
  <si>
    <t>J' aime les chiens , et plus particulièrement les lapins .</t>
  </si>
  <si>
    <t>Amo i bulldog , eccetto i criceti .</t>
  </si>
  <si>
    <t>I like bulldogs , except hamsters .</t>
  </si>
  <si>
    <t>J' aime les bouledogues , sauf les hamsters .</t>
  </si>
  <si>
    <t>Amo i bobtail , e più specificamente i gatti .</t>
  </si>
  <si>
    <t>I like bobtails , and more specifically cats .</t>
  </si>
  <si>
    <t>J' aime les bobtails , et plus particulièrement les chats .</t>
  </si>
  <si>
    <t>Amo i gatti , e più specificamente i bobtail .</t>
  </si>
  <si>
    <t>I like cats , and more specifically bobtails .</t>
  </si>
  <si>
    <t>J' aime les chats , et plus particulièrement les bobtails .</t>
  </si>
  <si>
    <t>Amo i bobtail , e più specificamente i cani .</t>
  </si>
  <si>
    <t>I like bobtails , and more specifically dogs .</t>
  </si>
  <si>
    <t>J' aime les bobtails , et plus particulièrement les chiens .</t>
  </si>
  <si>
    <t>Amo i cani , e più specificamente i bobtail .</t>
  </si>
  <si>
    <t>I like dogs , and more specifically bobtails .</t>
  </si>
  <si>
    <t>J' aime les chiens , et plus particulièrement les bobtails .</t>
  </si>
  <si>
    <t>Amo i bobtail , e più specificamente i criceti .</t>
  </si>
  <si>
    <t>I like bobtails , and more specifically hamsters .</t>
  </si>
  <si>
    <t>J' aime les bobtails , et plus particulièrement les hamsters .</t>
  </si>
  <si>
    <t>Amo i criceti , e più specificamente i bobtail .</t>
  </si>
  <si>
    <t>I like hamsters , and more specifically bobtails .</t>
  </si>
  <si>
    <t>J' aime les hamsters , et plus particulièrement les bobtails .</t>
  </si>
  <si>
    <t>Amo i bobtail , e più specificamente i pappagalli .</t>
  </si>
  <si>
    <t>I like bobtails , and more specifically parrots .</t>
  </si>
  <si>
    <t>J' aime les bobtails , et plus particulièrement les perrouquets .</t>
  </si>
  <si>
    <t>Amo i pappagalli , e più specificamente i bobtail .</t>
  </si>
  <si>
    <t>I like parrots , and more specifically bobtails .</t>
  </si>
  <si>
    <t>J' aime les perrouquets , et plus particulièrement les bobtails .</t>
  </si>
  <si>
    <t>Amo i bobtail , e più specificamente i conigli .</t>
  </si>
  <si>
    <t>I like bobtails , and more specifically rabbits .</t>
  </si>
  <si>
    <t>J' aime les bobtails , et plus particulièrement les lapins .</t>
  </si>
  <si>
    <t>Amo i conigli , e più specificamente i bobtail .</t>
  </si>
  <si>
    <t>I like rabbits , and more specifically bobtails .</t>
  </si>
  <si>
    <t>J' aime les lapins , et plus particulièrement les bobtails .</t>
  </si>
  <si>
    <t>Amo i bulldog , e più specificamente i gatti .</t>
  </si>
  <si>
    <t>I like bulldogs , and more specifically cats .</t>
  </si>
  <si>
    <t>J' aime les bouledogues , et plus particulièrement les chats .</t>
  </si>
  <si>
    <t>Amo i gatti , e più specificamente i bulldog .</t>
  </si>
  <si>
    <t>I like cats , and more specifically bulldogs .</t>
  </si>
  <si>
    <t>J' aime les chats , et plus particulièrement les bouledogues .</t>
  </si>
  <si>
    <t>Amo i bulldog , e più specificamente i cani .</t>
  </si>
  <si>
    <t>I like bulldogs , and more specifically dogs .</t>
  </si>
  <si>
    <t>J' aime les bouledogues , et plus particulièrement les chiens .</t>
  </si>
  <si>
    <t>Amo i cani , e più specificamente i bulldog .</t>
  </si>
  <si>
    <t>I like dogs , and more specifically bulldogs .</t>
  </si>
  <si>
    <t>J' aime les chiens , et plus particulièrement les bouledogues .</t>
  </si>
  <si>
    <t>Amo i bulldog , e più specificamente i criceti .</t>
  </si>
  <si>
    <t>I like bulldogs , and more specifically hamsters .</t>
  </si>
  <si>
    <t>J' aime les bouledogues , et plus particulièrement les hamsters .</t>
  </si>
  <si>
    <t>Amo i criceti , e più specificamente i bulldog .</t>
  </si>
  <si>
    <t>I like hamsters , and more specifically bulldogs .</t>
  </si>
  <si>
    <t>J' aime les hamsters , et plus particulièrement les bouledogues .</t>
  </si>
  <si>
    <t>Amo i bulldog , e più specificamente i pappagalli .</t>
  </si>
  <si>
    <t>I like bulldogs , and more specifically parrots .</t>
  </si>
  <si>
    <t>J' aime les bouledogues , et plus particulièrement les perrouquets .</t>
  </si>
  <si>
    <t>Amo i pappagalli , e più specificamente i bulldog .</t>
  </si>
  <si>
    <t>I like parrots , and more specifically bulldogs .</t>
  </si>
  <si>
    <t>J' aime les perrouquets , et plus particulièrement les bouledogues .</t>
  </si>
  <si>
    <t>Amo i bulldog , e più specificamente i conigli .</t>
  </si>
  <si>
    <t>I like bulldogs , and more specifically rabbits .</t>
  </si>
  <si>
    <t>J' aime les bouledogues , et plus particulièrement les lapins .</t>
  </si>
  <si>
    <t>Amo i conigli , e più specificamente i bulldog .</t>
  </si>
  <si>
    <t>I like rabbits , and more specifically bulldogs .</t>
  </si>
  <si>
    <t>J' aime les lapins , et plus particulièrement les bouledogues .</t>
  </si>
  <si>
    <t>Amo i bassotti , e più specificamente i gatti .</t>
  </si>
  <si>
    <t>I like beagles , and more specifically cats .</t>
  </si>
  <si>
    <t>J' aime les beagles , et plus particulièrement les chats .</t>
  </si>
  <si>
    <t>Amo i gatti , e più specificamente i bassotti .</t>
  </si>
  <si>
    <t>I like cats , and more specifically beagles .</t>
  </si>
  <si>
    <t>J' aime les chats , et plus particulièrement les beagles .</t>
  </si>
  <si>
    <t>Amo i bassotti , e più specificamente i cani .</t>
  </si>
  <si>
    <t>I like beagles , and more specifically dogs .</t>
  </si>
  <si>
    <t>J' aime les beagles , et plus particulièrement les chiens .</t>
  </si>
  <si>
    <t>Amo i cani , e più specificamente i bassotti .</t>
  </si>
  <si>
    <t>I like dogs , and more specifically beagles .</t>
  </si>
  <si>
    <t>J' aime les chiens , et plus particulièrement les beagles .</t>
  </si>
  <si>
    <t>Amo i bassotti , e più specificamente i criceti .</t>
  </si>
  <si>
    <t>I like beagles , and more specifically hamsters .</t>
  </si>
  <si>
    <t>J' aime les beagles , et plus particulièrement les hamsters .</t>
  </si>
  <si>
    <t>Amo i criceti , e più specificamente i bassotti .</t>
  </si>
  <si>
    <t>I like hamsters , and more specifically beagles .</t>
  </si>
  <si>
    <t>J' aime les hamsters , et plus particulièrement les beagles .</t>
  </si>
  <si>
    <t>Amo i bassotti , e più specificamente i pappagalli .</t>
  </si>
  <si>
    <t>I like beagles , and more specifically parrots .</t>
  </si>
  <si>
    <t>J' aime les beagles , et plus particulièrement les perrouquets .</t>
  </si>
  <si>
    <t>Amo i pappagalli , e più specificamente i bassotti .</t>
  </si>
  <si>
    <t>I like parrots , and more specifically beagles .</t>
  </si>
  <si>
    <t>J' aime les perrouquets , et plus particulièrement les beagles .</t>
  </si>
  <si>
    <t>Amo i bassotti , e più specificamente i conigli .</t>
  </si>
  <si>
    <t>I like beagles , and more specifically rabbits .</t>
  </si>
  <si>
    <t>J' aime les beagles , et plus particulièrement les lapins .</t>
  </si>
  <si>
    <t>Amo i conigli , e più specificamente i bassotti .</t>
  </si>
  <si>
    <t>I like rabbits , and more specifically beagles .</t>
  </si>
  <si>
    <t>J' aime les lapins , et plus particulièrement les beagles .</t>
  </si>
  <si>
    <t>Amo i criceti , eccetto i bulldog .</t>
  </si>
  <si>
    <t>I like hamsters , except bulldogs .</t>
  </si>
  <si>
    <t>J' aime les hamsters , sauf les bouledogues .</t>
  </si>
  <si>
    <t>Amo i pappagalli , e più specificamente i gatti .</t>
  </si>
  <si>
    <t>I like parrots , and more specifically cats .</t>
  </si>
  <si>
    <t>J' aime les perrouquets , et plus particulièrement les chats .</t>
  </si>
  <si>
    <t>Amo i gatti , e più specificamente i pappagalli .</t>
  </si>
  <si>
    <t>I like cats , and more specifically parrots .</t>
  </si>
  <si>
    <t>J' aime les chats , et plus particulièrement les perrouquets .</t>
  </si>
  <si>
    <t>Amo i pappagalli , e più specificamente gli uccelli .</t>
  </si>
  <si>
    <t>I like parrots , and more specifically birds .</t>
  </si>
  <si>
    <t>J' aime les perrouquets , et plus particulièrement les oiseaux .</t>
  </si>
  <si>
    <t>Amo gli uccelli , e più specificamente i pappagalli .</t>
  </si>
  <si>
    <t>I like birds , and more specifically parrots .</t>
  </si>
  <si>
    <t>J' aime les oiseaux , et plus particulièrement les perrouquets .</t>
  </si>
  <si>
    <t>Amo gli uccelli , e più specificamente i gatti .</t>
  </si>
  <si>
    <t>I like birds , and more specifically cats .</t>
  </si>
  <si>
    <t>J' aime les oiseaux , et plus particulièrement les chats .</t>
  </si>
  <si>
    <t>Amo i pappagalli , e più specificamente i criceti .</t>
  </si>
  <si>
    <t>I like parrots , and more specifically hamsters .</t>
  </si>
  <si>
    <t>J' aime les perrouquets , et plus particulièrement les hamsters .</t>
  </si>
  <si>
    <t>Amo i criceti , e più specificamente i pappagalli .</t>
  </si>
  <si>
    <t>I like hamsters , and more specifically parrots .</t>
  </si>
  <si>
    <t>J' aime les hamsters , et plus particulièrement les perrouquets .</t>
  </si>
  <si>
    <t>Amo gli uccelli , e più specificamente i criceti .</t>
  </si>
  <si>
    <t>I like birds , and more specifically hamsters .</t>
  </si>
  <si>
    <t>J' aime les oiseaux , et plus particulièrement les hamsters .</t>
  </si>
  <si>
    <t>Amo i pappagalli , e più specificamente i maiali .</t>
  </si>
  <si>
    <t>I like parrots , and more specifically pigs .</t>
  </si>
  <si>
    <t>J' aime les perrouquets , et plus particulièrement les cochons .</t>
  </si>
  <si>
    <t>Amo i maiali , e più specificamente i pappagalli .</t>
  </si>
  <si>
    <t>I like pigs , and more specifically parrots .</t>
  </si>
  <si>
    <t>J' aime les cochons , et plus particulièrement les perrouquets .</t>
  </si>
  <si>
    <t>Amo gli uccelli , e più specificamente i maiali .</t>
  </si>
  <si>
    <t>I like birds , and more specifically pigs .</t>
  </si>
  <si>
    <t>J' aime les oiseaux , et plus particulièrement les cochons .</t>
  </si>
  <si>
    <t>Amo i pappagalli , e più specificamente i cani .</t>
  </si>
  <si>
    <t>I like parrots , and more specifically dogs .</t>
  </si>
  <si>
    <t>J' aime les perrouquets , et plus particulièrement les chiens .</t>
  </si>
  <si>
    <t>Amo gli uccelli , e più specificamente i cani .</t>
  </si>
  <si>
    <t>I like birds , and more specifically dogs .</t>
  </si>
  <si>
    <t>J' aime les oiseaux , et plus particulièrement les chiens .</t>
  </si>
  <si>
    <t>Amo le anatre , e più specificamente i gatti .</t>
  </si>
  <si>
    <t>I like ducks , and more specifically cats .</t>
  </si>
  <si>
    <t>J' aime les canards , et plus particulièrement les chats .</t>
  </si>
  <si>
    <t>Amo i gatti , e più specificamente le anatre .</t>
  </si>
  <si>
    <t>I like cats , and more specifically ducks .</t>
  </si>
  <si>
    <t>J' aime les chats , et plus particulièrement les canards .</t>
  </si>
  <si>
    <t>Amo le anatre , e più specificamente gli uccelli .</t>
  </si>
  <si>
    <t>I like ducks , and more specifically birds .</t>
  </si>
  <si>
    <t>J' aime les canards , et plus particulièrement les oiseaux .</t>
  </si>
  <si>
    <t>Amo gli uccelli , e più specificamente le anatre .</t>
  </si>
  <si>
    <t>I like birds , and more specifically ducks .</t>
  </si>
  <si>
    <t>J' aime les oiseaux , et plus particulièrement les canards .</t>
  </si>
  <si>
    <t>Amo le anatre , e più specificamente i criceti .</t>
  </si>
  <si>
    <t>I like ducks , and more specifically hamsters .</t>
  </si>
  <si>
    <t>J' aime les canards , et plus particulièrement les hamsters .</t>
  </si>
  <si>
    <t>Amo i criceti , e più specificamente le anatre .</t>
  </si>
  <si>
    <t>I like hamsters , and more specifically ducks .</t>
  </si>
  <si>
    <t>J' aime les hamsters , et plus particulièrement les canards .</t>
  </si>
  <si>
    <t>Amo le anatre , e più specificamente i maiali .</t>
  </si>
  <si>
    <t>I like ducks , and more specifically pigs .</t>
  </si>
  <si>
    <t>J' aime les canards , et plus particulièrement les cochons .</t>
  </si>
  <si>
    <t>Amo i maiali , e più specificamente le anatre .</t>
  </si>
  <si>
    <t>I like pigs , and more specifically ducks .</t>
  </si>
  <si>
    <t>J' aime les cochons , et plus particulièrement les canards .</t>
  </si>
  <si>
    <t>Amo le anatre , e più specificamente i cani .</t>
  </si>
  <si>
    <t>I like ducks , and more specifically dogs .</t>
  </si>
  <si>
    <t>J' aime les canards , et plus particulièrement les chiens .</t>
  </si>
  <si>
    <t>Amo i cani , e più specificamente le anatre .</t>
  </si>
  <si>
    <t>I like dogs , and more specifically ducks .</t>
  </si>
  <si>
    <t>J' aime les chiens , et plus particulièrement les canards .</t>
  </si>
  <si>
    <t>Amo i merli , e più specificamente i gatti .</t>
  </si>
  <si>
    <t>I like blackbirds , and more specifically cats .</t>
  </si>
  <si>
    <t>J' aime les merles , et plus particulièrement les chats .</t>
  </si>
  <si>
    <t>Amo i gatti , e più specificamente i merli .</t>
  </si>
  <si>
    <t>I like cats , and more specifically blackbirds .</t>
  </si>
  <si>
    <t>J' aime les chats , et plus particulièrement les merles .</t>
  </si>
  <si>
    <t>Amo i merli , e più specificamente gli uccelli .</t>
  </si>
  <si>
    <t>I like blackbirds , and more specifically birds .</t>
  </si>
  <si>
    <t>J' aime les merles , et plus particulièrement les oiseaux .</t>
  </si>
  <si>
    <t>Amo gli uccelli , e più specificamente i merli .</t>
  </si>
  <si>
    <t>I like birds , and more specifically blackbirds .</t>
  </si>
  <si>
    <t>J' aime les oiseaux , et plus particulièrement les merles .</t>
  </si>
  <si>
    <t>Amo i merli , e più specificamente i criceti .</t>
  </si>
  <si>
    <t>I like blackbirds , and more specifically hamsters .</t>
  </si>
  <si>
    <t>J' aime les merles , et plus particulièrement les hamsters .</t>
  </si>
  <si>
    <t>Amo i criceti , e più specificamente i merli .</t>
  </si>
  <si>
    <t>I like hamsters , and more specifically blackbirds .</t>
  </si>
  <si>
    <t>J' aime les hamsters , et plus particulièrement les merles .</t>
  </si>
  <si>
    <t>Amo i merli , e più specificamente i maiali .</t>
  </si>
  <si>
    <t>I like blackbirds , and more specifically pigs .</t>
  </si>
  <si>
    <t>J' aime les merles , et plus particulièrement les cochons .</t>
  </si>
  <si>
    <t>Amo i maiali , e più specificamente i merli .</t>
  </si>
  <si>
    <t>I like pigs , and more specifically blackbirds .</t>
  </si>
  <si>
    <t>J' aime les cochons , et plus particulièrement les merles .</t>
  </si>
  <si>
    <t>Amo i merli , e più specificamente i cani .</t>
  </si>
  <si>
    <t>I like blackbirds , and more specifically dogs .</t>
  </si>
  <si>
    <t>J' aime les merles , et plus particulièrement les chiens .</t>
  </si>
  <si>
    <t>Amo i cani , e più specificamente i merli .</t>
  </si>
  <si>
    <t>I like dogs , and more specifically blackbirds .</t>
  </si>
  <si>
    <t>J' aime les chiens , et plus particulièrement les merles .</t>
  </si>
  <si>
    <t>Amo i passeri , e più specificamente i gatti .</t>
  </si>
  <si>
    <t>I like sparrows , and more specifically cats .</t>
  </si>
  <si>
    <t>J' aime les moineaux , et plus particulièrement les chats .</t>
  </si>
  <si>
    <t>Amo i gatti , e più specificamente i passeri .</t>
  </si>
  <si>
    <t>I like cats , and more specifically sparrows .</t>
  </si>
  <si>
    <t>J' aime les chats , et plus particulièrement les moineaux .</t>
  </si>
  <si>
    <t>Amo i passeri , e più specificamente gli uccelli .</t>
  </si>
  <si>
    <t>I like sparrows , and more specifically birds .</t>
  </si>
  <si>
    <t>J' aime les moineaux , et plus particulièrement les oiseaux .</t>
  </si>
  <si>
    <t>Amo gli uccelli , e più specificamente i passeri .</t>
  </si>
  <si>
    <t>I like birds , and more specifically sparrows .</t>
  </si>
  <si>
    <t>J' aime les oiseaux , et plus particulièrement les moineaux .</t>
  </si>
  <si>
    <t>Amo i passeri , e più specificamente i criceti .</t>
  </si>
  <si>
    <t>I like sparrows , and more specifically hamsters .</t>
  </si>
  <si>
    <t>J' aime les moineaux , et plus particulièrement les hamsters .</t>
  </si>
  <si>
    <t>Amo i criceti , e più specificamente i passeri .</t>
  </si>
  <si>
    <t>I like hamsters , and more specifically sparrows .</t>
  </si>
  <si>
    <t>J' aime les hamsters , et plus particulièrement les moineaux .</t>
  </si>
  <si>
    <t>Amo i passeri , e più specificamente i maiali .</t>
  </si>
  <si>
    <t>I like sparrows , and more specifically pigs .</t>
  </si>
  <si>
    <t>J' aime les moineaux , et plus particulièrement les cochons .</t>
  </si>
  <si>
    <t>Amo i maiali , e più specificamente i passeri .</t>
  </si>
  <si>
    <t>I like pigs , and more specifically sparrows .</t>
  </si>
  <si>
    <t>J' aime les cochons , et plus particulièrement les moineaux .</t>
  </si>
  <si>
    <t>Amo i passeri , e più specificamente i cani .</t>
  </si>
  <si>
    <t>I like sparrows , and more specifically dogs .</t>
  </si>
  <si>
    <t>J' aime les moineaux , et plus particulièrement les chiens .</t>
  </si>
  <si>
    <t>Amo i cani , e più specificamente i passeri .</t>
  </si>
  <si>
    <t>I like dogs , and more specifically sparrows .</t>
  </si>
  <si>
    <t>J' aime les chiens , et plus particulièrement les moineaux .</t>
  </si>
  <si>
    <t>Amo i bulldog , eccetto i pappagalli .</t>
  </si>
  <si>
    <t>I like bulldogs , except parrots .</t>
  </si>
  <si>
    <t>J' aime les bouledogues , sauf les perrouquets .</t>
  </si>
  <si>
    <t>Amo i pappagalli , eccetto i bulldog .</t>
  </si>
  <si>
    <t>I like parrots , except bulldogs .</t>
  </si>
  <si>
    <t>J' aime les perrouquets , sauf les bouledogues .</t>
  </si>
  <si>
    <t>Amo le Harley-Davidson , e più specificamente le navi .</t>
  </si>
  <si>
    <t>I like Harley-Davidson , and more specifically ships .</t>
  </si>
  <si>
    <t>J' aime les Harley-Davidson , et plus particulièrement les navaires .</t>
  </si>
  <si>
    <t>Amo le navi , e più specificamente le Harley-Davidson .</t>
  </si>
  <si>
    <t>I like ships , and more specifically Harley-Davidson .</t>
  </si>
  <si>
    <t>J' aime les navaires , et plus particulièrement les Harley-Davidson .</t>
  </si>
  <si>
    <t>Amo le Harley-Davidson , e più specificamente le moto .</t>
  </si>
  <si>
    <t>I like Harley-Davidson , and more specifically motorcycles .</t>
  </si>
  <si>
    <t>J' aime les Harley-Davidson , et plus particulièrement les motos .</t>
  </si>
  <si>
    <t>Amo le moto , e più specificamente le Harley-Davidson .</t>
  </si>
  <si>
    <t>I like motorcycles , and more specifically Harley-Davidson .</t>
  </si>
  <si>
    <t>J' aime les motos , et plus particulièrement les Harley-Davidson .</t>
  </si>
  <si>
    <t>Amo le moto , e più specificamente le navi .</t>
  </si>
  <si>
    <t>I like motorcycles , and more specifically ships .</t>
  </si>
  <si>
    <t>J' aime les motos , et plus particulièrement les navaires .</t>
  </si>
  <si>
    <t>Amo le Harley-Davidson , e più specificamente le biciclette .</t>
  </si>
  <si>
    <t>I like Harley-Davidson , and more specifically bicycles .</t>
  </si>
  <si>
    <t>J' aime les Harley-Davidson , et plus particulièrement les vélos .</t>
  </si>
  <si>
    <t>Amo le biciclette , e più specificamente le Harley-Davidson .</t>
  </si>
  <si>
    <t>I like bicycles , and more specifically Harley-Davidson .</t>
  </si>
  <si>
    <t>J' aime les vélos , et plus particulièrement les Harley-Davidson .</t>
  </si>
  <si>
    <t>Amo le moto , e più specificamente le biciclette .</t>
  </si>
  <si>
    <t>I like motorcycles , and more specifically bicycles .</t>
  </si>
  <si>
    <t>J' aime les motos , et plus particulièrement les vélos .</t>
  </si>
  <si>
    <t>Amo le Harley-Davidson , e più specificamente i treni .</t>
  </si>
  <si>
    <t>I like Harley-Davidson , and more specifically trains .</t>
  </si>
  <si>
    <t>J' aime les Harley-Davidson , et plus particulièrement les trains .</t>
  </si>
  <si>
    <t>Amo i treni , e più specificamente le Harley-Davidson .</t>
  </si>
  <si>
    <t>I like trains , and more specifically Harley-Davidson .</t>
  </si>
  <si>
    <t>J' aime les trains , et plus particulièrement les Harley-Davidson .</t>
  </si>
  <si>
    <t>Amo le moto , e più specificamente i treni .</t>
  </si>
  <si>
    <t>I like motorcycles , and more specifically trains .</t>
  </si>
  <si>
    <t>J' aime les motos , et plus particulièrement les trains .</t>
  </si>
  <si>
    <t>Amo le Harley-Davidson , e più specificamente gli aeroplani .</t>
  </si>
  <si>
    <t>I like Harley-Davidson , and more specifically airplanes .</t>
  </si>
  <si>
    <t>J' aime les Harley-Davidson , et plus particulièrement les avions .</t>
  </si>
  <si>
    <t>Amo gli aeroplani , e più specificamente le Harley-Davidson .</t>
  </si>
  <si>
    <t>I like planes , and more specifically Harley-Davidson .</t>
  </si>
  <si>
    <t>J' aime les avions , et plus particulièrement les Harley-Davidson .</t>
  </si>
  <si>
    <t>Amo le moto , e più specificamente gli aeroplani .</t>
  </si>
  <si>
    <t>I like motorcycles , and more specifically airplanes .</t>
  </si>
  <si>
    <t>J' aime les motos , et plus particulièrement les avions .</t>
  </si>
  <si>
    <t>Amo le Suzuki , e più specificamente le navi .</t>
  </si>
  <si>
    <t>I like Suzukis , and more specifically ships .</t>
  </si>
  <si>
    <t>J' aime les Suzukis , et plus particulièrement les navaires .</t>
  </si>
  <si>
    <t>Amo le navi , e più specificamente le Suzuki .</t>
  </si>
  <si>
    <t>I like ships , and more specifically Suzukis .</t>
  </si>
  <si>
    <t>J' aime les navaires , et plus particulièrement les Suzukis .</t>
  </si>
  <si>
    <t>Amo le Suzuki , e più specificamente le moto .</t>
  </si>
  <si>
    <t>I like Suzukis , and more specifically motorcycles .</t>
  </si>
  <si>
    <t>J' aime les Suzukis , et plus particulièrement les motos .</t>
  </si>
  <si>
    <t>Amo le moto , e più specificamente le Suzuki .</t>
  </si>
  <si>
    <t>I like motorcycles , and more specifically Suzukis .</t>
  </si>
  <si>
    <t>J' aime les motos , et plus particulièrement les Suzukis .</t>
  </si>
  <si>
    <t>Amo le Suzuki , e più specificamente le biciclette .</t>
  </si>
  <si>
    <t>I like Suzukis , and more specifically bicycles .</t>
  </si>
  <si>
    <t>J' aime les Suzukis , et plus particulièrement les vélos .</t>
  </si>
  <si>
    <t>Amo le biciclette , e più specificamente le Suzuki .</t>
  </si>
  <si>
    <t>I like bicycles , and more specifically Suzukis .</t>
  </si>
  <si>
    <t>J' aime les vélos , et plus particulièrement les Suzukis .</t>
  </si>
  <si>
    <t>Amo le Suzuki , e più specificamente i treni .</t>
  </si>
  <si>
    <t>I like Suzukis , and more specifically trains .</t>
  </si>
  <si>
    <t>J' aime les Suzukis , et plus particulièrement les trains .</t>
  </si>
  <si>
    <t>Amo i treni , e più specificamente le Suzuki .</t>
  </si>
  <si>
    <t>I like trains , and more specifically Suzukis .</t>
  </si>
  <si>
    <t>J' aime les trains , et plus particulièrement les Suzukis .</t>
  </si>
  <si>
    <t>Amo le Suzuki , e più specificamente gli aeroplani .</t>
  </si>
  <si>
    <t>I like Suzukis , and more specifically airplanes .</t>
  </si>
  <si>
    <t>J' aime les Suzukis , et plus particulièrement les avions .</t>
  </si>
  <si>
    <t>Amo gli aeroplani , e più specificamente le Suzuki .</t>
  </si>
  <si>
    <t>I like planes , and more specifically Suzukis .</t>
  </si>
  <si>
    <t>J' aime les avions , et plus particulièrement les Suzukis .</t>
  </si>
  <si>
    <t>Amo gli enduro , e più specificamente le navi .</t>
  </si>
  <si>
    <t>I like enduros , and more specifically ships .</t>
  </si>
  <si>
    <t>J' aime les enduros , et plus particulièrement les navaires .</t>
  </si>
  <si>
    <t>Amo le navi , e più specificamente gli enduro .</t>
  </si>
  <si>
    <t>I like ships , and more specifically enduros .</t>
  </si>
  <si>
    <t>J' aime les navaires , et plus particulièrement les enduros .</t>
  </si>
  <si>
    <t>Amo gli enduro , e più specificamente le moto .</t>
  </si>
  <si>
    <t>I like enduros , and more specifically motorcycles .</t>
  </si>
  <si>
    <t>J' aime les enduros , et plus particulièrement les motos .</t>
  </si>
  <si>
    <t>Amo le moto , e più specificamente gli enduro .</t>
  </si>
  <si>
    <t>I like motorcycles , and more specifically enduros .</t>
  </si>
  <si>
    <t>J' aime les motos , et plus particulièrement les enduros .</t>
  </si>
  <si>
    <t>Amo gli enduro , e più specificamente le biciclette .</t>
  </si>
  <si>
    <t>I like enduros , and more specifically bicycles .</t>
  </si>
  <si>
    <t>J' aime les enduros , et plus particulièrement les vélos .</t>
  </si>
  <si>
    <t>Amo le biciclette , e più specificamente gli enduro .</t>
  </si>
  <si>
    <t>I like bicycles , and more specifically enduros .</t>
  </si>
  <si>
    <t>J' aime les vélos , et plus particulièrement les enduros .</t>
  </si>
  <si>
    <t>Amo gli enduro , e più specificamente i treni .</t>
  </si>
  <si>
    <t>I like enduros , and more specifically trains .</t>
  </si>
  <si>
    <t>J' aime les enduros , et plus particulièrement les trains .</t>
  </si>
  <si>
    <t>Amo i treni , e più specificamente gli enduro .</t>
  </si>
  <si>
    <t>I like trains , and more specifically enduros .</t>
  </si>
  <si>
    <t>J' aime les trains , et plus particulièrement les enduros .</t>
  </si>
  <si>
    <t>Amo gli enduro , e più specificamente gli aeroplani .</t>
  </si>
  <si>
    <t>I like enduros , and more specifically airplanes .</t>
  </si>
  <si>
    <t>J' aime les enduros , et plus particulièrement les avions .</t>
  </si>
  <si>
    <t>Amo gli aeroplani , e più specificamente gli enduro .</t>
  </si>
  <si>
    <t>I like planes , and more specifically enduros .</t>
  </si>
  <si>
    <t>J' aime les avions , et plus particulièrement les enduros .</t>
  </si>
  <si>
    <t>Amo le Kawasakis , e più specificamente le navi .</t>
  </si>
  <si>
    <t>I like Kawasakis , and more specifically ships .</t>
  </si>
  <si>
    <t>J' aime les Kawasakis , et plus particulièrement les navaires .</t>
  </si>
  <si>
    <t>Amo le navi , e più specificamente le Kawasakis .</t>
  </si>
  <si>
    <t>I like ships , and more specifically Kawasakis .</t>
  </si>
  <si>
    <t>J' aime les navaires , et plus particulièrement les Kawasakis .</t>
  </si>
  <si>
    <t>Amo le Kawasakis , e più specificamente le moto .</t>
  </si>
  <si>
    <t>I like Kawasakis , and more specifically motorcycles .</t>
  </si>
  <si>
    <t>J' aime les Kawasakis , et plus particulièrement les motos .</t>
  </si>
  <si>
    <t>Amo le moto , e più specificamente le Kawasakis .</t>
  </si>
  <si>
    <t>I like motorcycles , and more specifically Kawasakis .</t>
  </si>
  <si>
    <t>J' aime les motos , et plus particulièrement les Kawasakis .</t>
  </si>
  <si>
    <t>Amo le Kawasakis , e più specificamente le biciclette .</t>
  </si>
  <si>
    <t>I like Kawasakis , and more specifically bicycles .</t>
  </si>
  <si>
    <t>J' aime les Kawasakis , et plus particulièrement les vélos .</t>
  </si>
  <si>
    <t>Amo le biciclette , e più specificamente le Kawasakis .</t>
  </si>
  <si>
    <t>I like bicycles , and more specifically Kawasakis .</t>
  </si>
  <si>
    <t>J' aime les vélos , et plus particulièrement les Kawasakis .</t>
  </si>
  <si>
    <t>Amo le Kawasakis , e più specificamente i treni .</t>
  </si>
  <si>
    <t>I like Kawasakis , and more specifically trains .</t>
  </si>
  <si>
    <t>J' aime les Kawasakis , et plus particulièrement les trains .</t>
  </si>
  <si>
    <t>Amo i treni , e più specificamente le Kawasakis .</t>
  </si>
  <si>
    <t>I like trains , and more specifically Kawasakis .</t>
  </si>
  <si>
    <t>J' aime les trains , et plus particulièrement les Kawasakis .</t>
  </si>
  <si>
    <t>Amo le Kawasakis , e più specificamente gli aeroplani .</t>
  </si>
  <si>
    <t>I like Kawasakis , and more specifically airplanes .</t>
  </si>
  <si>
    <t>J' aime les Kawasakis , et plus particulièrement les avions .</t>
  </si>
  <si>
    <t>Amo gli aeroplani , e più specificamente le Kawasakis .</t>
  </si>
  <si>
    <t>I like planes , and more specifically Kawasakis .</t>
  </si>
  <si>
    <t>J' aime les avions , et plus particulièrement les Kawasakis .</t>
  </si>
  <si>
    <t>Amo le camicie , eccetto le scarpe .</t>
  </si>
  <si>
    <t>I like shirts , except shoes .</t>
  </si>
  <si>
    <t>J' aime les chemises , sauf les chaussures .</t>
  </si>
  <si>
    <t>Amo le camicie , e più specificamente gli animali domestici .</t>
  </si>
  <si>
    <t>I like shirts , and more specifically pets .</t>
  </si>
  <si>
    <t>J' aime les chemises , et plus particulièrement les animaux de compagnie .</t>
  </si>
  <si>
    <t>Amo gli animali domestici , e più specificamente le camicie .</t>
  </si>
  <si>
    <t>I like pets , and more specifically shirts .</t>
  </si>
  <si>
    <t>J' aime les animaux de compagnie , et plus particulièrement les chemises .</t>
  </si>
  <si>
    <t>Amo le camicie , e più specificamente i vestiti .</t>
  </si>
  <si>
    <t>I like shirts , and more specifically clothes .</t>
  </si>
  <si>
    <t>J' aime les chemises , et plus particulièrement les vêtements .</t>
  </si>
  <si>
    <t>Amo i vestiti , e più specificamente le camicie .</t>
  </si>
  <si>
    <t>I like clothes , and more specifically shirts .</t>
  </si>
  <si>
    <t>J' aime les vêtements , et plus particulièrement les chemises .</t>
  </si>
  <si>
    <t>Amo i vestiti , e più specificamente gli animali domestici .</t>
  </si>
  <si>
    <t>I like clothes , and more specifically pets .</t>
  </si>
  <si>
    <t>J' aime les vêtements , et plus particulièrement les animaux de compagnie .</t>
  </si>
  <si>
    <t>Amo le camicie , e più specificamente i gioielli .</t>
  </si>
  <si>
    <t>I like shirts , and more specifically jewelry .</t>
  </si>
  <si>
    <t>J' aime les chemises , et plus particulièrement les bijoux .</t>
  </si>
  <si>
    <t>Amo i gioielli , e più specificamente le camicie .</t>
  </si>
  <si>
    <t>I like jewelry , and more specifically shirts .</t>
  </si>
  <si>
    <t>J' aime les bijoux , et plus particulièrement les chemises .</t>
  </si>
  <si>
    <t>Amo le scarpe , eccetto le camicie .</t>
  </si>
  <si>
    <t>I like shoes , except shirts .</t>
  </si>
  <si>
    <t>J' aime les chaussures , sauf les chemises .</t>
  </si>
  <si>
    <t>Amo i vestiti , e più specificamente i gioielli .</t>
  </si>
  <si>
    <t>I like clothes , and more specifically jewelry .</t>
  </si>
  <si>
    <t>J' aime les vêtements , et plus particulièrement les bijoux .</t>
  </si>
  <si>
    <t>Amo le camicie , e più specificamente gli occhiali .</t>
  </si>
  <si>
    <t>I like shirts , and more specifically glasses .</t>
  </si>
  <si>
    <t>J' aime les chemises , et plus particulièrement les lunettes .</t>
  </si>
  <si>
    <t>Amo gli occhiali , e più specificamente le camicie .</t>
  </si>
  <si>
    <t>I like glasses , and more specifically shirts .</t>
  </si>
  <si>
    <t>J' aime les lunettes , et plus particulièrement les chemises .</t>
  </si>
  <si>
    <t>Amo i vestiti , e più specificamente gli occhiali .</t>
  </si>
  <si>
    <t>I like clothes , and more specifically glasses .</t>
  </si>
  <si>
    <t>J' aime les vêtements , et plus particulièrement les lunettes .</t>
  </si>
  <si>
    <t>Amo le camicie , e più specificamente gli orecchini .</t>
  </si>
  <si>
    <t>I like shirts , and more specifically earrings .</t>
  </si>
  <si>
    <t>J' aime les chemises , et plus particulièrement les boucles d' oreille .</t>
  </si>
  <si>
    <t>Amo gli orecchini , e più specificamente le camicie .</t>
  </si>
  <si>
    <t>I like earrings , and more specifically shirts .</t>
  </si>
  <si>
    <t>J' aime les boucles d' oreille , et plus particulièrement les chemises .</t>
  </si>
  <si>
    <t>Amo le camicie , eccetto i vestiti .</t>
  </si>
  <si>
    <t>I like shirts , except clothes .</t>
  </si>
  <si>
    <t>J' aime les chemises , sauf les vêtements .</t>
  </si>
  <si>
    <t>Amo i vestiti , e più specificamente gli orecchini .</t>
  </si>
  <si>
    <t>I like clothes , and more specifically earrings .</t>
  </si>
  <si>
    <t>J' aime les vêtements , et plus particulièrement les boucles d' oreille .</t>
  </si>
  <si>
    <t>Amo i vestiti , eccetto le camicie .</t>
  </si>
  <si>
    <t>I like clothes , except shirts .</t>
  </si>
  <si>
    <t>J' aime les vêtements , sauf les chemises .</t>
  </si>
  <si>
    <t>Amo i vestiti , eccetto le scarpe .</t>
  </si>
  <si>
    <t>I like clothes , except shoes .</t>
  </si>
  <si>
    <t>J' aime les vêtements , sauf les chaussures .</t>
  </si>
  <si>
    <t>Amo i pantaloni , e più specificamente gli animali domestici .</t>
  </si>
  <si>
    <t>I like trousers , and more specifically pets .</t>
  </si>
  <si>
    <t>J' aime les pantalons , et plus particulièrement les animaux de compagnie .</t>
  </si>
  <si>
    <t>Amo gli animali domestici , e più specificamente i pantaloni .</t>
  </si>
  <si>
    <t>I like pets , and more specifically trousers .</t>
  </si>
  <si>
    <t>J' aime les animaux de compagnie , et plus particulièrement les pantalons .</t>
  </si>
  <si>
    <t>Amo i pantaloni , e più specificamente i vestiti .</t>
  </si>
  <si>
    <t>I like trousers , and more specifically clothes .</t>
  </si>
  <si>
    <t>J' aime les pantalons , et plus particulièrement les vêtements .</t>
  </si>
  <si>
    <t>Amo i vestiti , e più specificamente i pantaloni .</t>
  </si>
  <si>
    <t>I like clothes , and more specifically trousers .</t>
  </si>
  <si>
    <t>J' aime les vêtements , et plus particulièrement les pantalons .</t>
  </si>
  <si>
    <t>Amo i pantaloni , e più specificamente i gioielli .</t>
  </si>
  <si>
    <t>I like trousers , and more specifically jewelry .</t>
  </si>
  <si>
    <t>J' aime les pantalons , et plus particulièrement les bijoux .</t>
  </si>
  <si>
    <t>Amo i gioielli , e più specificamente i pantaloni .</t>
  </si>
  <si>
    <t>I like jewelry , and more specifically trousers .</t>
  </si>
  <si>
    <t>J' aime les bijoux , et plus particulièrement les pantalons .</t>
  </si>
  <si>
    <t>Amo le camicie , eccetto i gioielli .</t>
  </si>
  <si>
    <t>I like shirts , except jewelry .</t>
  </si>
  <si>
    <t>J' aime les chemises , sauf les bijoux .</t>
  </si>
  <si>
    <t>Amo i pantaloni , e più specificamente gli occhiali .</t>
  </si>
  <si>
    <t>I like trousers , and more specifically glasses .</t>
  </si>
  <si>
    <t>J' aime les pantalons , et plus particulièrement les lunettes .</t>
  </si>
  <si>
    <t>Amo gli occhiali , e più specificamente i pantaloni .</t>
  </si>
  <si>
    <t>I like glasses , and more specifically trousers .</t>
  </si>
  <si>
    <t>J' aime les lunettes , et plus particulièrement les pantalons .</t>
  </si>
  <si>
    <t>Amo i pantaloni , e più specificamente gli orecchini .</t>
  </si>
  <si>
    <t>I like trousers , and more specifically earrings .</t>
  </si>
  <si>
    <t>J' aime les pantalons , et plus particulièrement les boucles d' oreille .</t>
  </si>
  <si>
    <t>Amo gli orecchini , e più specificamente i pantaloni .</t>
  </si>
  <si>
    <t>I like earrings , and more specifically trousers .</t>
  </si>
  <si>
    <t>J' aime les boucles d' oreille , et plus particulièrement les pantalons .</t>
  </si>
  <si>
    <t>Amo i gioielli , eccetto le camicie .</t>
  </si>
  <si>
    <t>I like jewelry , except shirts .</t>
  </si>
  <si>
    <t>J' aime les bijoux , sauf les chemises .</t>
  </si>
  <si>
    <t>Amo i bulldog , eccetto i conigli .</t>
  </si>
  <si>
    <t>I like bulldogs , except rabbits .</t>
  </si>
  <si>
    <t>J' aime les bouledogues , sauf les lapins .</t>
  </si>
  <si>
    <t>Amo le calze , e più specificamente gli animali domestici .</t>
  </si>
  <si>
    <t>I like socks , and more specifically pets .</t>
  </si>
  <si>
    <t>J' aime les chausettes , et plus particulièrement les animaux de compagnie .</t>
  </si>
  <si>
    <t>Amo gli animali domestici , e più specificamente le calze .</t>
  </si>
  <si>
    <t>I like pets , and more specifically socks .</t>
  </si>
  <si>
    <t>J' aime les animaux de compagnie , et plus particulièrement les chausettes .</t>
  </si>
  <si>
    <t>Amo le calze , e più specificamente i vestiti .</t>
  </si>
  <si>
    <t>I like socks , and more specifically clothes .</t>
  </si>
  <si>
    <t>J' aime les chausettes , et plus particulièrement les vêtements .</t>
  </si>
  <si>
    <t>Amo i vestiti , e più specificamente le calze .</t>
  </si>
  <si>
    <t>I like clothes , and more specifically socks .</t>
  </si>
  <si>
    <t>J' aime les vêtements , et plus particulièrement les chausettes .</t>
  </si>
  <si>
    <t>Amo le calze , e più specificamente i gioielli .</t>
  </si>
  <si>
    <t>I like socks , and more specifically jewelry .</t>
  </si>
  <si>
    <t>J' aime les chausettes , et plus particulièrement les bijoux .</t>
  </si>
  <si>
    <t>Amo i gioielli , e più specificamente le calze .</t>
  </si>
  <si>
    <t>I like jewelry , and more specifically socks .</t>
  </si>
  <si>
    <t>J' aime les bijoux , et plus particulièrement les chausettes .</t>
  </si>
  <si>
    <t>Amo i vestiti , eccetto i gioielli .</t>
  </si>
  <si>
    <t>I like clothes , except jewelry .</t>
  </si>
  <si>
    <t>J' aime les vêtements , sauf les bijoux .</t>
  </si>
  <si>
    <t>Amo le calze , e più specificamente gli occhiali .</t>
  </si>
  <si>
    <t>I like socks , and more specifically glasses .</t>
  </si>
  <si>
    <t>J' aime les chausettes , et plus particulièrement les lunettes .</t>
  </si>
  <si>
    <t>Amo gli occhiali , e più specificamente le calze .</t>
  </si>
  <si>
    <t>I like glasses , and more specifically socks .</t>
  </si>
  <si>
    <t>J' aime les lunettes , et plus particulièrement les chausettes .</t>
  </si>
  <si>
    <t>Amo le calze , e più specificamente gli orecchini .</t>
  </si>
  <si>
    <t>I like socks , and more specifically earrings .</t>
  </si>
  <si>
    <t>J' aime les chausettes , et plus particulièrement les boucles d' oreille .</t>
  </si>
  <si>
    <t>Amo gli orecchini , e più specificamente le calze .</t>
  </si>
  <si>
    <t>I like earrings , and more specifically socks .</t>
  </si>
  <si>
    <t>J' aime les boucles d' oreille , et plus particulièrement les chausettes .</t>
  </si>
  <si>
    <t>Amo le camicie , eccetto gli occhiali .</t>
  </si>
  <si>
    <t>I like shirts , except glasses .</t>
  </si>
  <si>
    <t>J' aime les chemises , sauf les lunettes .</t>
  </si>
  <si>
    <t>Amo gli occhiali , eccetto le camicie .</t>
  </si>
  <si>
    <t>I like glasses , except shirts .</t>
  </si>
  <si>
    <t>J' aime les lunettes , sauf les chemises .</t>
  </si>
  <si>
    <t>Amo le gonne , e più specificamente gli animali domestici .</t>
  </si>
  <si>
    <t>I like skirts , and more specifically pets .</t>
  </si>
  <si>
    <t>J' aime les jupes , et plus particulièrement les animaux de compagnie .</t>
  </si>
  <si>
    <t>Amo gli animali domestici , e più specificamente le gonne .</t>
  </si>
  <si>
    <t>I like pets , and more specifically skirts .</t>
  </si>
  <si>
    <t>J' aime les animaux de compagnie , et plus particulièrement les jupes .</t>
  </si>
  <si>
    <t>Amo le gonne , e più specificamente i vestiti .</t>
  </si>
  <si>
    <t>I like skirts , and more specifically clothes .</t>
  </si>
  <si>
    <t>J' aime les jupes , et plus particulièrement les vêtements .</t>
  </si>
  <si>
    <t>Amo i vestiti , e più specificamente le gonne .</t>
  </si>
  <si>
    <t>I like clothes , and more specifically skirts .</t>
  </si>
  <si>
    <t>J' aime les vêtements , et plus particulièrement les jupes .</t>
  </si>
  <si>
    <t>Amo le gonne , e più specificamente i gioielli .</t>
  </si>
  <si>
    <t>I like skirts , and more specifically jewelry .</t>
  </si>
  <si>
    <t>J' aime les jupes , et plus particulièrement les bijoux .</t>
  </si>
  <si>
    <t>Amo i gioielli , e più specificamente le gonne .</t>
  </si>
  <si>
    <t>I like jewelry , and more specifically skirts .</t>
  </si>
  <si>
    <t>J' aime les bijoux , et plus particulièrement les jupes .</t>
  </si>
  <si>
    <t>Amo le gonne , e più specificamente gli occhiali .</t>
  </si>
  <si>
    <t>I like skirts , and more specifically glasses .</t>
  </si>
  <si>
    <t>J' aime les jupes , et plus particulièrement les lunettes .</t>
  </si>
  <si>
    <t>Amo gli occhiali , e più specificamente le gonne .</t>
  </si>
  <si>
    <t>I like glasses , and more specifically skirts .</t>
  </si>
  <si>
    <t>J' aime les lunettes , et plus particulièrement les jupes .</t>
  </si>
  <si>
    <t>Amo le gonne , e più specificamente gli orecchini .</t>
  </si>
  <si>
    <t>I like skirts , and more specifically earrings .</t>
  </si>
  <si>
    <t>J' aime les jupes , et plus particulièrement les boucles d' oreille .</t>
  </si>
  <si>
    <t>Amo gli orecchini , e più specificamente le gonne .</t>
  </si>
  <si>
    <t>I like earrings , and more specifically skirts .</t>
  </si>
  <si>
    <t>J' aime les boucles d' oreille , et plus particulièrement les jupes .</t>
  </si>
  <si>
    <t>Amo i vestiti , eccetto gli occhiali .</t>
  </si>
  <si>
    <t>I like clothes , except glasses .</t>
  </si>
  <si>
    <t>J' aime les vêtements , sauf les lunettes .</t>
  </si>
  <si>
    <t>Amo le camicie , eccetto gli orecchini .</t>
  </si>
  <si>
    <t>I like shirts , except earrings .</t>
  </si>
  <si>
    <t>J' aime les chemises , sauf les boucles d' oreille .</t>
  </si>
  <si>
    <t>Amo gli orecchini , eccetto le camicie .</t>
  </si>
  <si>
    <t>I like earrings , except shirts .</t>
  </si>
  <si>
    <t>J' aime les boucles d' oreille , sauf les chemises .</t>
  </si>
  <si>
    <t>Amo i conigli , eccetto i bulldog .</t>
  </si>
  <si>
    <t>I like rabbits , except bulldogs .</t>
  </si>
  <si>
    <t>J' aime les lapins , sauf les bouledogues .</t>
  </si>
  <si>
    <t>Amo i vestiti , eccetto gli orecchini .</t>
  </si>
  <si>
    <t>I like clothes , except earrings .</t>
  </si>
  <si>
    <t>J' aime les vêtements , sauf les boucles d' oreille .</t>
  </si>
  <si>
    <t>Amo le querce , e più specificamente l' erba .</t>
  </si>
  <si>
    <t>I like oaks , and more specifically grass .</t>
  </si>
  <si>
    <t>J' aime les chênes , et plus particulièrement la pelouse .</t>
  </si>
  <si>
    <t>Amo l' erba , e più specificamente le querce .</t>
  </si>
  <si>
    <t>I like grass , and more specifically oaks .</t>
  </si>
  <si>
    <t>J' aime la pelouse , et plus particulièrement les chênes .</t>
  </si>
  <si>
    <t>Amo le querce , e più specificamente gli alberi .</t>
  </si>
  <si>
    <t>I like oaks , and more specifically trees .</t>
  </si>
  <si>
    <t>J' aime les chênes , et plus particulièrement les arbres .</t>
  </si>
  <si>
    <t>Amo gli alberi , e più specificamente le querce .</t>
  </si>
  <si>
    <t>I like trees , and more specifically oaks .</t>
  </si>
  <si>
    <t>J' aime les arbres , et plus particulièrement les chênes .</t>
  </si>
  <si>
    <t>Amo gli alberi , e più specificamente l' erba .</t>
  </si>
  <si>
    <t>I like trees , and more specifically grass .</t>
  </si>
  <si>
    <t>J' aime les arbres , et plus particulièrement la pelouse .</t>
  </si>
  <si>
    <t>Amo le querce , e più specificamente gli animali .</t>
  </si>
  <si>
    <t>I like oaks , and more specifically animals .</t>
  </si>
  <si>
    <t>J' aime les chênes , et plus particulièrement les animaux .</t>
  </si>
  <si>
    <t>Amo gli animali , e più specificamente le querce .</t>
  </si>
  <si>
    <t>I like animals , and more specifically oaks .</t>
  </si>
  <si>
    <t>J' aime les animaux , et plus particulièrement les chênes .</t>
  </si>
  <si>
    <t>Amo gli alberi , e più specificamente gli animali .</t>
  </si>
  <si>
    <t>I like trees , and more specifically animals .</t>
  </si>
  <si>
    <t>J' aime les arbres , et plus particulièrement les animaux .</t>
  </si>
  <si>
    <t>Amo le querce , e più specificamente i cespugli .</t>
  </si>
  <si>
    <t>I like oaks , and more specifically bushes .</t>
  </si>
  <si>
    <t>J' aime les chênes , et plus particulièrement les buissons .</t>
  </si>
  <si>
    <t>Amo i cespugli , e più specificamente le querce .</t>
  </si>
  <si>
    <t>I like bushes , and more specifically oaks .</t>
  </si>
  <si>
    <t>J' aime les buissons , et plus particulièrement les chênes .</t>
  </si>
  <si>
    <t>Amo gli alberi , e più specificamente i cespugli .</t>
  </si>
  <si>
    <t>I like trees , and more specifically bushes .</t>
  </si>
  <si>
    <t>J' aime les arbres , et plus particulièrement les buissons .</t>
  </si>
  <si>
    <t>Amo le querce , e più specificamente gli arbusti .</t>
  </si>
  <si>
    <t>I like oaks , and more specifically shrubs .</t>
  </si>
  <si>
    <t>J' aime les chênes , et plus particulièrement les arbustes .</t>
  </si>
  <si>
    <t>Amo gli arbusti , e più specificamente le querce .</t>
  </si>
  <si>
    <t>I like shrubs , and more specifically oaks .</t>
  </si>
  <si>
    <t>J' aime les arbustes , et plus particulièrement les chênes .</t>
  </si>
  <si>
    <t>Amo gli alberi , e più specificamente gli arbusti .</t>
  </si>
  <si>
    <t>I like trees , and more specifically shrubs .</t>
  </si>
  <si>
    <t>J' aime les arbres , et plus particulièrement les arbustes .</t>
  </si>
  <si>
    <t>Amo le betulle , e più specificamente l' erba .</t>
  </si>
  <si>
    <t>I like birches , and more specifically grass .</t>
  </si>
  <si>
    <t>J' aime les bouleaux , et plus particulièrement la pelouse .</t>
  </si>
  <si>
    <t>Amo l' erba , e più specificamente le betulle .</t>
  </si>
  <si>
    <t>I like grass , and more specifically birches .</t>
  </si>
  <si>
    <t>J' aime la pelouse , et plus particulièrement les bouleaux .</t>
  </si>
  <si>
    <t>Amo le betulle , e più specificamente gli alberi .</t>
  </si>
  <si>
    <t>I like birches , and more specifically trees .</t>
  </si>
  <si>
    <t>J' aime les bouleaux , et plus particulièrement les arbres .</t>
  </si>
  <si>
    <t>Amo gli alberi , e più specificamente le betulle .</t>
  </si>
  <si>
    <t>I like trees , and more specifically birches .</t>
  </si>
  <si>
    <t>J' aime les arbres , et plus particulièrement les bouleaux .</t>
  </si>
  <si>
    <t>Amo le betulle , e più specificamente gli animali .</t>
  </si>
  <si>
    <t>I like birches , and more specifically animals .</t>
  </si>
  <si>
    <t>J' aime les bouleaux , et plus particulièrement les animaux .</t>
  </si>
  <si>
    <t>Amo gli animali , e più specificamente le betulle .</t>
  </si>
  <si>
    <t>I like animals , and more specifically birches .</t>
  </si>
  <si>
    <t>J' aime les animaux , et plus particulièrement les bouleaux .</t>
  </si>
  <si>
    <t>Amo le betulle , e più specificamente i cespugli .</t>
  </si>
  <si>
    <t>I like birches , and more specifically bushes .</t>
  </si>
  <si>
    <t>J' aime les bouleaux , et plus particulièrement les buissons .</t>
  </si>
  <si>
    <t>Amo i cespugli , e più specificamente le betulle .</t>
  </si>
  <si>
    <t>I like bushes , and more specifically birches .</t>
  </si>
  <si>
    <t>J' aime les buissons , et plus particulièrement les bouleaux .</t>
  </si>
  <si>
    <t>Amo le betulle , e più specificamente gli arbusti .</t>
  </si>
  <si>
    <t>I like birches , and more specifically shrubs .</t>
  </si>
  <si>
    <t>J' aime les bouleaux , et plus particulièrement les arbustes .</t>
  </si>
  <si>
    <t>Amo gli arbusti , e più specificamente le betulle .</t>
  </si>
  <si>
    <t>I like shrubs , and more specifically birches .</t>
  </si>
  <si>
    <t>J' aime les arbustes , et plus particulièrement les bouleaux 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</si>
</sst>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  <sz val="11.0"/>
      <color theme="1"/>
      <name val="Calibri"/>
    </font>
    <font>
      <b/>
      <color theme="1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top"/>
    </xf>
    <xf borderId="1" fillId="0" fontId="1" numFmtId="0" xfId="0" applyAlignment="1" applyBorder="1" applyFont="1">
      <alignment horizontal="center" vertical="top"/>
    </xf>
    <xf borderId="0" fillId="0" fontId="2" numFmtId="0" xfId="0" applyAlignment="1" applyFont="1">
      <alignment readingOrder="0"/>
    </xf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vertical="bottom"/>
    </xf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2" max="2" width="52.14"/>
    <col customWidth="1" min="4" max="4" width="58.14"/>
    <col customWidth="1" min="6" max="6" width="43.86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>
      <c r="A2" s="4">
        <v>0.0</v>
      </c>
      <c r="B2" s="5" t="s">
        <v>7</v>
      </c>
      <c r="C2" s="4">
        <v>0.0</v>
      </c>
      <c r="D2" s="5" t="s">
        <v>8</v>
      </c>
      <c r="E2" s="5" t="s">
        <v>9</v>
      </c>
      <c r="F2" s="6" t="str">
        <f>IFERROR(__xludf.DUMMYFUNCTION("GOOGLETRANSLATE(D2,""en"",""it"")"),"Mi piacciono i pantaloni, tranne le scarpe.")</f>
        <v>Mi piacciono i pantaloni, tranne le scarpe.</v>
      </c>
      <c r="G2" s="6" t="str">
        <f>IFERROR(__xludf.DUMMYFUNCTION("GOOGLETRANSLATE(E2,""fr"",""it"")"),"Mi piacciono i pantaloni, tranne le scarpe.")</f>
        <v>Mi piacciono i pantaloni, tranne le scarpe.</v>
      </c>
    </row>
    <row r="3">
      <c r="A3" s="4">
        <v>1.0</v>
      </c>
      <c r="B3" s="5" t="s">
        <v>10</v>
      </c>
      <c r="C3" s="4">
        <v>0.0</v>
      </c>
      <c r="D3" s="5" t="s">
        <v>11</v>
      </c>
      <c r="E3" s="5" t="s">
        <v>12</v>
      </c>
      <c r="F3" s="6" t="str">
        <f>IFERROR(__xludf.DUMMYFUNCTION("GOOGLETRANSLATE(D3,""en"",""it"")"),"Mi piacciono gli abeti e più specificamente erba.")</f>
        <v>Mi piacciono gli abeti e più specificamente erba.</v>
      </c>
      <c r="G3" s="6" t="str">
        <f>IFERROR(__xludf.DUMMYFUNCTION("GOOGLETRANSLATE(E3,""fr"",""it"")"),"Adoro gli abeti e più in particolare il prato.")</f>
        <v>Adoro gli abeti e più in particolare il prato.</v>
      </c>
    </row>
    <row r="4">
      <c r="A4" s="4">
        <v>2.0</v>
      </c>
      <c r="B4" s="5" t="s">
        <v>13</v>
      </c>
      <c r="C4" s="4">
        <v>0.0</v>
      </c>
      <c r="D4" s="5" t="s">
        <v>14</v>
      </c>
      <c r="E4" s="5" t="s">
        <v>15</v>
      </c>
      <c r="F4" s="6" t="str">
        <f>IFERROR(__xludf.DUMMYFUNCTION("GOOGLETRANSLATE(D4,""en"",""it"")"),"Mi piace l'erba e più specificamente abeti.")</f>
        <v>Mi piace l'erba e più specificamente abeti.</v>
      </c>
      <c r="G4" s="6" t="str">
        <f>IFERROR(__xludf.DUMMYFUNCTION("GOOGLETRANSLATE(E4,""fr"",""it"")"),"Adoro il prato e più in particolare gli abeti.")</f>
        <v>Adoro il prato e più in particolare gli abeti.</v>
      </c>
    </row>
    <row r="5">
      <c r="A5" s="4">
        <v>3.0</v>
      </c>
      <c r="B5" s="5" t="s">
        <v>16</v>
      </c>
      <c r="C5" s="4">
        <v>0.0</v>
      </c>
      <c r="D5" s="5" t="s">
        <v>17</v>
      </c>
      <c r="E5" s="5" t="s">
        <v>18</v>
      </c>
      <c r="F5" s="6" t="str">
        <f>IFERROR(__xludf.DUMMYFUNCTION("GOOGLETRANSLATE(D5,""en"",""it"")"),"Mi piacciono gli abeti e più specificamente alberi.")</f>
        <v>Mi piacciono gli abeti e più specificamente alberi.</v>
      </c>
      <c r="G5" s="6" t="str">
        <f>IFERROR(__xludf.DUMMYFUNCTION("GOOGLETRANSLATE(E5,""fr"",""it"")"),"Amo gli abeti e più alberi in particolare.")</f>
        <v>Amo gli abeti e più alberi in particolare.</v>
      </c>
    </row>
    <row r="6">
      <c r="A6" s="4">
        <v>4.0</v>
      </c>
      <c r="B6" s="5" t="s">
        <v>19</v>
      </c>
      <c r="C6" s="4">
        <v>1.0</v>
      </c>
      <c r="D6" s="5" t="s">
        <v>20</v>
      </c>
      <c r="E6" s="5" t="s">
        <v>21</v>
      </c>
      <c r="F6" s="6" t="str">
        <f>IFERROR(__xludf.DUMMYFUNCTION("GOOGLETRANSLATE(D6,""en"",""it"")"),"Mi piacciono gli alberi e più specificamente abeti.")</f>
        <v>Mi piacciono gli alberi e più specificamente abeti.</v>
      </c>
      <c r="G6" s="6" t="str">
        <f>IFERROR(__xludf.DUMMYFUNCTION("GOOGLETRANSLATE(E6,""fr"",""it"")"),"Mi piacciono gli alberi e più in particolare gli abeti.")</f>
        <v>Mi piacciono gli alberi e più in particolare gli abeti.</v>
      </c>
    </row>
    <row r="7">
      <c r="A7" s="4">
        <v>5.0</v>
      </c>
      <c r="B7" s="5" t="s">
        <v>22</v>
      </c>
      <c r="C7" s="4">
        <v>0.0</v>
      </c>
      <c r="D7" s="5" t="s">
        <v>23</v>
      </c>
      <c r="E7" s="5" t="s">
        <v>24</v>
      </c>
      <c r="F7" s="6" t="str">
        <f>IFERROR(__xludf.DUMMYFUNCTION("GOOGLETRANSLATE(D7,""en"",""it"")"),"Mi piacciono gli abeti e più specificamente animali.")</f>
        <v>Mi piacciono gli abeti e più specificamente animali.</v>
      </c>
      <c r="G7" s="6" t="str">
        <f>IFERROR(__xludf.DUMMYFUNCTION("GOOGLETRANSLATE(E7,""fr"",""it"")"),"Amo gli abeti, in particolare gli animali.")</f>
        <v>Amo gli abeti, in particolare gli animali.</v>
      </c>
    </row>
    <row r="8">
      <c r="A8" s="4">
        <v>6.0</v>
      </c>
      <c r="B8" s="5" t="s">
        <v>25</v>
      </c>
      <c r="C8" s="4">
        <v>0.0</v>
      </c>
      <c r="D8" s="5" t="s">
        <v>26</v>
      </c>
      <c r="E8" s="5" t="s">
        <v>27</v>
      </c>
      <c r="F8" s="6" t="str">
        <f>IFERROR(__xludf.DUMMYFUNCTION("GOOGLETRANSLATE(D8,""en"",""it"")"),"Mi piacciono gli animali e più specificamente abeti.")</f>
        <v>Mi piacciono gli animali e più specificamente abeti.</v>
      </c>
      <c r="G8" s="6" t="str">
        <f>IFERROR(__xludf.DUMMYFUNCTION("GOOGLETRANSLATE(E8,""fr"",""it"")"),"Amo gli animali, in particolare gli abeti.")</f>
        <v>Amo gli animali, in particolare gli abeti.</v>
      </c>
    </row>
    <row r="9">
      <c r="A9" s="4">
        <v>7.0</v>
      </c>
      <c r="B9" s="5" t="s">
        <v>28</v>
      </c>
      <c r="C9" s="4">
        <v>0.0</v>
      </c>
      <c r="D9" s="5" t="s">
        <v>29</v>
      </c>
      <c r="E9" s="5" t="s">
        <v>30</v>
      </c>
      <c r="F9" s="6" t="str">
        <f>IFERROR(__xludf.DUMMYFUNCTION("GOOGLETRANSLATE(D9,""en"",""it"")"),"Mi piacciono le scarpe, tranne i pantaloni.")</f>
        <v>Mi piacciono le scarpe, tranne i pantaloni.</v>
      </c>
      <c r="G9" s="6" t="str">
        <f>IFERROR(__xludf.DUMMYFUNCTION("GOOGLETRANSLATE(E9,""fr"",""it"")"),"Amo le scarpe tranne i pantaloni.")</f>
        <v>Amo le scarpe tranne i pantaloni.</v>
      </c>
    </row>
    <row r="10">
      <c r="A10" s="4">
        <v>8.0</v>
      </c>
      <c r="B10" s="5" t="s">
        <v>31</v>
      </c>
      <c r="C10" s="4">
        <v>0.0</v>
      </c>
      <c r="D10" s="5" t="s">
        <v>32</v>
      </c>
      <c r="E10" s="5" t="s">
        <v>33</v>
      </c>
      <c r="F10" s="6" t="str">
        <f>IFERROR(__xludf.DUMMYFUNCTION("GOOGLETRANSLATE(D10,""en"",""it"")"),"Mi piacciono gli abeti e più cespugli in particolare.")</f>
        <v>Mi piacciono gli abeti e più cespugli in particolare.</v>
      </c>
      <c r="G10" s="6" t="str">
        <f>IFERROR(__xludf.DUMMYFUNCTION("GOOGLETRANSLATE(E10,""fr"",""it"")"),"Adoro gli abeti e più in particolare i cespugli.")</f>
        <v>Adoro gli abeti e più in particolare i cespugli.</v>
      </c>
    </row>
    <row r="11">
      <c r="A11" s="4">
        <v>9.0</v>
      </c>
      <c r="B11" s="5" t="s">
        <v>34</v>
      </c>
      <c r="C11" s="4">
        <v>0.0</v>
      </c>
      <c r="D11" s="5" t="s">
        <v>35</v>
      </c>
      <c r="E11" s="5" t="s">
        <v>36</v>
      </c>
      <c r="F11" s="6" t="str">
        <f>IFERROR(__xludf.DUMMYFUNCTION("GOOGLETRANSLATE(D11,""en"",""it"")"),"Mi piacciono i cespugli e più specificamente abeti.")</f>
        <v>Mi piacciono i cespugli e più specificamente abeti.</v>
      </c>
      <c r="G11" s="6" t="str">
        <f>IFERROR(__xludf.DUMMYFUNCTION("GOOGLETRANSLATE(E11,""fr"",""it"")"),"Amo i cespugli e più in particolare gli abeti.")</f>
        <v>Amo i cespugli e più in particolare gli abeti.</v>
      </c>
    </row>
    <row r="12">
      <c r="A12" s="4">
        <v>10.0</v>
      </c>
      <c r="B12" s="5" t="s">
        <v>37</v>
      </c>
      <c r="C12" s="4">
        <v>0.0</v>
      </c>
      <c r="D12" s="5" t="s">
        <v>38</v>
      </c>
      <c r="E12" s="5" t="s">
        <v>39</v>
      </c>
      <c r="F12" s="6" t="str">
        <f>IFERROR(__xludf.DUMMYFUNCTION("GOOGLETRANSLATE(D12,""en"",""it"")"),"Mi piacciono gli abeti e più specificamente arbusti.")</f>
        <v>Mi piacciono gli abeti e più specificamente arbusti.</v>
      </c>
      <c r="G12" s="6" t="str">
        <f>IFERROR(__xludf.DUMMYFUNCTION("GOOGLETRANSLATE(E12,""fr"",""it"")"),"Adoro gli abeti, in particolare gli arbusti.")</f>
        <v>Adoro gli abeti, in particolare gli arbusti.</v>
      </c>
    </row>
    <row r="13">
      <c r="A13" s="4">
        <v>11.0</v>
      </c>
      <c r="B13" s="5" t="s">
        <v>40</v>
      </c>
      <c r="C13" s="4">
        <v>0.0</v>
      </c>
      <c r="D13" s="5" t="s">
        <v>41</v>
      </c>
      <c r="E13" s="5" t="s">
        <v>42</v>
      </c>
      <c r="F13" s="6" t="str">
        <f>IFERROR(__xludf.DUMMYFUNCTION("GOOGLETRANSLATE(D13,""en"",""it"")"),"Mi piacciono gli arbusti e più specificamente abeti.")</f>
        <v>Mi piacciono gli arbusti e più specificamente abeti.</v>
      </c>
      <c r="G13" s="6" t="str">
        <f>IFERROR(__xludf.DUMMYFUNCTION("GOOGLETRANSLATE(E13,""fr"",""it"")"),"Mi piacciono gli arbusti, e più in particolare gli abeti.")</f>
        <v>Mi piacciono gli arbusti, e più in particolare gli abeti.</v>
      </c>
    </row>
    <row r="14">
      <c r="A14" s="4">
        <v>12.0</v>
      </c>
      <c r="B14" s="5" t="s">
        <v>43</v>
      </c>
      <c r="C14" s="4">
        <v>0.0</v>
      </c>
      <c r="D14" s="5" t="s">
        <v>44</v>
      </c>
      <c r="E14" s="5" t="s">
        <v>45</v>
      </c>
      <c r="F14" s="6" t="str">
        <f>IFERROR(__xludf.DUMMYFUNCTION("GOOGLETRANSLATE(D14,""en"",""it"")"),"Mi piacciono i pantaloni, tranne i vestiti.")</f>
        <v>Mi piacciono i pantaloni, tranne i vestiti.</v>
      </c>
      <c r="G14" s="6" t="str">
        <f>IFERROR(__xludf.DUMMYFUNCTION("GOOGLETRANSLATE(E14,""fr"",""it"")"),"Mi piacciono i pantaloni, tranne i vestiti.")</f>
        <v>Mi piacciono i pantaloni, tranne i vestiti.</v>
      </c>
    </row>
    <row r="15">
      <c r="A15" s="4">
        <v>13.0</v>
      </c>
      <c r="B15" s="5" t="s">
        <v>46</v>
      </c>
      <c r="C15" s="4">
        <v>1.0</v>
      </c>
      <c r="D15" s="5" t="s">
        <v>47</v>
      </c>
      <c r="E15" s="5" t="s">
        <v>48</v>
      </c>
      <c r="F15" s="6" t="str">
        <f>IFERROR(__xludf.DUMMYFUNCTION("GOOGLETRANSLATE(D15,""en"",""it"")"),"Mi piacciono i vestiti, tranne i pantaloni.")</f>
        <v>Mi piacciono i vestiti, tranne i pantaloni.</v>
      </c>
      <c r="G15" s="6" t="str">
        <f>IFERROR(__xludf.DUMMYFUNCTION("GOOGLETRANSLATE(E15,""fr"",""it"")"),"Amo i vestiti tranne i pantaloni.")</f>
        <v>Amo i vestiti tranne i pantaloni.</v>
      </c>
    </row>
    <row r="16">
      <c r="A16" s="4">
        <v>14.0</v>
      </c>
      <c r="B16" s="5" t="s">
        <v>49</v>
      </c>
      <c r="C16" s="4">
        <v>0.0</v>
      </c>
      <c r="D16" s="5" t="s">
        <v>50</v>
      </c>
      <c r="E16" s="5" t="s">
        <v>51</v>
      </c>
      <c r="F16" s="6" t="str">
        <f>IFERROR(__xludf.DUMMYFUNCTION("GOOGLETRANSLATE(D16,""en"",""it"")"),"Mi piacciono i pini e più specificamente erba.")</f>
        <v>Mi piacciono i pini e più specificamente erba.</v>
      </c>
      <c r="G16" s="6" t="str">
        <f>IFERROR(__xludf.DUMMYFUNCTION("GOOGLETRANSLATE(E16,""fr"",""it"")"),"Adoro i pini e più in particolare il prato.")</f>
        <v>Adoro i pini e più in particolare il prato.</v>
      </c>
    </row>
    <row r="17">
      <c r="A17" s="4">
        <v>15.0</v>
      </c>
      <c r="B17" s="5" t="s">
        <v>52</v>
      </c>
      <c r="C17" s="4">
        <v>0.0</v>
      </c>
      <c r="D17" s="5" t="s">
        <v>53</v>
      </c>
      <c r="E17" s="5" t="s">
        <v>54</v>
      </c>
      <c r="F17" s="6" t="str">
        <f>IFERROR(__xludf.DUMMYFUNCTION("GOOGLETRANSLATE(D17,""en"",""it"")"),"Mi piace l'erba e più specificamente pini.")</f>
        <v>Mi piace l'erba e più specificamente pini.</v>
      </c>
      <c r="G17" s="6" t="str">
        <f>IFERROR(__xludf.DUMMYFUNCTION("GOOGLETRANSLATE(E17,""fr"",""it"")"),"Adoro il prato e più in particolare i pini.")</f>
        <v>Adoro il prato e più in particolare i pini.</v>
      </c>
    </row>
    <row r="18">
      <c r="A18" s="4">
        <v>16.0</v>
      </c>
      <c r="B18" s="5" t="s">
        <v>55</v>
      </c>
      <c r="C18" s="4">
        <v>0.0</v>
      </c>
      <c r="D18" s="5" t="s">
        <v>56</v>
      </c>
      <c r="E18" s="5" t="s">
        <v>57</v>
      </c>
      <c r="F18" s="6" t="str">
        <f>IFERROR(__xludf.DUMMYFUNCTION("GOOGLETRANSLATE(D18,""en"",""it"")"),"Mi piacciono i pini e più specificamente alberi.")</f>
        <v>Mi piacciono i pini e più specificamente alberi.</v>
      </c>
      <c r="G18" s="6" t="str">
        <f>IFERROR(__xludf.DUMMYFUNCTION("GOOGLETRANSLATE(E18,""fr"",""it"")"),"Adoro i pini e più in particolare gli alberi.")</f>
        <v>Adoro i pini e più in particolare gli alberi.</v>
      </c>
    </row>
    <row r="19">
      <c r="A19" s="4">
        <v>17.0</v>
      </c>
      <c r="B19" s="5" t="s">
        <v>58</v>
      </c>
      <c r="C19" s="4">
        <v>1.0</v>
      </c>
      <c r="D19" s="5" t="s">
        <v>59</v>
      </c>
      <c r="E19" s="5" t="s">
        <v>60</v>
      </c>
      <c r="F19" s="6" t="str">
        <f>IFERROR(__xludf.DUMMYFUNCTION("GOOGLETRANSLATE(D19,""en"",""it"")"),"Mi piacciono gli alberi e più specificamente pini.")</f>
        <v>Mi piacciono gli alberi e più specificamente pini.</v>
      </c>
      <c r="G19" s="6" t="str">
        <f>IFERROR(__xludf.DUMMYFUNCTION("GOOGLETRANSLATE(E19,""fr"",""it"")"),"Amo gli alberi, e più in particolare i pini.")</f>
        <v>Amo gli alberi, e più in particolare i pini.</v>
      </c>
    </row>
    <row r="20">
      <c r="A20" s="4">
        <v>18.0</v>
      </c>
      <c r="B20" s="5" t="s">
        <v>61</v>
      </c>
      <c r="C20" s="4">
        <v>0.0</v>
      </c>
      <c r="D20" s="5" t="s">
        <v>62</v>
      </c>
      <c r="E20" s="5" t="s">
        <v>63</v>
      </c>
      <c r="F20" s="6" t="str">
        <f>IFERROR(__xludf.DUMMYFUNCTION("GOOGLETRANSLATE(D20,""en"",""it"")"),"Mi piacciono i pini e più specificamente animali.")</f>
        <v>Mi piacciono i pini e più specificamente animali.</v>
      </c>
      <c r="G20" s="6" t="str">
        <f>IFERROR(__xludf.DUMMYFUNCTION("GOOGLETRANSLATE(E20,""fr"",""it"")"),"Adoro i pini, in particolare gli animali.")</f>
        <v>Adoro i pini, in particolare gli animali.</v>
      </c>
    </row>
    <row r="21">
      <c r="A21" s="4">
        <v>19.0</v>
      </c>
      <c r="B21" s="5" t="s">
        <v>64</v>
      </c>
      <c r="C21" s="4">
        <v>0.0</v>
      </c>
      <c r="D21" s="5" t="s">
        <v>65</v>
      </c>
      <c r="E21" s="5" t="s">
        <v>66</v>
      </c>
      <c r="F21" s="6" t="str">
        <f>IFERROR(__xludf.DUMMYFUNCTION("GOOGLETRANSLATE(D21,""en"",""it"")"),"Mi piacciono gli animali, e più specificamente pini.")</f>
        <v>Mi piacciono gli animali, e più specificamente pini.</v>
      </c>
      <c r="G21" s="6" t="str">
        <f>IFERROR(__xludf.DUMMYFUNCTION("GOOGLETRANSLATE(E21,""fr"",""it"")"),"Amo gli animali, e più in particolare i pini.")</f>
        <v>Amo gli animali, e più in particolare i pini.</v>
      </c>
    </row>
    <row r="22">
      <c r="A22" s="4">
        <v>20.0</v>
      </c>
      <c r="B22" s="5" t="s">
        <v>67</v>
      </c>
      <c r="C22" s="4">
        <v>0.0</v>
      </c>
      <c r="D22" s="5" t="s">
        <v>68</v>
      </c>
      <c r="E22" s="5" t="s">
        <v>69</v>
      </c>
      <c r="F22" s="6" t="str">
        <f>IFERROR(__xludf.DUMMYFUNCTION("GOOGLETRANSLATE(D22,""en"",""it"")"),"Mi piacciono i pantaloni, tranne i gioielli.")</f>
        <v>Mi piacciono i pantaloni, tranne i gioielli.</v>
      </c>
      <c r="G22" s="6" t="str">
        <f>IFERROR(__xludf.DUMMYFUNCTION("GOOGLETRANSLATE(E22,""fr"",""it"")"),"Mi piacciono i pantaloni, tranne i gioielli.")</f>
        <v>Mi piacciono i pantaloni, tranne i gioielli.</v>
      </c>
    </row>
    <row r="23">
      <c r="A23" s="4">
        <v>21.0</v>
      </c>
      <c r="B23" s="5" t="s">
        <v>70</v>
      </c>
      <c r="C23" s="4">
        <v>0.0</v>
      </c>
      <c r="D23" s="5" t="s">
        <v>71</v>
      </c>
      <c r="E23" s="5" t="s">
        <v>72</v>
      </c>
      <c r="F23" s="6" t="str">
        <f>IFERROR(__xludf.DUMMYFUNCTION("GOOGLETRANSLATE(D23,""en"",""it"")"),"Mi piacciono i pini e più cespugli in particolare.")</f>
        <v>Mi piacciono i pini e più cespugli in particolare.</v>
      </c>
      <c r="G23" s="6" t="str">
        <f>IFERROR(__xludf.DUMMYFUNCTION("GOOGLETRANSLATE(E23,""fr"",""it"")"),"Adoro i pini e più in particolare i cespugli.")</f>
        <v>Adoro i pini e più in particolare i cespugli.</v>
      </c>
    </row>
    <row r="24">
      <c r="A24" s="4">
        <v>22.0</v>
      </c>
      <c r="B24" s="5" t="s">
        <v>73</v>
      </c>
      <c r="C24" s="4">
        <v>0.0</v>
      </c>
      <c r="D24" s="5" t="s">
        <v>74</v>
      </c>
      <c r="E24" s="5" t="s">
        <v>75</v>
      </c>
      <c r="F24" s="6" t="str">
        <f>IFERROR(__xludf.DUMMYFUNCTION("GOOGLETRANSLATE(D24,""en"",""it"")"),"Mi piacciono i cespugli e più specificamente pini.")</f>
        <v>Mi piacciono i cespugli e più specificamente pini.</v>
      </c>
      <c r="G24" s="6" t="str">
        <f>IFERROR(__xludf.DUMMYFUNCTION("GOOGLETRANSLATE(E24,""fr"",""it"")"),"Amo i cespugli e più in particolare i pini.")</f>
        <v>Amo i cespugli e più in particolare i pini.</v>
      </c>
    </row>
    <row r="25">
      <c r="A25" s="4">
        <v>23.0</v>
      </c>
      <c r="B25" s="5" t="s">
        <v>76</v>
      </c>
      <c r="C25" s="4">
        <v>0.0</v>
      </c>
      <c r="D25" s="5" t="s">
        <v>77</v>
      </c>
      <c r="E25" s="5" t="s">
        <v>78</v>
      </c>
      <c r="F25" s="6" t="str">
        <f>IFERROR(__xludf.DUMMYFUNCTION("GOOGLETRANSLATE(D25,""en"",""it"")"),"Mi piacciono i pini e più specificamente arbusti.")</f>
        <v>Mi piacciono i pini e più specificamente arbusti.</v>
      </c>
      <c r="G25" s="6" t="str">
        <f>IFERROR(__xludf.DUMMYFUNCTION("GOOGLETRANSLATE(E25,""fr"",""it"")"),"Adoro i pini e più in particolare gli arbusti.")</f>
        <v>Adoro i pini e più in particolare gli arbusti.</v>
      </c>
    </row>
    <row r="26">
      <c r="A26" s="4">
        <v>24.0</v>
      </c>
      <c r="B26" s="5" t="s">
        <v>79</v>
      </c>
      <c r="C26" s="4">
        <v>0.0</v>
      </c>
      <c r="D26" s="5" t="s">
        <v>80</v>
      </c>
      <c r="E26" s="5" t="s">
        <v>81</v>
      </c>
      <c r="F26" s="6" t="str">
        <f>IFERROR(__xludf.DUMMYFUNCTION("GOOGLETRANSLATE(D26,""en"",""it"")"),"Mi piacciono gli arbusti e più specificamente pini.")</f>
        <v>Mi piacciono gli arbusti e più specificamente pini.</v>
      </c>
      <c r="G26" s="6" t="str">
        <f>IFERROR(__xludf.DUMMYFUNCTION("GOOGLETRANSLATE(E26,""fr"",""it"")"),"Amo gli arbusti e più in particolare i pini.")</f>
        <v>Amo gli arbusti e più in particolare i pini.</v>
      </c>
    </row>
    <row r="27">
      <c r="A27" s="4">
        <v>25.0</v>
      </c>
      <c r="B27" s="5" t="s">
        <v>82</v>
      </c>
      <c r="C27" s="4">
        <v>0.0</v>
      </c>
      <c r="D27" s="5" t="s">
        <v>83</v>
      </c>
      <c r="E27" s="5" t="s">
        <v>84</v>
      </c>
      <c r="F27" s="6" t="str">
        <f>IFERROR(__xludf.DUMMYFUNCTION("GOOGLETRANSLATE(D27,""en"",""it"")"),"Mi piacciono i gioielli, tranne i pantaloni.")</f>
        <v>Mi piacciono i gioielli, tranne i pantaloni.</v>
      </c>
      <c r="G27" s="6" t="str">
        <f>IFERROR(__xludf.DUMMYFUNCTION("GOOGLETRANSLATE(E27,""fr"",""it"")"),"Mi piacciono i gioielli, tranne i pantaloni.")</f>
        <v>Mi piacciono i gioielli, tranne i pantaloni.</v>
      </c>
    </row>
    <row r="28">
      <c r="A28" s="4">
        <v>26.0</v>
      </c>
      <c r="B28" s="5" t="s">
        <v>85</v>
      </c>
      <c r="C28" s="4">
        <v>0.0</v>
      </c>
      <c r="D28" s="5" t="s">
        <v>86</v>
      </c>
      <c r="E28" s="5" t="s">
        <v>87</v>
      </c>
      <c r="F28" s="6" t="str">
        <f>IFERROR(__xludf.DUMMYFUNCTION("GOOGLETRANSLATE(D28,""en"",""it"")"),"Io uso poliestere e più specificamente in legno.")</f>
        <v>Io uso poliestere e più specificamente in legno.</v>
      </c>
      <c r="G28" s="6" t="str">
        <f>IFERROR(__xludf.DUMMYFUNCTION("GOOGLETRANSLATE(E28,""fr"",""it"")"),"Io uso il poliestere e più in particolare il legno.")</f>
        <v>Io uso il poliestere e più in particolare il legno.</v>
      </c>
    </row>
    <row r="29">
      <c r="A29" s="4">
        <v>27.0</v>
      </c>
      <c r="B29" s="5" t="s">
        <v>88</v>
      </c>
      <c r="C29" s="4">
        <v>0.0</v>
      </c>
      <c r="D29" s="5" t="s">
        <v>89</v>
      </c>
      <c r="E29" s="5" t="s">
        <v>90</v>
      </c>
      <c r="F29" s="6" t="str">
        <f>IFERROR(__xludf.DUMMYFUNCTION("GOOGLETRANSLATE(D29,""en"",""it"")"),"Io uso il legno e più specificamente in poliestere.")</f>
        <v>Io uso il legno e più specificamente in poliestere.</v>
      </c>
      <c r="G29" s="6" t="str">
        <f>IFERROR(__xludf.DUMMYFUNCTION("GOOGLETRANSLATE(E29,""fr"",""it"")"),"Io uso il legno e più in particolare il poliestere.")</f>
        <v>Io uso il legno e più in particolare il poliestere.</v>
      </c>
    </row>
    <row r="30">
      <c r="A30" s="4">
        <v>28.0</v>
      </c>
      <c r="B30" s="5" t="s">
        <v>91</v>
      </c>
      <c r="C30" s="4">
        <v>0.0</v>
      </c>
      <c r="D30" s="5" t="s">
        <v>92</v>
      </c>
      <c r="E30" s="5" t="s">
        <v>93</v>
      </c>
      <c r="F30" s="6" t="str">
        <f>IFERROR(__xludf.DUMMYFUNCTION("GOOGLETRANSLATE(D30,""en"",""it"")"),"Io uso poliestere e più specificamente plastica.")</f>
        <v>Io uso poliestere e più specificamente plastica.</v>
      </c>
      <c r="G30" s="6" t="str">
        <f>IFERROR(__xludf.DUMMYFUNCTION("GOOGLETRANSLATE(E30,""fr"",""it"")"),"Io uso il poliestere e più in particolare la plastica.")</f>
        <v>Io uso il poliestere e più in particolare la plastica.</v>
      </c>
    </row>
    <row r="31">
      <c r="A31" s="4">
        <v>29.0</v>
      </c>
      <c r="B31" s="5" t="s">
        <v>94</v>
      </c>
      <c r="C31" s="4">
        <v>1.0</v>
      </c>
      <c r="D31" s="5" t="s">
        <v>95</v>
      </c>
      <c r="E31" s="5" t="s">
        <v>96</v>
      </c>
      <c r="F31" s="6" t="str">
        <f>IFERROR(__xludf.DUMMYFUNCTION("GOOGLETRANSLATE(D31,""en"",""it"")"),"Io uso la plastica e più specificamente in poliestere.")</f>
        <v>Io uso la plastica e più specificamente in poliestere.</v>
      </c>
      <c r="G31" s="6" t="str">
        <f>IFERROR(__xludf.DUMMYFUNCTION("GOOGLETRANSLATE(E31,""fr"",""it"")"),"Io uso la plastica e più in particolare il poliestere.")</f>
        <v>Io uso la plastica e più in particolare il poliestere.</v>
      </c>
    </row>
    <row r="32">
      <c r="A32" s="4">
        <v>30.0</v>
      </c>
      <c r="B32" s="5" t="s">
        <v>97</v>
      </c>
      <c r="C32" s="4">
        <v>0.0</v>
      </c>
      <c r="D32" s="5" t="s">
        <v>98</v>
      </c>
      <c r="E32" s="5" t="s">
        <v>99</v>
      </c>
      <c r="F32" s="6" t="str">
        <f>IFERROR(__xludf.DUMMYFUNCTION("GOOGLETRANSLATE(D32,""en"",""it"")"),"Io uso la plastica e più specificamente legno.")</f>
        <v>Io uso la plastica e più specificamente legno.</v>
      </c>
      <c r="G32" s="6" t="str">
        <f>IFERROR(__xludf.DUMMYFUNCTION("GOOGLETRANSLATE(E32,""fr"",""it"")"),"Io uso la plastica e più in particolare il legno.")</f>
        <v>Io uso la plastica e più in particolare il legno.</v>
      </c>
    </row>
    <row r="33">
      <c r="A33" s="4">
        <v>31.0</v>
      </c>
      <c r="B33" s="5" t="s">
        <v>100</v>
      </c>
      <c r="C33" s="4">
        <v>0.0</v>
      </c>
      <c r="D33" s="5" t="s">
        <v>101</v>
      </c>
      <c r="E33" s="5" t="s">
        <v>102</v>
      </c>
      <c r="F33" s="6" t="str">
        <f>IFERROR(__xludf.DUMMYFUNCTION("GOOGLETRANSLATE(D33,""en"",""it"")"),"Io uso poliestere e più in particolare cotone.")</f>
        <v>Io uso poliestere e più in particolare cotone.</v>
      </c>
      <c r="G33" s="6" t="str">
        <f>IFERROR(__xludf.DUMMYFUNCTION("GOOGLETRANSLATE(E33,""fr"",""it"")"),"Io uso il poliestere e più in particolare il cotone.")</f>
        <v>Io uso il poliestere e più in particolare il cotone.</v>
      </c>
    </row>
    <row r="34">
      <c r="A34" s="4">
        <v>32.0</v>
      </c>
      <c r="B34" s="5" t="s">
        <v>103</v>
      </c>
      <c r="C34" s="4">
        <v>0.0</v>
      </c>
      <c r="D34" s="5" t="s">
        <v>104</v>
      </c>
      <c r="E34" s="5" t="s">
        <v>105</v>
      </c>
      <c r="F34" s="6" t="str">
        <f>IFERROR(__xludf.DUMMYFUNCTION("GOOGLETRANSLATE(D34,""en"",""it"")"),"Io uso cotone e più specificamente in poliestere.")</f>
        <v>Io uso cotone e più specificamente in poliestere.</v>
      </c>
      <c r="G34" s="6" t="str">
        <f>IFERROR(__xludf.DUMMYFUNCTION("GOOGLETRANSLATE(E34,""fr"",""it"")"),"Io uso cotone e più in particolare il poliestere.")</f>
        <v>Io uso cotone e più in particolare il poliestere.</v>
      </c>
    </row>
    <row r="35">
      <c r="A35" s="4">
        <v>33.0</v>
      </c>
      <c r="B35" s="5" t="s">
        <v>106</v>
      </c>
      <c r="C35" s="4">
        <v>0.0</v>
      </c>
      <c r="D35" s="5" t="s">
        <v>107</v>
      </c>
      <c r="E35" s="5" t="s">
        <v>108</v>
      </c>
      <c r="F35" s="6" t="str">
        <f>IFERROR(__xludf.DUMMYFUNCTION("GOOGLETRANSLATE(D35,""en"",""it"")"),"Io uso plastica e più specificamente cotone.")</f>
        <v>Io uso plastica e più specificamente cotone.</v>
      </c>
      <c r="G35" s="6" t="str">
        <f>IFERROR(__xludf.DUMMYFUNCTION("GOOGLETRANSLATE(E35,""fr"",""it"")"),"Io uso la plastica e più in particolare il cotone.")</f>
        <v>Io uso la plastica e più in particolare il cotone.</v>
      </c>
    </row>
    <row r="36">
      <c r="A36" s="4">
        <v>34.0</v>
      </c>
      <c r="B36" s="5" t="s">
        <v>109</v>
      </c>
      <c r="C36" s="4">
        <v>0.0</v>
      </c>
      <c r="D36" s="5" t="s">
        <v>110</v>
      </c>
      <c r="E36" s="5" t="s">
        <v>111</v>
      </c>
      <c r="F36" s="6" t="str">
        <f>IFERROR(__xludf.DUMMYFUNCTION("GOOGLETRANSLATE(D36,""en"",""it"")"),"Io uso poliestere e più specificamente vetro.")</f>
        <v>Io uso poliestere e più specificamente vetro.</v>
      </c>
      <c r="G36" s="6" t="str">
        <f>IFERROR(__xludf.DUMMYFUNCTION("GOOGLETRANSLATE(E36,""fr"",""it"")"),"Io uso il poliestere e più in particolare il vetro.")</f>
        <v>Io uso il poliestere e più in particolare il vetro.</v>
      </c>
    </row>
    <row r="37">
      <c r="A37" s="4">
        <v>35.0</v>
      </c>
      <c r="B37" s="5" t="s">
        <v>112</v>
      </c>
      <c r="C37" s="4">
        <v>0.0</v>
      </c>
      <c r="D37" s="5" t="s">
        <v>113</v>
      </c>
      <c r="E37" s="5" t="s">
        <v>114</v>
      </c>
      <c r="F37" s="6" t="str">
        <f>IFERROR(__xludf.DUMMYFUNCTION("GOOGLETRANSLATE(D37,""en"",""it"")"),"Io uso vetro e più specificamente in poliestere.")</f>
        <v>Io uso vetro e più specificamente in poliestere.</v>
      </c>
      <c r="G37" s="6" t="str">
        <f>IFERROR(__xludf.DUMMYFUNCTION("GOOGLETRANSLATE(E37,""fr"",""it"")"),"Io uso il vetro e più in particolare il poliestere.")</f>
        <v>Io uso il vetro e più in particolare il poliestere.</v>
      </c>
    </row>
    <row r="38">
      <c r="A38" s="4">
        <v>36.0</v>
      </c>
      <c r="B38" s="5" t="s">
        <v>115</v>
      </c>
      <c r="C38" s="4">
        <v>0.0</v>
      </c>
      <c r="D38" s="5" t="s">
        <v>116</v>
      </c>
      <c r="E38" s="5" t="s">
        <v>117</v>
      </c>
      <c r="F38" s="6" t="str">
        <f>IFERROR(__xludf.DUMMYFUNCTION("GOOGLETRANSLATE(D38,""en"",""it"")"),"Io uso la plastica e il più specificamente vetro.")</f>
        <v>Io uso la plastica e il più specificamente vetro.</v>
      </c>
      <c r="G38" s="6" t="str">
        <f>IFERROR(__xludf.DUMMYFUNCTION("GOOGLETRANSLATE(E38,""fr"",""it"")"),"Io uso la plastica e più in particolare il vetro.")</f>
        <v>Io uso la plastica e più in particolare il vetro.</v>
      </c>
    </row>
    <row r="39">
      <c r="A39" s="4">
        <v>37.0</v>
      </c>
      <c r="B39" s="5" t="s">
        <v>118</v>
      </c>
      <c r="C39" s="4">
        <v>0.0</v>
      </c>
      <c r="D39" s="5" t="s">
        <v>119</v>
      </c>
      <c r="E39" s="5" t="s">
        <v>120</v>
      </c>
      <c r="F39" s="6" t="str">
        <f>IFERROR(__xludf.DUMMYFUNCTION("GOOGLETRANSLATE(D39,""en"",""it"")"),"Io uso poliestere e più specificamente in pelle.")</f>
        <v>Io uso poliestere e più specificamente in pelle.</v>
      </c>
      <c r="G39" s="6" t="str">
        <f>IFERROR(__xludf.DUMMYFUNCTION("GOOGLETRANSLATE(E39,""fr"",""it"")"),"Io uso il poliestere e più in particolare la pelle.")</f>
        <v>Io uso il poliestere e più in particolare la pelle.</v>
      </c>
    </row>
    <row r="40">
      <c r="A40" s="4">
        <v>38.0</v>
      </c>
      <c r="B40" s="5" t="s">
        <v>121</v>
      </c>
      <c r="C40" s="4">
        <v>0.0</v>
      </c>
      <c r="D40" s="5" t="s">
        <v>122</v>
      </c>
      <c r="E40" s="5" t="s">
        <v>123</v>
      </c>
      <c r="F40" s="6" t="str">
        <f>IFERROR(__xludf.DUMMYFUNCTION("GOOGLETRANSLATE(D40,""en"",""it"")"),"Io uso in pelle e più specificamente in poliestere.")</f>
        <v>Io uso in pelle e più specificamente in poliestere.</v>
      </c>
      <c r="G40" s="6" t="str">
        <f>IFERROR(__xludf.DUMMYFUNCTION("GOOGLETRANSLATE(E40,""fr"",""it"")"),"Io uso la pelle e più in particolare il poliestere.")</f>
        <v>Io uso la pelle e più in particolare il poliestere.</v>
      </c>
    </row>
    <row r="41">
      <c r="A41" s="4">
        <v>39.0</v>
      </c>
      <c r="B41" s="5" t="s">
        <v>124</v>
      </c>
      <c r="C41" s="4">
        <v>0.0</v>
      </c>
      <c r="D41" s="5" t="s">
        <v>125</v>
      </c>
      <c r="E41" s="5" t="s">
        <v>126</v>
      </c>
      <c r="F41" s="6" t="str">
        <f>IFERROR(__xludf.DUMMYFUNCTION("GOOGLETRANSLATE(D41,""en"",""it"")"),"Mi piacciono i pantaloni, tranne gli occhiali.")</f>
        <v>Mi piacciono i pantaloni, tranne gli occhiali.</v>
      </c>
      <c r="G41" s="6" t="str">
        <f>IFERROR(__xludf.DUMMYFUNCTION("GOOGLETRANSLATE(E41,""fr"",""it"")"),"Mi piacciono i pantaloni tranne gli occhiali.")</f>
        <v>Mi piacciono i pantaloni tranne gli occhiali.</v>
      </c>
    </row>
    <row r="42">
      <c r="A42" s="4">
        <v>40.0</v>
      </c>
      <c r="B42" s="5" t="s">
        <v>127</v>
      </c>
      <c r="C42" s="4">
        <v>0.0</v>
      </c>
      <c r="D42" s="5" t="s">
        <v>128</v>
      </c>
      <c r="E42" s="5" t="s">
        <v>129</v>
      </c>
      <c r="F42" s="6" t="str">
        <f>IFERROR(__xludf.DUMMYFUNCTION("GOOGLETRANSLATE(D42,""en"",""it"")"),"Io uso la plastica e più in particolare in pelle.")</f>
        <v>Io uso la plastica e più in particolare in pelle.</v>
      </c>
      <c r="G42" s="6" t="str">
        <f>IFERROR(__xludf.DUMMYFUNCTION("GOOGLETRANSLATE(E42,""fr"",""it"")"),"Io uso la plastica e più in particolare la pelle.")</f>
        <v>Io uso la plastica e più in particolare la pelle.</v>
      </c>
    </row>
    <row r="43">
      <c r="A43" s="4">
        <v>41.0</v>
      </c>
      <c r="B43" s="5" t="s">
        <v>130</v>
      </c>
      <c r="C43" s="4">
        <v>0.0</v>
      </c>
      <c r="D43" s="5" t="s">
        <v>131</v>
      </c>
      <c r="E43" s="5" t="s">
        <v>132</v>
      </c>
      <c r="F43" s="6" t="str">
        <f>IFERROR(__xludf.DUMMYFUNCTION("GOOGLETRANSLATE(D43,""en"",""it"")"),"Mi piacciono gli occhiali, tranne i pantaloni.")</f>
        <v>Mi piacciono gli occhiali, tranne i pantaloni.</v>
      </c>
      <c r="G43" s="6" t="str">
        <f>IFERROR(__xludf.DUMMYFUNCTION("GOOGLETRANSLATE(E43,""fr"",""it"")"),"Amo gli occhiali tranne i pantaloni.")</f>
        <v>Amo gli occhiali tranne i pantaloni.</v>
      </c>
    </row>
    <row r="44">
      <c r="A44" s="4">
        <v>42.0</v>
      </c>
      <c r="B44" s="5" t="s">
        <v>133</v>
      </c>
      <c r="C44" s="4">
        <v>0.0</v>
      </c>
      <c r="D44" s="5" t="s">
        <v>134</v>
      </c>
      <c r="E44" s="5" t="s">
        <v>135</v>
      </c>
      <c r="F44" s="6" t="str">
        <f>IFERROR(__xludf.DUMMYFUNCTION("GOOGLETRANSLATE(D44,""en"",""it"")"),"Io uso nylon e più specificamente in legno.")</f>
        <v>Io uso nylon e più specificamente in legno.</v>
      </c>
      <c r="G44" s="6" t="str">
        <f>IFERROR(__xludf.DUMMYFUNCTION("GOOGLETRANSLATE(E44,""fr"",""it"")"),"Io uso il nylon e più in particolare il legno.")</f>
        <v>Io uso il nylon e più in particolare il legno.</v>
      </c>
    </row>
    <row r="45">
      <c r="A45" s="4">
        <v>43.0</v>
      </c>
      <c r="B45" s="5" t="s">
        <v>136</v>
      </c>
      <c r="C45" s="4">
        <v>0.0</v>
      </c>
      <c r="D45" s="5" t="s">
        <v>137</v>
      </c>
      <c r="E45" s="5" t="s">
        <v>138</v>
      </c>
      <c r="F45" s="6" t="str">
        <f>IFERROR(__xludf.DUMMYFUNCTION("GOOGLETRANSLATE(D45,""en"",""it"")"),"Io uso legno e più specificamente in nylon.")</f>
        <v>Io uso legno e più specificamente in nylon.</v>
      </c>
      <c r="G45" s="6" t="str">
        <f>IFERROR(__xludf.DUMMYFUNCTION("GOOGLETRANSLATE(E45,""fr"",""it"")"),"Io uso il legno e più in particolare il nylon.")</f>
        <v>Io uso il legno e più in particolare il nylon.</v>
      </c>
    </row>
    <row r="46">
      <c r="A46" s="4">
        <v>44.0</v>
      </c>
      <c r="B46" s="5" t="s">
        <v>139</v>
      </c>
      <c r="C46" s="4">
        <v>0.0</v>
      </c>
      <c r="D46" s="5" t="s">
        <v>140</v>
      </c>
      <c r="E46" s="5" t="s">
        <v>141</v>
      </c>
      <c r="F46" s="6" t="str">
        <f>IFERROR(__xludf.DUMMYFUNCTION("GOOGLETRANSLATE(D46,""en"",""it"")"),"Io uso nylon e più specificamente plastica.")</f>
        <v>Io uso nylon e più specificamente plastica.</v>
      </c>
      <c r="G46" s="6" t="str">
        <f>IFERROR(__xludf.DUMMYFUNCTION("GOOGLETRANSLATE(E46,""fr"",""it"")"),"Io uso nylon e più particolarmente in plastica.")</f>
        <v>Io uso nylon e più particolarmente in plastica.</v>
      </c>
    </row>
    <row r="47">
      <c r="A47" s="4">
        <v>45.0</v>
      </c>
      <c r="B47" s="5" t="s">
        <v>142</v>
      </c>
      <c r="C47" s="4">
        <v>1.0</v>
      </c>
      <c r="D47" s="5" t="s">
        <v>143</v>
      </c>
      <c r="E47" s="5" t="s">
        <v>144</v>
      </c>
      <c r="F47" s="6" t="str">
        <f>IFERROR(__xludf.DUMMYFUNCTION("GOOGLETRANSLATE(D47,""en"",""it"")"),"Io uso plastica e più specificamente in nylon.")</f>
        <v>Io uso plastica e più specificamente in nylon.</v>
      </c>
      <c r="G47" s="6" t="str">
        <f>IFERROR(__xludf.DUMMYFUNCTION("GOOGLETRANSLATE(E47,""fr"",""it"")"),"Io uso la plastica e più in particolare il nylon.")</f>
        <v>Io uso la plastica e più in particolare il nylon.</v>
      </c>
    </row>
    <row r="48">
      <c r="A48" s="4">
        <v>46.0</v>
      </c>
      <c r="B48" s="5" t="s">
        <v>145</v>
      </c>
      <c r="C48" s="4">
        <v>0.0</v>
      </c>
      <c r="D48" s="5" t="s">
        <v>146</v>
      </c>
      <c r="E48" s="5" t="s">
        <v>147</v>
      </c>
      <c r="F48" s="6" t="str">
        <f>IFERROR(__xludf.DUMMYFUNCTION("GOOGLETRANSLATE(D48,""en"",""it"")"),"Io uso nylon e più specificamente cotone.")</f>
        <v>Io uso nylon e più specificamente cotone.</v>
      </c>
      <c r="G48" s="6" t="str">
        <f>IFERROR(__xludf.DUMMYFUNCTION("GOOGLETRANSLATE(E48,""fr"",""it"")"),"Io uso il nylon e più in particolare il cotone.")</f>
        <v>Io uso il nylon e più in particolare il cotone.</v>
      </c>
    </row>
    <row r="49">
      <c r="A49" s="4">
        <v>47.0</v>
      </c>
      <c r="B49" s="5" t="s">
        <v>148</v>
      </c>
      <c r="C49" s="4">
        <v>0.0</v>
      </c>
      <c r="D49" s="5" t="s">
        <v>149</v>
      </c>
      <c r="E49" s="5" t="s">
        <v>150</v>
      </c>
      <c r="F49" s="6" t="str">
        <f>IFERROR(__xludf.DUMMYFUNCTION("GOOGLETRANSLATE(D49,""en"",""it"")"),"Io uso cotone e più specificamente in nylon.")</f>
        <v>Io uso cotone e più specificamente in nylon.</v>
      </c>
      <c r="G49" s="6" t="str">
        <f>IFERROR(__xludf.DUMMYFUNCTION("GOOGLETRANSLATE(E49,""fr"",""it"")"),"Io uso cotone e più in particolare nylon.")</f>
        <v>Io uso cotone e più in particolare nylon.</v>
      </c>
    </row>
    <row r="50">
      <c r="A50" s="4">
        <v>48.0</v>
      </c>
      <c r="B50" s="5" t="s">
        <v>151</v>
      </c>
      <c r="C50" s="4">
        <v>0.0</v>
      </c>
      <c r="D50" s="5" t="s">
        <v>152</v>
      </c>
      <c r="E50" s="5" t="s">
        <v>153</v>
      </c>
      <c r="F50" s="6" t="str">
        <f>IFERROR(__xludf.DUMMYFUNCTION("GOOGLETRANSLATE(D50,""en"",""it"")"),"Io uso nylon e più specificamente vetro.")</f>
        <v>Io uso nylon e più specificamente vetro.</v>
      </c>
      <c r="G50" s="6" t="str">
        <f>IFERROR(__xludf.DUMMYFUNCTION("GOOGLETRANSLATE(E50,""fr"",""it"")"),"Io uso il nylon e più in particolare il vetro.")</f>
        <v>Io uso il nylon e più in particolare il vetro.</v>
      </c>
    </row>
    <row r="51">
      <c r="A51" s="4">
        <v>49.0</v>
      </c>
      <c r="B51" s="5" t="s">
        <v>154</v>
      </c>
      <c r="C51" s="4">
        <v>0.0</v>
      </c>
      <c r="D51" s="5" t="s">
        <v>155</v>
      </c>
      <c r="E51" s="5" t="s">
        <v>156</v>
      </c>
      <c r="F51" s="6" t="str">
        <f>IFERROR(__xludf.DUMMYFUNCTION("GOOGLETRANSLATE(D51,""en"",""it"")"),"Io uso vetro e più specificamente in nylon.")</f>
        <v>Io uso vetro e più specificamente in nylon.</v>
      </c>
      <c r="G51" s="6" t="str">
        <f>IFERROR(__xludf.DUMMYFUNCTION("GOOGLETRANSLATE(E51,""fr"",""it"")"),"Io uso il vetro e più in particolare il nylon.")</f>
        <v>Io uso il vetro e più in particolare il nylon.</v>
      </c>
    </row>
    <row r="52">
      <c r="A52" s="4">
        <v>50.0</v>
      </c>
      <c r="B52" s="5" t="s">
        <v>157</v>
      </c>
      <c r="C52" s="4">
        <v>0.0</v>
      </c>
      <c r="D52" s="5" t="s">
        <v>158</v>
      </c>
      <c r="E52" s="5" t="s">
        <v>159</v>
      </c>
      <c r="F52" s="6" t="str">
        <f>IFERROR(__xludf.DUMMYFUNCTION("GOOGLETRANSLATE(D52,""en"",""it"")"),"Io uso nylon e più in particolare in pelle.")</f>
        <v>Io uso nylon e più in particolare in pelle.</v>
      </c>
      <c r="G52" s="6" t="str">
        <f>IFERROR(__xludf.DUMMYFUNCTION("GOOGLETRANSLATE(E52,""fr"",""it"")"),"Io uso il nylon e più in particolare la pelle.")</f>
        <v>Io uso il nylon e più in particolare la pelle.</v>
      </c>
    </row>
    <row r="53">
      <c r="A53" s="4">
        <v>51.0</v>
      </c>
      <c r="B53" s="5" t="s">
        <v>160</v>
      </c>
      <c r="C53" s="4">
        <v>0.0</v>
      </c>
      <c r="D53" s="5" t="s">
        <v>161</v>
      </c>
      <c r="E53" s="5" t="s">
        <v>162</v>
      </c>
      <c r="F53" s="6" t="str">
        <f>IFERROR(__xludf.DUMMYFUNCTION("GOOGLETRANSLATE(D53,""en"",""it"")"),"Io uso pelle e più specificamente in nylon.")</f>
        <v>Io uso pelle e più specificamente in nylon.</v>
      </c>
      <c r="G53" s="6" t="str">
        <f>IFERROR(__xludf.DUMMYFUNCTION("GOOGLETRANSLATE(E53,""fr"",""it"")"),"Io uso la pelle e più in particolare il nylon.")</f>
        <v>Io uso la pelle e più in particolare il nylon.</v>
      </c>
    </row>
    <row r="54">
      <c r="A54" s="4">
        <v>52.0</v>
      </c>
      <c r="B54" s="5" t="s">
        <v>163</v>
      </c>
      <c r="C54" s="4">
        <v>0.0</v>
      </c>
      <c r="D54" s="5" t="s">
        <v>164</v>
      </c>
      <c r="E54" s="5" t="s">
        <v>165</v>
      </c>
      <c r="F54" s="6" t="str">
        <f>IFERROR(__xludf.DUMMYFUNCTION("GOOGLETRANSLATE(D54,""en"",""it"")"),"Mi piacciono i pantaloni, tranne gli orecchini.")</f>
        <v>Mi piacciono i pantaloni, tranne gli orecchini.</v>
      </c>
      <c r="G54" s="6" t="str">
        <f>IFERROR(__xludf.DUMMYFUNCTION("GOOGLETRANSLATE(E54,""fr"",""it"")"),"Mi piacciono i pantaloni, tranne gli orecchini.")</f>
        <v>Mi piacciono i pantaloni, tranne gli orecchini.</v>
      </c>
    </row>
    <row r="55">
      <c r="A55" s="4">
        <v>53.0</v>
      </c>
      <c r="B55" s="5" t="s">
        <v>166</v>
      </c>
      <c r="C55" s="4">
        <v>0.0</v>
      </c>
      <c r="D55" s="5" t="s">
        <v>167</v>
      </c>
      <c r="E55" s="5" t="s">
        <v>168</v>
      </c>
      <c r="F55" s="6" t="str">
        <f>IFERROR(__xludf.DUMMYFUNCTION("GOOGLETRANSLATE(D55,""en"",""it"")"),"Mi piacciono gli orecchini, tranne i pantaloni.")</f>
        <v>Mi piacciono gli orecchini, tranne i pantaloni.</v>
      </c>
      <c r="G55" s="6" t="str">
        <f>IFERROR(__xludf.DUMMYFUNCTION("GOOGLETRANSLATE(E55,""fr"",""it"")"),"Mi piacciono gli orecchini, tranne i pantaloni.")</f>
        <v>Mi piacciono gli orecchini, tranne i pantaloni.</v>
      </c>
    </row>
    <row r="56">
      <c r="A56" s="4">
        <v>54.0</v>
      </c>
      <c r="B56" s="5" t="s">
        <v>169</v>
      </c>
      <c r="C56" s="4">
        <v>0.0</v>
      </c>
      <c r="D56" s="5" t="s">
        <v>170</v>
      </c>
      <c r="E56" s="5" t="s">
        <v>171</v>
      </c>
      <c r="F56" s="6" t="str">
        <f>IFERROR(__xludf.DUMMYFUNCTION("GOOGLETRANSLATE(D56,""en"",""it"")"),"Io uso vinile e più specificamente in legno.")</f>
        <v>Io uso vinile e più specificamente in legno.</v>
      </c>
      <c r="G56" s="6" t="str">
        <f>IFERROR(__xludf.DUMMYFUNCTION("GOOGLETRANSLATE(E56,""fr"",""it"")"),"Io uso il vinile e più in particolare il legno.")</f>
        <v>Io uso il vinile e più in particolare il legno.</v>
      </c>
    </row>
    <row r="57">
      <c r="A57" s="4">
        <v>55.0</v>
      </c>
      <c r="B57" s="5" t="s">
        <v>172</v>
      </c>
      <c r="C57" s="4">
        <v>0.0</v>
      </c>
      <c r="D57" s="5" t="s">
        <v>173</v>
      </c>
      <c r="E57" s="5" t="s">
        <v>174</v>
      </c>
      <c r="F57" s="6" t="str">
        <f>IFERROR(__xludf.DUMMYFUNCTION("GOOGLETRANSLATE(D57,""en"",""it"")"),"Io uso il legno e più specificamente vinile.")</f>
        <v>Io uso il legno e più specificamente vinile.</v>
      </c>
      <c r="G57" s="6" t="str">
        <f>IFERROR(__xludf.DUMMYFUNCTION("GOOGLETRANSLATE(E57,""fr"",""it"")"),"Io uso il legno e più in particolare il vinile.")</f>
        <v>Io uso il legno e più in particolare il vinile.</v>
      </c>
    </row>
    <row r="58">
      <c r="A58" s="4">
        <v>56.0</v>
      </c>
      <c r="B58" s="5" t="s">
        <v>175</v>
      </c>
      <c r="C58" s="4">
        <v>0.0</v>
      </c>
      <c r="D58" s="5" t="s">
        <v>176</v>
      </c>
      <c r="E58" s="5" t="s">
        <v>177</v>
      </c>
      <c r="F58" s="6" t="str">
        <f>IFERROR(__xludf.DUMMYFUNCTION("GOOGLETRANSLATE(D58,""en"",""it"")"),"Io uso vinile e più specificamente plastica.")</f>
        <v>Io uso vinile e più specificamente plastica.</v>
      </c>
      <c r="G58" s="6" t="str">
        <f>IFERROR(__xludf.DUMMYFUNCTION("GOOGLETRANSLATE(E58,""fr"",""it"")"),"Io uso il vinile e più in particolare la plastica.")</f>
        <v>Io uso il vinile e più in particolare la plastica.</v>
      </c>
    </row>
    <row r="59">
      <c r="A59" s="4">
        <v>57.0</v>
      </c>
      <c r="B59" s="5" t="s">
        <v>178</v>
      </c>
      <c r="C59" s="4">
        <v>1.0</v>
      </c>
      <c r="D59" s="5" t="s">
        <v>179</v>
      </c>
      <c r="E59" s="5" t="s">
        <v>180</v>
      </c>
      <c r="F59" s="6" t="str">
        <f>IFERROR(__xludf.DUMMYFUNCTION("GOOGLETRANSLATE(D59,""en"",""it"")"),"Io uso plastica e più specificamente vinile.")</f>
        <v>Io uso plastica e più specificamente vinile.</v>
      </c>
      <c r="G59" s="6" t="str">
        <f>IFERROR(__xludf.DUMMYFUNCTION("GOOGLETRANSLATE(E59,""fr"",""it"")"),"Io uso la plastica e più in particolare il vinile.")</f>
        <v>Io uso la plastica e più in particolare il vinile.</v>
      </c>
    </row>
    <row r="60">
      <c r="A60" s="4">
        <v>58.0</v>
      </c>
      <c r="B60" s="5" t="s">
        <v>181</v>
      </c>
      <c r="C60" s="4">
        <v>0.0</v>
      </c>
      <c r="D60" s="5" t="s">
        <v>182</v>
      </c>
      <c r="E60" s="5" t="s">
        <v>183</v>
      </c>
      <c r="F60" s="6" t="str">
        <f>IFERROR(__xludf.DUMMYFUNCTION("GOOGLETRANSLATE(D60,""en"",""it"")"),"Io uso il vinile e il più specificamente cotone.")</f>
        <v>Io uso il vinile e il più specificamente cotone.</v>
      </c>
      <c r="G60" s="6" t="str">
        <f>IFERROR(__xludf.DUMMYFUNCTION("GOOGLETRANSLATE(E60,""fr"",""it"")"),"Io uso il vinile e più in particolare il cotone.")</f>
        <v>Io uso il vinile e più in particolare il cotone.</v>
      </c>
    </row>
    <row r="61">
      <c r="A61" s="4">
        <v>59.0</v>
      </c>
      <c r="B61" s="5" t="s">
        <v>184</v>
      </c>
      <c r="C61" s="4">
        <v>0.0</v>
      </c>
      <c r="D61" s="5" t="s">
        <v>185</v>
      </c>
      <c r="E61" s="5" t="s">
        <v>186</v>
      </c>
      <c r="F61" s="6" t="str">
        <f>IFERROR(__xludf.DUMMYFUNCTION("GOOGLETRANSLATE(D61,""en"",""it"")"),"Io uso cotone e più specificamente vinile.")</f>
        <v>Io uso cotone e più specificamente vinile.</v>
      </c>
      <c r="G61" s="6" t="str">
        <f>IFERROR(__xludf.DUMMYFUNCTION("GOOGLETRANSLATE(E61,""fr"",""it"")"),"Io uso cotone e più in particolare il vinile.")</f>
        <v>Io uso cotone e più in particolare il vinile.</v>
      </c>
    </row>
    <row r="62">
      <c r="A62" s="4">
        <v>60.0</v>
      </c>
      <c r="B62" s="5" t="s">
        <v>187</v>
      </c>
      <c r="C62" s="4">
        <v>0.0</v>
      </c>
      <c r="D62" s="5" t="s">
        <v>188</v>
      </c>
      <c r="E62" s="5" t="s">
        <v>189</v>
      </c>
      <c r="F62" s="6" t="str">
        <f>IFERROR(__xludf.DUMMYFUNCTION("GOOGLETRANSLATE(D62,""en"",""it"")"),"Io uso vinile e più specificamente vetro.")</f>
        <v>Io uso vinile e più specificamente vetro.</v>
      </c>
      <c r="G62" s="6" t="str">
        <f>IFERROR(__xludf.DUMMYFUNCTION("GOOGLETRANSLATE(E62,""fr"",""it"")"),"Io uso il vinile e più in particolare il vetro.")</f>
        <v>Io uso il vinile e più in particolare il vetro.</v>
      </c>
    </row>
    <row r="63">
      <c r="A63" s="4">
        <v>61.0</v>
      </c>
      <c r="B63" s="5" t="s">
        <v>190</v>
      </c>
      <c r="C63" s="4">
        <v>0.0</v>
      </c>
      <c r="D63" s="5" t="s">
        <v>191</v>
      </c>
      <c r="E63" s="5" t="s">
        <v>192</v>
      </c>
      <c r="F63" s="6" t="str">
        <f>IFERROR(__xludf.DUMMYFUNCTION("GOOGLETRANSLATE(D63,""en"",""it"")"),"Io uso vetro e più specificamente vinile.")</f>
        <v>Io uso vetro e più specificamente vinile.</v>
      </c>
      <c r="G63" s="6" t="str">
        <f>IFERROR(__xludf.DUMMYFUNCTION("GOOGLETRANSLATE(E63,""fr"",""it"")"),"Io uso il vetro e più in particolare il vinile.")</f>
        <v>Io uso il vetro e più in particolare il vinile.</v>
      </c>
    </row>
    <row r="64">
      <c r="A64" s="4">
        <v>62.0</v>
      </c>
      <c r="B64" s="5" t="s">
        <v>193</v>
      </c>
      <c r="C64" s="4">
        <v>0.0</v>
      </c>
      <c r="D64" s="5" t="s">
        <v>194</v>
      </c>
      <c r="E64" s="5" t="s">
        <v>195</v>
      </c>
      <c r="F64" s="6" t="str">
        <f>IFERROR(__xludf.DUMMYFUNCTION("GOOGLETRANSLATE(D64,""en"",""it"")"),"Io uso vinile e più specificamente in pelle.")</f>
        <v>Io uso vinile e più specificamente in pelle.</v>
      </c>
      <c r="G64" s="6" t="str">
        <f>IFERROR(__xludf.DUMMYFUNCTION("GOOGLETRANSLATE(E64,""fr"",""it"")"),"Io uso il vinile e più in particolare la pelle.")</f>
        <v>Io uso il vinile e più in particolare la pelle.</v>
      </c>
    </row>
    <row r="65">
      <c r="A65" s="4">
        <v>63.0</v>
      </c>
      <c r="B65" s="5" t="s">
        <v>196</v>
      </c>
      <c r="C65" s="4">
        <v>0.0</v>
      </c>
      <c r="D65" s="5" t="s">
        <v>197</v>
      </c>
      <c r="E65" s="5" t="s">
        <v>198</v>
      </c>
      <c r="F65" s="6" t="str">
        <f>IFERROR(__xludf.DUMMYFUNCTION("GOOGLETRANSLATE(D65,""en"",""it"")"),"Io uso pelle e più specificamente vinile.")</f>
        <v>Io uso pelle e più specificamente vinile.</v>
      </c>
      <c r="G65" s="6" t="str">
        <f>IFERROR(__xludf.DUMMYFUNCTION("GOOGLETRANSLATE(E65,""fr"",""it"")"),"Io uso la pelle e più in particolare il vinile.")</f>
        <v>Io uso la pelle e più in particolare il vinile.</v>
      </c>
    </row>
    <row r="66">
      <c r="A66" s="4">
        <v>64.0</v>
      </c>
      <c r="B66" s="5" t="s">
        <v>199</v>
      </c>
      <c r="C66" s="4">
        <v>0.0</v>
      </c>
      <c r="D66" s="5" t="s">
        <v>200</v>
      </c>
      <c r="E66" s="5" t="s">
        <v>201</v>
      </c>
      <c r="F66" s="6" t="str">
        <f>IFERROR(__xludf.DUMMYFUNCTION("GOOGLETRANSLATE(D66,""en"",""it"")"),"Io uso in PVC e più in particolare il legno.")</f>
        <v>Io uso in PVC e più in particolare il legno.</v>
      </c>
      <c r="G66" s="6" t="str">
        <f>IFERROR(__xludf.DUMMYFUNCTION("GOOGLETRANSLATE(E66,""fr"",""it"")"),"Io uso il PVC e più in particolare il legno.")</f>
        <v>Io uso il PVC e più in particolare il legno.</v>
      </c>
    </row>
    <row r="67">
      <c r="A67" s="4">
        <v>65.0</v>
      </c>
      <c r="B67" s="5" t="s">
        <v>202</v>
      </c>
      <c r="C67" s="4">
        <v>0.0</v>
      </c>
      <c r="D67" s="5" t="s">
        <v>203</v>
      </c>
      <c r="E67" s="5" t="s">
        <v>204</v>
      </c>
      <c r="F67" s="6" t="str">
        <f>IFERROR(__xludf.DUMMYFUNCTION("GOOGLETRANSLATE(D67,""en"",""it"")"),"Io uso il legno e più specificamente in PVC.")</f>
        <v>Io uso il legno e più specificamente in PVC.</v>
      </c>
      <c r="G67" s="6" t="str">
        <f>IFERROR(__xludf.DUMMYFUNCTION("GOOGLETRANSLATE(E67,""fr"",""it"")"),"Io uso il legno e più in particolare il PVC.")</f>
        <v>Io uso il legno e più in particolare il PVC.</v>
      </c>
    </row>
    <row r="68">
      <c r="A68" s="4">
        <v>66.0</v>
      </c>
      <c r="B68" s="5" t="s">
        <v>205</v>
      </c>
      <c r="C68" s="4">
        <v>0.0</v>
      </c>
      <c r="D68" s="5" t="s">
        <v>206</v>
      </c>
      <c r="E68" s="5" t="s">
        <v>207</v>
      </c>
      <c r="F68" s="6" t="str">
        <f>IFERROR(__xludf.DUMMYFUNCTION("GOOGLETRANSLATE(D68,""en"",""it"")"),"Io uso PVC e più specificamente plastica.")</f>
        <v>Io uso PVC e più specificamente plastica.</v>
      </c>
      <c r="G68" s="6" t="str">
        <f>IFERROR(__xludf.DUMMYFUNCTION("GOOGLETRANSLATE(E68,""fr"",""it"")"),"Io uso il PVC e più in particolare la plastica.")</f>
        <v>Io uso il PVC e più in particolare la plastica.</v>
      </c>
    </row>
    <row r="69">
      <c r="A69" s="4">
        <v>67.0</v>
      </c>
      <c r="B69" s="5" t="s">
        <v>208</v>
      </c>
      <c r="C69" s="4">
        <v>1.0</v>
      </c>
      <c r="D69" s="5" t="s">
        <v>209</v>
      </c>
      <c r="E69" s="5" t="s">
        <v>210</v>
      </c>
      <c r="F69" s="6" t="str">
        <f>IFERROR(__xludf.DUMMYFUNCTION("GOOGLETRANSLATE(D69,""en"",""it"")"),"Io uso la plastica e più specificamente in PVC.")</f>
        <v>Io uso la plastica e più specificamente in PVC.</v>
      </c>
      <c r="G69" s="6" t="str">
        <f>IFERROR(__xludf.DUMMYFUNCTION("GOOGLETRANSLATE(E69,""fr"",""it"")"),"Io uso la plastica e più in particolare il PVC.")</f>
        <v>Io uso la plastica e più in particolare il PVC.</v>
      </c>
    </row>
    <row r="70">
      <c r="A70" s="4">
        <v>68.0</v>
      </c>
      <c r="B70" s="5" t="s">
        <v>211</v>
      </c>
      <c r="C70" s="4">
        <v>0.0</v>
      </c>
      <c r="D70" s="5" t="s">
        <v>212</v>
      </c>
      <c r="E70" s="5" t="s">
        <v>213</v>
      </c>
      <c r="F70" s="6" t="str">
        <f>IFERROR(__xludf.DUMMYFUNCTION("GOOGLETRANSLATE(D70,""en"",""it"")"),"Io uso in PVC e più in particolare cotone.")</f>
        <v>Io uso in PVC e più in particolare cotone.</v>
      </c>
      <c r="G70" s="6" t="str">
        <f>IFERROR(__xludf.DUMMYFUNCTION("GOOGLETRANSLATE(E70,""fr"",""it"")"),"Io uso il PVC e più in particolare il cotone.")</f>
        <v>Io uso il PVC e più in particolare il cotone.</v>
      </c>
    </row>
    <row r="71">
      <c r="A71" s="4">
        <v>69.0</v>
      </c>
      <c r="B71" s="5" t="s">
        <v>214</v>
      </c>
      <c r="C71" s="4">
        <v>0.0</v>
      </c>
      <c r="D71" s="5" t="s">
        <v>215</v>
      </c>
      <c r="E71" s="5" t="s">
        <v>216</v>
      </c>
      <c r="F71" s="6" t="str">
        <f>IFERROR(__xludf.DUMMYFUNCTION("GOOGLETRANSLATE(D71,""en"",""it"")"),"Io uso cotone e più specificamente in PVC.")</f>
        <v>Io uso cotone e più specificamente in PVC.</v>
      </c>
      <c r="G71" s="6" t="str">
        <f>IFERROR(__xludf.DUMMYFUNCTION("GOOGLETRANSLATE(E71,""fr"",""it"")"),"Uso il cotone e più in particolare in PVC.")</f>
        <v>Uso il cotone e più in particolare in PVC.</v>
      </c>
    </row>
    <row r="72">
      <c r="A72" s="4">
        <v>70.0</v>
      </c>
      <c r="B72" s="5" t="s">
        <v>217</v>
      </c>
      <c r="C72" s="4">
        <v>0.0</v>
      </c>
      <c r="D72" s="5" t="s">
        <v>218</v>
      </c>
      <c r="E72" s="5" t="s">
        <v>219</v>
      </c>
      <c r="F72" s="6" t="str">
        <f>IFERROR(__xludf.DUMMYFUNCTION("GOOGLETRANSLATE(D72,""en"",""it"")"),"Io uso in PVC e più specificamente in vetro.")</f>
        <v>Io uso in PVC e più specificamente in vetro.</v>
      </c>
      <c r="G72" s="6" t="str">
        <f>IFERROR(__xludf.DUMMYFUNCTION("GOOGLETRANSLATE(E72,""fr"",""it"")"),"Io uso il PVC e più in particolare il vetro.")</f>
        <v>Io uso il PVC e più in particolare il vetro.</v>
      </c>
    </row>
    <row r="73">
      <c r="A73" s="4">
        <v>71.0</v>
      </c>
      <c r="B73" s="5" t="s">
        <v>220</v>
      </c>
      <c r="C73" s="4">
        <v>0.0</v>
      </c>
      <c r="D73" s="5" t="s">
        <v>221</v>
      </c>
      <c r="E73" s="5" t="s">
        <v>222</v>
      </c>
      <c r="F73" s="6" t="str">
        <f>IFERROR(__xludf.DUMMYFUNCTION("GOOGLETRANSLATE(D73,""en"",""it"")"),"Io uso vetro e più specificamente in PVC.")</f>
        <v>Io uso vetro e più specificamente in PVC.</v>
      </c>
      <c r="G73" s="6" t="str">
        <f>IFERROR(__xludf.DUMMYFUNCTION("GOOGLETRANSLATE(E73,""fr"",""it"")"),"Io uso vetro e più in particolare in PVC.")</f>
        <v>Io uso vetro e più in particolare in PVC.</v>
      </c>
    </row>
    <row r="74">
      <c r="A74" s="4">
        <v>72.0</v>
      </c>
      <c r="B74" s="5" t="s">
        <v>223</v>
      </c>
      <c r="C74" s="4">
        <v>0.0</v>
      </c>
      <c r="D74" s="5" t="s">
        <v>224</v>
      </c>
      <c r="E74" s="5" t="s">
        <v>225</v>
      </c>
      <c r="F74" s="6" t="str">
        <f>IFERROR(__xludf.DUMMYFUNCTION("GOOGLETRANSLATE(D74,""en"",""it"")"),"Io uso PVC e più in particolare in pelle.")</f>
        <v>Io uso PVC e più in particolare in pelle.</v>
      </c>
      <c r="G74" s="6" t="str">
        <f>IFERROR(__xludf.DUMMYFUNCTION("GOOGLETRANSLATE(E74,""fr"",""it"")"),"Io uso il PVC e più in particolare la pelle.")</f>
        <v>Io uso il PVC e più in particolare la pelle.</v>
      </c>
    </row>
    <row r="75">
      <c r="A75" s="4">
        <v>73.0</v>
      </c>
      <c r="B75" s="5" t="s">
        <v>226</v>
      </c>
      <c r="C75" s="4">
        <v>0.0</v>
      </c>
      <c r="D75" s="5" t="s">
        <v>227</v>
      </c>
      <c r="E75" s="5" t="s">
        <v>228</v>
      </c>
      <c r="F75" s="6" t="str">
        <f>IFERROR(__xludf.DUMMYFUNCTION("GOOGLETRANSLATE(D75,""en"",""it"")"),"Io uso pelle e più specificamente in PVC.")</f>
        <v>Io uso pelle e più specificamente in PVC.</v>
      </c>
      <c r="G75" s="6" t="str">
        <f>IFERROR(__xludf.DUMMYFUNCTION("GOOGLETRANSLATE(E75,""fr"",""it"")"),"Io uso la pelle e più in particolare il PVC.")</f>
        <v>Io uso la pelle e più in particolare il PVC.</v>
      </c>
    </row>
    <row r="76">
      <c r="A76" s="4">
        <v>74.0</v>
      </c>
      <c r="B76" s="5" t="s">
        <v>229</v>
      </c>
      <c r="C76" s="4">
        <v>0.0</v>
      </c>
      <c r="D76" s="5" t="s">
        <v>230</v>
      </c>
      <c r="E76" s="5" t="s">
        <v>231</v>
      </c>
      <c r="F76" s="6" t="str">
        <f>IFERROR(__xludf.DUMMYFUNCTION("GOOGLETRANSLATE(D76,""en"",""it"")"),"Mi piacciono le sedie e più specificamente posate.")</f>
        <v>Mi piacciono le sedie e più specificamente posate.</v>
      </c>
      <c r="G76" s="6" t="str">
        <f>IFERROR(__xludf.DUMMYFUNCTION("GOOGLETRANSLATE(E76,""fr"",""it"")"),"Apprezzo le sedie e più in particolare le posate.")</f>
        <v>Apprezzo le sedie e più in particolare le posate.</v>
      </c>
    </row>
    <row r="77">
      <c r="A77" s="4">
        <v>75.0</v>
      </c>
      <c r="B77" s="5" t="s">
        <v>232</v>
      </c>
      <c r="C77" s="4">
        <v>0.0</v>
      </c>
      <c r="D77" s="5" t="s">
        <v>233</v>
      </c>
      <c r="E77" s="5" t="s">
        <v>234</v>
      </c>
      <c r="F77" s="6" t="str">
        <f>IFERROR(__xludf.DUMMYFUNCTION("GOOGLETRANSLATE(D77,""en"",""it"")"),"Mi piacciono le posate e le sedie più specificamente.")</f>
        <v>Mi piacciono le posate e le sedie più specificamente.</v>
      </c>
      <c r="G77" s="6" t="str">
        <f>IFERROR(__xludf.DUMMYFUNCTION("GOOGLETRANSLATE(E77,""fr"",""it"")"),"Apprezzo le posate e più in particolare le sedie.")</f>
        <v>Apprezzo le posate e più in particolare le sedie.</v>
      </c>
    </row>
    <row r="78">
      <c r="A78" s="4">
        <v>76.0</v>
      </c>
      <c r="B78" s="5" t="s">
        <v>235</v>
      </c>
      <c r="C78" s="4">
        <v>0.0</v>
      </c>
      <c r="D78" s="5" t="s">
        <v>236</v>
      </c>
      <c r="E78" s="5" t="s">
        <v>237</v>
      </c>
      <c r="F78" s="6" t="str">
        <f>IFERROR(__xludf.DUMMYFUNCTION("GOOGLETRANSLATE(D78,""en"",""it"")"),"Mi piacciono le sedie, e più specificamente mobili.")</f>
        <v>Mi piacciono le sedie, e più specificamente mobili.</v>
      </c>
      <c r="G78" s="6" t="str">
        <f>IFERROR(__xludf.DUMMYFUNCTION("GOOGLETRANSLATE(E78,""fr"",""it"")"),"Apprezzo le sedie e più in particolare i mobili.")</f>
        <v>Apprezzo le sedie e più in particolare i mobili.</v>
      </c>
    </row>
    <row r="79">
      <c r="A79" s="4">
        <v>77.0</v>
      </c>
      <c r="B79" s="5" t="s">
        <v>238</v>
      </c>
      <c r="C79" s="4">
        <v>1.0</v>
      </c>
      <c r="D79" s="5" t="s">
        <v>239</v>
      </c>
      <c r="E79" s="5" t="s">
        <v>240</v>
      </c>
      <c r="F79" s="6" t="str">
        <f>IFERROR(__xludf.DUMMYFUNCTION("GOOGLETRANSLATE(D79,""en"",""it"")"),"Mi piacciono i mobili e le sedie più specificamente.")</f>
        <v>Mi piacciono i mobili e le sedie più specificamente.</v>
      </c>
      <c r="G79" s="6" t="str">
        <f>IFERROR(__xludf.DUMMYFUNCTION("GOOGLETRANSLATE(E79,""fr"",""it"")"),"Apprezzo i mobili e più in particolare le sedie.")</f>
        <v>Apprezzo i mobili e più in particolare le sedie.</v>
      </c>
    </row>
    <row r="80">
      <c r="A80" s="4">
        <v>78.0</v>
      </c>
      <c r="B80" s="5" t="s">
        <v>241</v>
      </c>
      <c r="C80" s="4">
        <v>0.0</v>
      </c>
      <c r="D80" s="5" t="s">
        <v>242</v>
      </c>
      <c r="E80" s="5" t="s">
        <v>243</v>
      </c>
      <c r="F80" s="6" t="str">
        <f>IFERROR(__xludf.DUMMYFUNCTION("GOOGLETRANSLATE(D80,""en"",""it"")"),"Mi piacciono i mobili e più specificamente posate.")</f>
        <v>Mi piacciono i mobili e più specificamente posate.</v>
      </c>
      <c r="G80" s="6" t="str">
        <f>IFERROR(__xludf.DUMMYFUNCTION("GOOGLETRANSLATE(E80,""fr"",""it"")"),"Apprezzo i mobili e più in particolare le posate.")</f>
        <v>Apprezzo i mobili e più in particolare le posate.</v>
      </c>
    </row>
    <row r="81">
      <c r="A81" s="4">
        <v>79.0</v>
      </c>
      <c r="B81" s="5" t="s">
        <v>244</v>
      </c>
      <c r="C81" s="4">
        <v>0.0</v>
      </c>
      <c r="D81" s="5" t="s">
        <v>245</v>
      </c>
      <c r="E81" s="5" t="s">
        <v>246</v>
      </c>
      <c r="F81" s="6" t="str">
        <f>IFERROR(__xludf.DUMMYFUNCTION("GOOGLETRANSLATE(D81,""en"",""it"")"),"Mi piacciono le sedie e più specificamente dipinti.")</f>
        <v>Mi piacciono le sedie e più specificamente dipinti.</v>
      </c>
      <c r="G81" s="6" t="str">
        <f>IFERROR(__xludf.DUMMYFUNCTION("GOOGLETRANSLATE(E81,""fr"",""it"")"),"Apprezzo le sedie e più in particolare i dipinti.")</f>
        <v>Apprezzo le sedie e più in particolare i dipinti.</v>
      </c>
    </row>
    <row r="82">
      <c r="A82" s="4">
        <v>80.0</v>
      </c>
      <c r="B82" s="5" t="s">
        <v>247</v>
      </c>
      <c r="C82" s="4">
        <v>0.0</v>
      </c>
      <c r="D82" s="5" t="s">
        <v>248</v>
      </c>
      <c r="E82" s="5" t="s">
        <v>249</v>
      </c>
      <c r="F82" s="6" t="str">
        <f>IFERROR(__xludf.DUMMYFUNCTION("GOOGLETRANSLATE(D82,""en"",""it"")"),"Mi piacciono i dipinti e più specificamente sedie.")</f>
        <v>Mi piacciono i dipinti e più specificamente sedie.</v>
      </c>
      <c r="G82" s="6" t="str">
        <f>IFERROR(__xludf.DUMMYFUNCTION("GOOGLETRANSLATE(E82,""fr"",""it"")"),"Apprezzo i dipinti e più in particolare le sedie.")</f>
        <v>Apprezzo i dipinti e più in particolare le sedie.</v>
      </c>
    </row>
    <row r="83">
      <c r="A83" s="4">
        <v>81.0</v>
      </c>
      <c r="B83" s="5" t="s">
        <v>250</v>
      </c>
      <c r="C83" s="4">
        <v>0.0</v>
      </c>
      <c r="D83" s="5" t="s">
        <v>251</v>
      </c>
      <c r="E83" s="5" t="s">
        <v>252</v>
      </c>
      <c r="F83" s="6" t="str">
        <f>IFERROR(__xludf.DUMMYFUNCTION("GOOGLETRANSLATE(D83,""en"",""it"")"),"Mi piacciono i mobili, e più specificamente dipinti.")</f>
        <v>Mi piacciono i mobili, e più specificamente dipinti.</v>
      </c>
      <c r="G83" s="6" t="str">
        <f>IFERROR(__xludf.DUMMYFUNCTION("GOOGLETRANSLATE(E83,""fr"",""it"")"),"Apprezzo i mobili e più in particolare i dipinti.")</f>
        <v>Apprezzo i mobili e più in particolare i dipinti.</v>
      </c>
    </row>
    <row r="84">
      <c r="A84" s="4">
        <v>82.0</v>
      </c>
      <c r="B84" s="5" t="s">
        <v>253</v>
      </c>
      <c r="C84" s="4">
        <v>0.0</v>
      </c>
      <c r="D84" s="5" t="s">
        <v>254</v>
      </c>
      <c r="E84" s="5" t="s">
        <v>255</v>
      </c>
      <c r="F84" s="6" t="str">
        <f>IFERROR(__xludf.DUMMYFUNCTION("GOOGLETRANSLATE(D84,""en"",""it"")"),"Mi piacciono le sedie, e più specificamente carta da parati.")</f>
        <v>Mi piacciono le sedie, e più specificamente carta da parati.</v>
      </c>
      <c r="G84" s="6" t="str">
        <f>IFERROR(__xludf.DUMMYFUNCTION("GOOGLETRANSLATE(E84,""fr"",""it"")"),"Apprezzo le sedie e più in particolare lo sfondo.")</f>
        <v>Apprezzo le sedie e più in particolare lo sfondo.</v>
      </c>
    </row>
    <row r="85">
      <c r="A85" s="4">
        <v>83.0</v>
      </c>
      <c r="B85" s="5" t="s">
        <v>256</v>
      </c>
      <c r="C85" s="4">
        <v>0.0</v>
      </c>
      <c r="D85" s="5" t="s">
        <v>257</v>
      </c>
      <c r="E85" s="5" t="s">
        <v>258</v>
      </c>
      <c r="F85" s="6" t="str">
        <f>IFERROR(__xludf.DUMMYFUNCTION("GOOGLETRANSLATE(D85,""en"",""it"")"),"Mi piace lo sfondo e più specificamente sedie.")</f>
        <v>Mi piace lo sfondo e più specificamente sedie.</v>
      </c>
      <c r="G85" s="6" t="str">
        <f>IFERROR(__xludf.DUMMYFUNCTION("GOOGLETRANSLATE(E85,""fr"",""it"")"),"Apprezzo la carta da parati e più in particolare le sedie.")</f>
        <v>Apprezzo la carta da parati e più in particolare le sedie.</v>
      </c>
    </row>
    <row r="86">
      <c r="A86" s="4">
        <v>84.0</v>
      </c>
      <c r="B86" s="5" t="s">
        <v>259</v>
      </c>
      <c r="C86" s="4">
        <v>0.0</v>
      </c>
      <c r="D86" s="5" t="s">
        <v>260</v>
      </c>
      <c r="E86" s="5" t="s">
        <v>261</v>
      </c>
      <c r="F86" s="6" t="str">
        <f>IFERROR(__xludf.DUMMYFUNCTION("GOOGLETRANSLATE(D86,""en"",""it"")"),"Mi piacciono i mobili, e più specificamente carta da parati.")</f>
        <v>Mi piacciono i mobili, e più specificamente carta da parati.</v>
      </c>
      <c r="G86" s="6" t="str">
        <f>IFERROR(__xludf.DUMMYFUNCTION("GOOGLETRANSLATE(E86,""fr"",""it"")"),"Apprezzo i mobili, e più in particolare lo sfondo.")</f>
        <v>Apprezzo i mobili, e più in particolare lo sfondo.</v>
      </c>
    </row>
    <row r="87">
      <c r="A87" s="4">
        <v>85.0</v>
      </c>
      <c r="B87" s="5" t="s">
        <v>262</v>
      </c>
      <c r="C87" s="4">
        <v>0.0</v>
      </c>
      <c r="D87" s="5" t="s">
        <v>263</v>
      </c>
      <c r="E87" s="5" t="s">
        <v>264</v>
      </c>
      <c r="F87" s="6" t="str">
        <f>IFERROR(__xludf.DUMMYFUNCTION("GOOGLETRANSLATE(D87,""en"",""it"")"),"Mi piacciono le sedie e il più specificamente parquet.")</f>
        <v>Mi piacciono le sedie e il più specificamente parquet.</v>
      </c>
      <c r="G87" s="6" t="str">
        <f>IFERROR(__xludf.DUMMYFUNCTION("GOOGLETRANSLATE(E87,""fr"",""it"")"),"Apprezzo le sedie e più in particolare il pavimento.")</f>
        <v>Apprezzo le sedie e più in particolare il pavimento.</v>
      </c>
    </row>
    <row r="88">
      <c r="A88" s="4">
        <v>86.0</v>
      </c>
      <c r="B88" s="5" t="s">
        <v>265</v>
      </c>
      <c r="C88" s="4">
        <v>0.0</v>
      </c>
      <c r="D88" s="5" t="s">
        <v>266</v>
      </c>
      <c r="E88" s="5" t="s">
        <v>267</v>
      </c>
      <c r="F88" s="6" t="str">
        <f>IFERROR(__xludf.DUMMYFUNCTION("GOOGLETRANSLATE(D88,""en"",""it"")"),"Mi piace il parquet e più specificamente sedie.")</f>
        <v>Mi piace il parquet e più specificamente sedie.</v>
      </c>
      <c r="G88" s="6" t="str">
        <f>IFERROR(__xludf.DUMMYFUNCTION("GOOGLETRANSLATE(E88,""fr"",""it"")"),"Apprezzo il parquet e più in particolare le sedie.")</f>
        <v>Apprezzo il parquet e più in particolare le sedie.</v>
      </c>
    </row>
    <row r="89">
      <c r="A89" s="4">
        <v>87.0</v>
      </c>
      <c r="B89" s="5" t="s">
        <v>268</v>
      </c>
      <c r="C89" s="4">
        <v>0.0</v>
      </c>
      <c r="D89" s="5" t="s">
        <v>269</v>
      </c>
      <c r="E89" s="5" t="s">
        <v>270</v>
      </c>
      <c r="F89" s="6" t="str">
        <f>IFERROR(__xludf.DUMMYFUNCTION("GOOGLETRANSLATE(D89,""en"",""it"")"),"Mi piacciono i mobili e il più specificamente parquet.")</f>
        <v>Mi piacciono i mobili e il più specificamente parquet.</v>
      </c>
      <c r="G89" s="6" t="str">
        <f>IFERROR(__xludf.DUMMYFUNCTION("GOOGLETRANSLATE(E89,""fr"",""it"")"),"Apprezzo i mobili e più in particolare il pavimento.")</f>
        <v>Apprezzo i mobili e più in particolare il pavimento.</v>
      </c>
    </row>
    <row r="90">
      <c r="A90" s="4">
        <v>88.0</v>
      </c>
      <c r="B90" s="5" t="s">
        <v>271</v>
      </c>
      <c r="C90" s="4">
        <v>0.0</v>
      </c>
      <c r="D90" s="5" t="s">
        <v>272</v>
      </c>
      <c r="E90" s="5" t="s">
        <v>273</v>
      </c>
      <c r="F90" s="6" t="str">
        <f>IFERROR(__xludf.DUMMYFUNCTION("GOOGLETRANSLATE(D90,""en"",""it"")"),"Mi piacciono i tavoli e più specificamente posate.")</f>
        <v>Mi piacciono i tavoli e più specificamente posate.</v>
      </c>
      <c r="G90" s="6" t="str">
        <f>IFERROR(__xludf.DUMMYFUNCTION("GOOGLETRANSLATE(E90,""fr"",""it"")"),"Apprezzo i tavoli e più in particolare le posate.")</f>
        <v>Apprezzo i tavoli e più in particolare le posate.</v>
      </c>
    </row>
    <row r="91">
      <c r="A91" s="4">
        <v>89.0</v>
      </c>
      <c r="B91" s="5" t="s">
        <v>274</v>
      </c>
      <c r="C91" s="4">
        <v>0.0</v>
      </c>
      <c r="D91" s="5" t="s">
        <v>275</v>
      </c>
      <c r="E91" s="5" t="s">
        <v>276</v>
      </c>
      <c r="F91" s="6" t="str">
        <f>IFERROR(__xludf.DUMMYFUNCTION("GOOGLETRANSLATE(D91,""en"",""it"")"),"Mi piacciono le posate e le tavole più specificamente.")</f>
        <v>Mi piacciono le posate e le tavole più specificamente.</v>
      </c>
      <c r="G91" s="6" t="str">
        <f>IFERROR(__xludf.DUMMYFUNCTION("GOOGLETRANSLATE(E91,""fr"",""it"")"),"Apprezzo le posate e più in particolare i tavoli.")</f>
        <v>Apprezzo le posate e più in particolare i tavoli.</v>
      </c>
    </row>
    <row r="92">
      <c r="A92" s="4">
        <v>90.0</v>
      </c>
      <c r="B92" s="5" t="s">
        <v>277</v>
      </c>
      <c r="C92" s="4">
        <v>0.0</v>
      </c>
      <c r="D92" s="5" t="s">
        <v>278</v>
      </c>
      <c r="E92" s="5" t="s">
        <v>279</v>
      </c>
      <c r="F92" s="6" t="str">
        <f>IFERROR(__xludf.DUMMYFUNCTION("GOOGLETRANSLATE(D92,""en"",""it"")"),"Mi piacciono i tavoli e più specificamente mobili.")</f>
        <v>Mi piacciono i tavoli e più specificamente mobili.</v>
      </c>
      <c r="G92" s="6" t="str">
        <f>IFERROR(__xludf.DUMMYFUNCTION("GOOGLETRANSLATE(E92,""fr"",""it"")"),"Apprezzo i tavoli e più in particolare i mobili.")</f>
        <v>Apprezzo i tavoli e più in particolare i mobili.</v>
      </c>
    </row>
    <row r="93">
      <c r="A93" s="4">
        <v>91.0</v>
      </c>
      <c r="B93" s="5" t="s">
        <v>280</v>
      </c>
      <c r="C93" s="4">
        <v>1.0</v>
      </c>
      <c r="D93" s="5" t="s">
        <v>281</v>
      </c>
      <c r="E93" s="5" t="s">
        <v>282</v>
      </c>
      <c r="F93" s="6" t="str">
        <f>IFERROR(__xludf.DUMMYFUNCTION("GOOGLETRANSLATE(D93,""en"",""it"")"),"Mi piacciono i mobili e le tabelle più specificamente.")</f>
        <v>Mi piacciono i mobili e le tabelle più specificamente.</v>
      </c>
      <c r="G93" s="6" t="str">
        <f>IFERROR(__xludf.DUMMYFUNCTION("GOOGLETRANSLATE(E93,""fr"",""it"")"),"Apprezzo i mobili e più in particolare i tavoli.")</f>
        <v>Apprezzo i mobili e più in particolare i tavoli.</v>
      </c>
    </row>
    <row r="94">
      <c r="A94" s="4">
        <v>92.0</v>
      </c>
      <c r="B94" s="5" t="s">
        <v>283</v>
      </c>
      <c r="C94" s="4">
        <v>0.0</v>
      </c>
      <c r="D94" s="5" t="s">
        <v>284</v>
      </c>
      <c r="E94" s="5" t="s">
        <v>285</v>
      </c>
      <c r="F94" s="6" t="str">
        <f>IFERROR(__xludf.DUMMYFUNCTION("GOOGLETRANSLATE(D94,""en"",""it"")"),"Mi piacciono i tavoli e più specificamente dipinti.")</f>
        <v>Mi piacciono i tavoli e più specificamente dipinti.</v>
      </c>
      <c r="G94" s="6" t="str">
        <f>IFERROR(__xludf.DUMMYFUNCTION("GOOGLETRANSLATE(E94,""fr"",""it"")"),"Apprezzo i tavoli e più in particolare i dipinti.")</f>
        <v>Apprezzo i tavoli e più in particolare i dipinti.</v>
      </c>
    </row>
    <row r="95">
      <c r="A95" s="4">
        <v>93.0</v>
      </c>
      <c r="B95" s="5" t="s">
        <v>286</v>
      </c>
      <c r="C95" s="4">
        <v>0.0</v>
      </c>
      <c r="D95" s="5" t="s">
        <v>287</v>
      </c>
      <c r="E95" s="5" t="s">
        <v>288</v>
      </c>
      <c r="F95" s="6" t="str">
        <f>IFERROR(__xludf.DUMMYFUNCTION("GOOGLETRANSLATE(D95,""en"",""it"")"),"Mi piacciono i dipinti e più specificamente tabelle.")</f>
        <v>Mi piacciono i dipinti e più specificamente tabelle.</v>
      </c>
      <c r="G95" s="6" t="str">
        <f>IFERROR(__xludf.DUMMYFUNCTION("GOOGLETRANSLATE(E95,""fr"",""it"")"),"Apprezzo i dipinti e più in particolare i tavoli.")</f>
        <v>Apprezzo i dipinti e più in particolare i tavoli.</v>
      </c>
    </row>
    <row r="96">
      <c r="A96" s="4">
        <v>94.0</v>
      </c>
      <c r="B96" s="5" t="s">
        <v>289</v>
      </c>
      <c r="C96" s="4">
        <v>0.0</v>
      </c>
      <c r="D96" s="5" t="s">
        <v>290</v>
      </c>
      <c r="E96" s="5" t="s">
        <v>291</v>
      </c>
      <c r="F96" s="6" t="str">
        <f>IFERROR(__xludf.DUMMYFUNCTION("GOOGLETRANSLATE(D96,""en"",""it"")"),"Mi piacciono i tavoli e più specificamente carta da parati.")</f>
        <v>Mi piacciono i tavoli e più specificamente carta da parati.</v>
      </c>
      <c r="G96" s="6" t="str">
        <f>IFERROR(__xludf.DUMMYFUNCTION("GOOGLETRANSLATE(E96,""fr"",""it"")"),"Apprezzo i tavoli e più in particolare lo sfondo.")</f>
        <v>Apprezzo i tavoli e più in particolare lo sfondo.</v>
      </c>
    </row>
    <row r="97">
      <c r="A97" s="4">
        <v>95.0</v>
      </c>
      <c r="B97" s="5" t="s">
        <v>292</v>
      </c>
      <c r="C97" s="4">
        <v>0.0</v>
      </c>
      <c r="D97" s="5" t="s">
        <v>293</v>
      </c>
      <c r="E97" s="5" t="s">
        <v>294</v>
      </c>
      <c r="F97" s="6" t="str">
        <f>IFERROR(__xludf.DUMMYFUNCTION("GOOGLETRANSLATE(D97,""en"",""it"")"),"Mi piace la carta da parati e più specificamente tabelle.")</f>
        <v>Mi piace la carta da parati e più specificamente tabelle.</v>
      </c>
      <c r="G97" s="6" t="str">
        <f>IFERROR(__xludf.DUMMYFUNCTION("GOOGLETRANSLATE(E97,""fr"",""it"")"),"Apprezzo la carta da parati e più in particolare i tavoli.")</f>
        <v>Apprezzo la carta da parati e più in particolare i tavoli.</v>
      </c>
    </row>
    <row r="98">
      <c r="A98" s="4">
        <v>96.0</v>
      </c>
      <c r="B98" s="5" t="s">
        <v>295</v>
      </c>
      <c r="C98" s="4">
        <v>0.0</v>
      </c>
      <c r="D98" s="5" t="s">
        <v>296</v>
      </c>
      <c r="E98" s="5" t="s">
        <v>297</v>
      </c>
      <c r="F98" s="6" t="str">
        <f>IFERROR(__xludf.DUMMYFUNCTION("GOOGLETRANSLATE(D98,""en"",""it"")"),"Mi piacciono i tavoli e il più specificamente parquet.")</f>
        <v>Mi piacciono i tavoli e il più specificamente parquet.</v>
      </c>
      <c r="G98" s="6" t="str">
        <f>IFERROR(__xludf.DUMMYFUNCTION("GOOGLETRANSLATE(E98,""fr"",""it"")"),"Apprezzo i tavoli e più in particolare il pavimento.")</f>
        <v>Apprezzo i tavoli e più in particolare il pavimento.</v>
      </c>
    </row>
    <row r="99">
      <c r="A99" s="4">
        <v>97.0</v>
      </c>
      <c r="B99" s="5" t="s">
        <v>298</v>
      </c>
      <c r="C99" s="4">
        <v>0.0</v>
      </c>
      <c r="D99" s="5" t="s">
        <v>299</v>
      </c>
      <c r="E99" s="5" t="s">
        <v>300</v>
      </c>
      <c r="F99" s="6" t="str">
        <f>IFERROR(__xludf.DUMMYFUNCTION("GOOGLETRANSLATE(D99,""en"",""it"")"),"Mi piace il parquet e più specificamente tabelle.")</f>
        <v>Mi piace il parquet e più specificamente tabelle.</v>
      </c>
      <c r="G99" s="6" t="str">
        <f>IFERROR(__xludf.DUMMYFUNCTION("GOOGLETRANSLATE(E99,""fr"",""it"")"),"Apprezzo il parquet e più in particolare i tavoli.")</f>
        <v>Apprezzo il parquet e più in particolare i tavoli.</v>
      </c>
    </row>
    <row r="100">
      <c r="A100" s="4">
        <v>98.0</v>
      </c>
      <c r="B100" s="5" t="s">
        <v>301</v>
      </c>
      <c r="C100" s="4">
        <v>0.0</v>
      </c>
      <c r="D100" s="5" t="s">
        <v>302</v>
      </c>
      <c r="E100" s="5" t="s">
        <v>303</v>
      </c>
      <c r="F100" s="6" t="str">
        <f>IFERROR(__xludf.DUMMYFUNCTION("GOOGLETRANSLATE(D100,""en"",""it"")"),"Mi piacciono gli armadi e più specificamente posate.")</f>
        <v>Mi piacciono gli armadi e più specificamente posate.</v>
      </c>
      <c r="G100" s="6" t="str">
        <f>IFERROR(__xludf.DUMMYFUNCTION("GOOGLETRANSLATE(E100,""fr"",""it"")"),"Apprezzo gli armadietti e più in particolare le posate.")</f>
        <v>Apprezzo gli armadietti e più in particolare le posate.</v>
      </c>
    </row>
    <row r="101">
      <c r="A101" s="4">
        <v>99.0</v>
      </c>
      <c r="B101" s="5" t="s">
        <v>304</v>
      </c>
      <c r="C101" s="4">
        <v>0.0</v>
      </c>
      <c r="D101" s="5" t="s">
        <v>305</v>
      </c>
      <c r="E101" s="5" t="s">
        <v>306</v>
      </c>
      <c r="F101" s="6" t="str">
        <f>IFERROR(__xludf.DUMMYFUNCTION("GOOGLETRANSLATE(D101,""en"",""it"")"),"Mi piacciono le posate e più specificamente armadi.")</f>
        <v>Mi piacciono le posate e più specificamente armadi.</v>
      </c>
      <c r="G101" s="6" t="str">
        <f>IFERROR(__xludf.DUMMYFUNCTION("GOOGLETRANSLATE(E101,""fr"",""it"")"),"Apprezzo le posate e più particolarmente gli armadietti.")</f>
        <v>Apprezzo le posate e più particolarmente gli armadietti.</v>
      </c>
    </row>
    <row r="102">
      <c r="A102" s="4">
        <v>100.0</v>
      </c>
      <c r="B102" s="5" t="s">
        <v>307</v>
      </c>
      <c r="C102" s="4">
        <v>0.0</v>
      </c>
      <c r="D102" s="5" t="s">
        <v>308</v>
      </c>
      <c r="E102" s="5" t="s">
        <v>309</v>
      </c>
      <c r="F102" s="6" t="str">
        <f>IFERROR(__xludf.DUMMYFUNCTION("GOOGLETRANSLATE(D102,""en"",""it"")"),"Mi piacciono gli armadi e più specificamente mobili.")</f>
        <v>Mi piacciono gli armadi e più specificamente mobili.</v>
      </c>
      <c r="G102" s="6" t="str">
        <f>IFERROR(__xludf.DUMMYFUNCTION("GOOGLETRANSLATE(E102,""fr"",""it"")"),"Apprezzo gli armadietti e più in particolare i mobili.")</f>
        <v>Apprezzo gli armadietti e più in particolare i mobili.</v>
      </c>
    </row>
    <row r="103">
      <c r="A103" s="4">
        <v>101.0</v>
      </c>
      <c r="B103" s="5" t="s">
        <v>310</v>
      </c>
      <c r="C103" s="4">
        <v>1.0</v>
      </c>
      <c r="D103" s="5" t="s">
        <v>311</v>
      </c>
      <c r="E103" s="5" t="s">
        <v>312</v>
      </c>
      <c r="F103" s="6" t="str">
        <f>IFERROR(__xludf.DUMMYFUNCTION("GOOGLETRANSLATE(D103,""en"",""it"")"),"Mi piacciono i mobili e più specificamente armadi.")</f>
        <v>Mi piacciono i mobili e più specificamente armadi.</v>
      </c>
      <c r="G103" s="6" t="str">
        <f>IFERROR(__xludf.DUMMYFUNCTION("GOOGLETRANSLATE(E103,""fr"",""it"")"),"Apprezzo i mobili e più in particolare i cabinet.")</f>
        <v>Apprezzo i mobili e più in particolare i cabinet.</v>
      </c>
    </row>
    <row r="104">
      <c r="A104" s="4">
        <v>102.0</v>
      </c>
      <c r="B104" s="5" t="s">
        <v>313</v>
      </c>
      <c r="C104" s="4">
        <v>0.0</v>
      </c>
      <c r="D104" s="5" t="s">
        <v>314</v>
      </c>
      <c r="E104" s="5" t="s">
        <v>315</v>
      </c>
      <c r="F104" s="6" t="str">
        <f>IFERROR(__xludf.DUMMYFUNCTION("GOOGLETRANSLATE(D104,""en"",""it"")"),"Mi piacciono gli armadi e più specificamente dipinti.")</f>
        <v>Mi piacciono gli armadi e più specificamente dipinti.</v>
      </c>
      <c r="G104" s="6" t="str">
        <f>IFERROR(__xludf.DUMMYFUNCTION("GOOGLETRANSLATE(E104,""fr"",""it"")"),"Apprezzo gli armadietti e più in particolare i dipinti.")</f>
        <v>Apprezzo gli armadietti e più in particolare i dipinti.</v>
      </c>
    </row>
    <row r="105">
      <c r="A105" s="4">
        <v>103.0</v>
      </c>
      <c r="B105" s="5" t="s">
        <v>316</v>
      </c>
      <c r="C105" s="4">
        <v>0.0</v>
      </c>
      <c r="D105" s="5" t="s">
        <v>317</v>
      </c>
      <c r="E105" s="5" t="s">
        <v>318</v>
      </c>
      <c r="F105" s="6" t="str">
        <f>IFERROR(__xludf.DUMMYFUNCTION("GOOGLETRANSLATE(D105,""en"",""it"")"),"Mi piacciono i dipinti e più specificamente armadi.")</f>
        <v>Mi piacciono i dipinti e più specificamente armadi.</v>
      </c>
      <c r="G105" s="6" t="str">
        <f>IFERROR(__xludf.DUMMYFUNCTION("GOOGLETRANSLATE(E105,""fr"",""it"")"),"Apprezzo i dipinti e più in particolare gli armadietti.")</f>
        <v>Apprezzo i dipinti e più in particolare gli armadietti.</v>
      </c>
    </row>
    <row r="106">
      <c r="A106" s="4">
        <v>104.0</v>
      </c>
      <c r="B106" s="5" t="s">
        <v>319</v>
      </c>
      <c r="C106" s="4">
        <v>0.0</v>
      </c>
      <c r="D106" s="5" t="s">
        <v>320</v>
      </c>
      <c r="E106" s="5" t="s">
        <v>321</v>
      </c>
      <c r="F106" s="6" t="str">
        <f>IFERROR(__xludf.DUMMYFUNCTION("GOOGLETRANSLATE(D106,""en"",""it"")"),"Mi piacciono gli armadi e più specificamente carta da parati.")</f>
        <v>Mi piacciono gli armadi e più specificamente carta da parati.</v>
      </c>
      <c r="G106" s="6" t="str">
        <f>IFERROR(__xludf.DUMMYFUNCTION("GOOGLETRANSLATE(E106,""fr"",""it"")"),"Apprezzo gli armadietti e più in particolare lo sfondo.")</f>
        <v>Apprezzo gli armadietti e più in particolare lo sfondo.</v>
      </c>
    </row>
    <row r="107">
      <c r="A107" s="4">
        <v>105.0</v>
      </c>
      <c r="B107" s="5" t="s">
        <v>322</v>
      </c>
      <c r="C107" s="4">
        <v>0.0</v>
      </c>
      <c r="D107" s="5" t="s">
        <v>323</v>
      </c>
      <c r="E107" s="5" t="s">
        <v>324</v>
      </c>
      <c r="F107" s="6" t="str">
        <f>IFERROR(__xludf.DUMMYFUNCTION("GOOGLETRANSLATE(D107,""en"",""it"")"),"Mi piace la carta da parati e più specificamente armadi.")</f>
        <v>Mi piace la carta da parati e più specificamente armadi.</v>
      </c>
      <c r="G107" s="6" t="str">
        <f>IFERROR(__xludf.DUMMYFUNCTION("GOOGLETRANSLATE(E107,""fr"",""it"")"),"Apprezzo la carta da parati e più in particolare i cabinet.")</f>
        <v>Apprezzo la carta da parati e più in particolare i cabinet.</v>
      </c>
    </row>
    <row r="108">
      <c r="A108" s="4">
        <v>106.0</v>
      </c>
      <c r="B108" s="5" t="s">
        <v>325</v>
      </c>
      <c r="C108" s="4">
        <v>0.0</v>
      </c>
      <c r="D108" s="5" t="s">
        <v>326</v>
      </c>
      <c r="E108" s="5" t="s">
        <v>327</v>
      </c>
      <c r="F108" s="6" t="str">
        <f>IFERROR(__xludf.DUMMYFUNCTION("GOOGLETRANSLATE(D108,""en"",""it"")"),"Mi piacciono gli armadi e più specificamente parquet.")</f>
        <v>Mi piacciono gli armadi e più specificamente parquet.</v>
      </c>
      <c r="G108" s="6" t="str">
        <f>IFERROR(__xludf.DUMMYFUNCTION("GOOGLETRANSLATE(E108,""fr"",""it"")"),"Apprezzo gli armadietti e più in particolare il pavimento.")</f>
        <v>Apprezzo gli armadietti e più in particolare il pavimento.</v>
      </c>
    </row>
    <row r="109">
      <c r="A109" s="4">
        <v>107.0</v>
      </c>
      <c r="B109" s="5" t="s">
        <v>328</v>
      </c>
      <c r="C109" s="4">
        <v>0.0</v>
      </c>
      <c r="D109" s="5" t="s">
        <v>329</v>
      </c>
      <c r="E109" s="5" t="s">
        <v>330</v>
      </c>
      <c r="F109" s="6" t="str">
        <f>IFERROR(__xludf.DUMMYFUNCTION("GOOGLETRANSLATE(D109,""en"",""it"")"),"Mi piace il parquet e più appositamente armadi.")</f>
        <v>Mi piace il parquet e più appositamente armadi.</v>
      </c>
      <c r="G109" s="6" t="str">
        <f>IFERROR(__xludf.DUMMYFUNCTION("GOOGLETRANSLATE(E109,""fr"",""it"")"),"Apprezzo il pavimento, e più particolarmente gli armadietti.")</f>
        <v>Apprezzo il pavimento, e più particolarmente gli armadietti.</v>
      </c>
    </row>
    <row r="110">
      <c r="A110" s="4">
        <v>108.0</v>
      </c>
      <c r="B110" s="5" t="s">
        <v>331</v>
      </c>
      <c r="C110" s="4">
        <v>0.0</v>
      </c>
      <c r="D110" s="5" t="s">
        <v>332</v>
      </c>
      <c r="E110" s="5" t="s">
        <v>333</v>
      </c>
      <c r="F110" s="6" t="str">
        <f>IFERROR(__xludf.DUMMYFUNCTION("GOOGLETRANSLATE(D110,""en"",""it"")"),"Mi piacciono i letti, e più specificamente posate.")</f>
        <v>Mi piacciono i letti, e più specificamente posate.</v>
      </c>
      <c r="G110" s="6" t="str">
        <f>IFERROR(__xludf.DUMMYFUNCTION("GOOGLETRANSLATE(E110,""fr"",""it"")"),"Apprezzo i letti, e più in particolare le posate.")</f>
        <v>Apprezzo i letti, e più in particolare le posate.</v>
      </c>
    </row>
    <row r="111">
      <c r="A111" s="4">
        <v>109.0</v>
      </c>
      <c r="B111" s="5" t="s">
        <v>334</v>
      </c>
      <c r="C111" s="4">
        <v>0.0</v>
      </c>
      <c r="D111" s="5" t="s">
        <v>335</v>
      </c>
      <c r="E111" s="5" t="s">
        <v>336</v>
      </c>
      <c r="F111" s="6" t="str">
        <f>IFERROR(__xludf.DUMMYFUNCTION("GOOGLETRANSLATE(D111,""en"",""it"")"),"Mi piacciono le posate e più specificamente letti.")</f>
        <v>Mi piacciono le posate e più specificamente letti.</v>
      </c>
      <c r="G111" s="6" t="str">
        <f>IFERROR(__xludf.DUMMYFUNCTION("GOOGLETRANSLATE(E111,""fr"",""it"")"),"Apprezzo le posate e più in particolare i letti.")</f>
        <v>Apprezzo le posate e più in particolare i letti.</v>
      </c>
    </row>
    <row r="112">
      <c r="A112" s="4">
        <v>110.0</v>
      </c>
      <c r="B112" s="5" t="s">
        <v>337</v>
      </c>
      <c r="C112" s="4">
        <v>0.0</v>
      </c>
      <c r="D112" s="5" t="s">
        <v>338</v>
      </c>
      <c r="E112" s="5" t="s">
        <v>339</v>
      </c>
      <c r="F112" s="6" t="str">
        <f>IFERROR(__xludf.DUMMYFUNCTION("GOOGLETRANSLATE(D112,""en"",""it"")"),"Mi piacciono i letti, e più specificamente mobili.")</f>
        <v>Mi piacciono i letti, e più specificamente mobili.</v>
      </c>
      <c r="G112" s="6" t="str">
        <f>IFERROR(__xludf.DUMMYFUNCTION("GOOGLETRANSLATE(E112,""fr"",""it"")"),"Apprezzo i letti, e più in particolare i mobili.")</f>
        <v>Apprezzo i letti, e più in particolare i mobili.</v>
      </c>
    </row>
    <row r="113">
      <c r="A113" s="4">
        <v>111.0</v>
      </c>
      <c r="B113" s="5" t="s">
        <v>340</v>
      </c>
      <c r="C113" s="4">
        <v>1.0</v>
      </c>
      <c r="D113" s="5" t="s">
        <v>341</v>
      </c>
      <c r="E113" s="5" t="s">
        <v>342</v>
      </c>
      <c r="F113" s="6" t="str">
        <f>IFERROR(__xludf.DUMMYFUNCTION("GOOGLETRANSLATE(D113,""en"",""it"")"),"Mi piacciono i mobili e più specificamente letti.")</f>
        <v>Mi piacciono i mobili e più specificamente letti.</v>
      </c>
      <c r="G113" s="6" t="str">
        <f>IFERROR(__xludf.DUMMYFUNCTION("GOOGLETRANSLATE(E113,""fr"",""it"")"),"Apprezzo i mobili e più in particolare i letti.")</f>
        <v>Apprezzo i mobili e più in particolare i letti.</v>
      </c>
    </row>
    <row r="114">
      <c r="A114" s="4">
        <v>112.0</v>
      </c>
      <c r="B114" s="5" t="s">
        <v>343</v>
      </c>
      <c r="C114" s="4">
        <v>0.0</v>
      </c>
      <c r="D114" s="5" t="s">
        <v>344</v>
      </c>
      <c r="E114" s="5" t="s">
        <v>345</v>
      </c>
      <c r="F114" s="6" t="str">
        <f>IFERROR(__xludf.DUMMYFUNCTION("GOOGLETRANSLATE(D114,""en"",""it"")"),"Mi piacciono i letti, e più specificamente dipinti.")</f>
        <v>Mi piacciono i letti, e più specificamente dipinti.</v>
      </c>
      <c r="G114" s="6" t="str">
        <f>IFERROR(__xludf.DUMMYFUNCTION("GOOGLETRANSLATE(E114,""fr"",""it"")"),"Apprezzo i letti, e più in particolare i dipinti.")</f>
        <v>Apprezzo i letti, e più in particolare i dipinti.</v>
      </c>
    </row>
    <row r="115">
      <c r="A115" s="4">
        <v>113.0</v>
      </c>
      <c r="B115" s="5" t="s">
        <v>346</v>
      </c>
      <c r="C115" s="4">
        <v>0.0</v>
      </c>
      <c r="D115" s="5" t="s">
        <v>347</v>
      </c>
      <c r="E115" s="5" t="s">
        <v>348</v>
      </c>
      <c r="F115" s="6" t="str">
        <f>IFERROR(__xludf.DUMMYFUNCTION("GOOGLETRANSLATE(D115,""en"",""it"")"),"Mi piacciono i dipinti e più specificamente letti.")</f>
        <v>Mi piacciono i dipinti e più specificamente letti.</v>
      </c>
      <c r="G115" s="6" t="str">
        <f>IFERROR(__xludf.DUMMYFUNCTION("GOOGLETRANSLATE(E115,""fr"",""it"")"),"Apprezzo i dipinti e più in particolare i letti.")</f>
        <v>Apprezzo i dipinti e più in particolare i letti.</v>
      </c>
    </row>
    <row r="116">
      <c r="A116" s="4">
        <v>114.0</v>
      </c>
      <c r="B116" s="5" t="s">
        <v>349</v>
      </c>
      <c r="C116" s="4">
        <v>0.0</v>
      </c>
      <c r="D116" s="5" t="s">
        <v>350</v>
      </c>
      <c r="E116" s="5" t="s">
        <v>351</v>
      </c>
      <c r="F116" s="6" t="str">
        <f>IFERROR(__xludf.DUMMYFUNCTION("GOOGLETRANSLATE(D116,""en"",""it"")"),"Mi piacciono i letti, e più specificamente carta da parati.")</f>
        <v>Mi piacciono i letti, e più specificamente carta da parati.</v>
      </c>
      <c r="G116" s="6" t="str">
        <f>IFERROR(__xludf.DUMMYFUNCTION("GOOGLETRANSLATE(E116,""fr"",""it"")"),"Apprezzo i letti, e più in particolare lo sfondo.")</f>
        <v>Apprezzo i letti, e più in particolare lo sfondo.</v>
      </c>
    </row>
    <row r="117">
      <c r="A117" s="4">
        <v>115.0</v>
      </c>
      <c r="B117" s="5" t="s">
        <v>352</v>
      </c>
      <c r="C117" s="4">
        <v>0.0</v>
      </c>
      <c r="D117" s="5" t="s">
        <v>353</v>
      </c>
      <c r="E117" s="5" t="s">
        <v>354</v>
      </c>
      <c r="F117" s="6" t="str">
        <f>IFERROR(__xludf.DUMMYFUNCTION("GOOGLETRANSLATE(D117,""en"",""it"")"),"Mi piace la carta da parati e più specificamente letti.")</f>
        <v>Mi piace la carta da parati e più specificamente letti.</v>
      </c>
      <c r="G117" s="6" t="str">
        <f>IFERROR(__xludf.DUMMYFUNCTION("GOOGLETRANSLATE(E117,""fr"",""it"")"),"Apprezzo la carta da parati, e più in particolare i letti.")</f>
        <v>Apprezzo la carta da parati, e più in particolare i letti.</v>
      </c>
    </row>
    <row r="118">
      <c r="A118" s="4">
        <v>116.0</v>
      </c>
      <c r="B118" s="5" t="s">
        <v>355</v>
      </c>
      <c r="C118" s="4">
        <v>0.0</v>
      </c>
      <c r="D118" s="5" t="s">
        <v>356</v>
      </c>
      <c r="E118" s="5" t="s">
        <v>357</v>
      </c>
      <c r="F118" s="6" t="str">
        <f>IFERROR(__xludf.DUMMYFUNCTION("GOOGLETRANSLATE(D118,""en"",""it"")"),"Mi piacciono i letti, e più in particolare parquet.")</f>
        <v>Mi piacciono i letti, e più in particolare parquet.</v>
      </c>
      <c r="G118" s="6" t="str">
        <f>IFERROR(__xludf.DUMMYFUNCTION("GOOGLETRANSLATE(E118,""fr"",""it"")"),"Apprezzo i letti, e più in particolare il pavimento.")</f>
        <v>Apprezzo i letti, e più in particolare il pavimento.</v>
      </c>
    </row>
    <row r="119">
      <c r="A119" s="4">
        <v>117.0</v>
      </c>
      <c r="B119" s="5" t="s">
        <v>358</v>
      </c>
      <c r="C119" s="4">
        <v>0.0</v>
      </c>
      <c r="D119" s="5" t="s">
        <v>359</v>
      </c>
      <c r="E119" s="5" t="s">
        <v>360</v>
      </c>
      <c r="F119" s="6" t="str">
        <f>IFERROR(__xludf.DUMMYFUNCTION("GOOGLETRANSLATE(D119,""en"",""it"")"),"Mi piace il parquet e più specificamente letti.")</f>
        <v>Mi piace il parquet e più specificamente letti.</v>
      </c>
      <c r="G119" s="6" t="str">
        <f>IFERROR(__xludf.DUMMYFUNCTION("GOOGLETRANSLATE(E119,""fr"",""it"")"),"Apprezzo il parquet e più in particolare i letti.")</f>
        <v>Apprezzo il parquet e più in particolare i letti.</v>
      </c>
    </row>
    <row r="120">
      <c r="A120" s="4">
        <v>118.0</v>
      </c>
      <c r="B120" s="5" t="s">
        <v>361</v>
      </c>
      <c r="C120" s="4">
        <v>0.0</v>
      </c>
      <c r="D120" s="5" t="s">
        <v>362</v>
      </c>
      <c r="E120" s="5" t="s">
        <v>363</v>
      </c>
      <c r="F120" s="6" t="str">
        <f>IFERROR(__xludf.DUMMYFUNCTION("GOOGLETRANSLATE(D120,""en"",""it"")"),"Mi piacciono i calzini, tranne le scarpe.")</f>
        <v>Mi piacciono i calzini, tranne le scarpe.</v>
      </c>
      <c r="G120" s="6" t="str">
        <f>IFERROR(__xludf.DUMMYFUNCTION("GOOGLETRANSLATE(E120,""fr"",""it"")"),"Amo le scarpe, tranne le scarpe.")</f>
        <v>Amo le scarpe, tranne le scarpe.</v>
      </c>
    </row>
    <row r="121">
      <c r="A121" s="4">
        <v>119.0</v>
      </c>
      <c r="B121" s="5" t="s">
        <v>364</v>
      </c>
      <c r="C121" s="4">
        <v>0.0</v>
      </c>
      <c r="D121" s="5" t="s">
        <v>365</v>
      </c>
      <c r="E121" s="5" t="s">
        <v>366</v>
      </c>
      <c r="F121" s="6" t="str">
        <f>IFERROR(__xludf.DUMMYFUNCTION("GOOGLETRANSLATE(D121,""en"",""it"")"),"Mi piace Merlot, e più specificamente coca-cola.")</f>
        <v>Mi piace Merlot, e più specificamente coca-cola.</v>
      </c>
      <c r="G121" s="6" t="str">
        <f>IFERROR(__xludf.DUMMYFUNCTION("GOOGLETRANSLATE(E121,""fr"",""it"")"),"Apprezzo Merlot e più in particolare Coca Cola.")</f>
        <v>Apprezzo Merlot e più in particolare Coca Cola.</v>
      </c>
    </row>
    <row r="122">
      <c r="A122" s="4">
        <v>120.0</v>
      </c>
      <c r="B122" s="5" t="s">
        <v>367</v>
      </c>
      <c r="C122" s="4">
        <v>0.0</v>
      </c>
      <c r="D122" s="5" t="s">
        <v>368</v>
      </c>
      <c r="E122" s="5" t="s">
        <v>369</v>
      </c>
      <c r="F122" s="6" t="str">
        <f>IFERROR(__xludf.DUMMYFUNCTION("GOOGLETRANSLATE(D122,""en"",""it"")"),"Mi piace Coca-Cola e più specificamente Merlot.")</f>
        <v>Mi piace Coca-Cola e più specificamente Merlot.</v>
      </c>
      <c r="G122" s="6" t="str">
        <f>IFERROR(__xludf.DUMMYFUNCTION("GOOGLETRANSLATE(E122,""fr"",""it"")"),"Apprezzo Coca Cola e più in particolare Merlot.")</f>
        <v>Apprezzo Coca Cola e più in particolare Merlot.</v>
      </c>
    </row>
    <row r="123">
      <c r="A123" s="4">
        <v>121.0</v>
      </c>
      <c r="B123" s="5" t="s">
        <v>370</v>
      </c>
      <c r="C123" s="4">
        <v>0.0</v>
      </c>
      <c r="D123" s="5" t="s">
        <v>371</v>
      </c>
      <c r="E123" s="5" t="s">
        <v>372</v>
      </c>
      <c r="F123" s="6" t="str">
        <f>IFERROR(__xludf.DUMMYFUNCTION("GOOGLETRANSLATE(D123,""en"",""it"")"),"Mi piace Merlot, e più specificamente vino.")</f>
        <v>Mi piace Merlot, e più specificamente vino.</v>
      </c>
      <c r="G123" s="6" t="str">
        <f>IFERROR(__xludf.DUMMYFUNCTION("GOOGLETRANSLATE(E123,""fr"",""it"")"),"Apprezzo Merlot e più in particolare il vino.")</f>
        <v>Apprezzo Merlot e più in particolare il vino.</v>
      </c>
    </row>
    <row r="124">
      <c r="A124" s="4">
        <v>122.0</v>
      </c>
      <c r="B124" s="5" t="s">
        <v>373</v>
      </c>
      <c r="C124" s="4">
        <v>1.0</v>
      </c>
      <c r="D124" s="5" t="s">
        <v>374</v>
      </c>
      <c r="E124" s="5" t="s">
        <v>375</v>
      </c>
      <c r="F124" s="6" t="str">
        <f>IFERROR(__xludf.DUMMYFUNCTION("GOOGLETRANSLATE(D124,""en"",""it"")"),"Mi piace il vino, e più specificamente il merlot.")</f>
        <v>Mi piace il vino, e più specificamente il merlot.</v>
      </c>
      <c r="G124" s="6" t="str">
        <f>IFERROR(__xludf.DUMMYFUNCTION("GOOGLETRANSLATE(E124,""fr"",""it"")"),"Apprezzo il vino e più in particolare Merlot.")</f>
        <v>Apprezzo il vino e più in particolare Merlot.</v>
      </c>
    </row>
    <row r="125">
      <c r="A125" s="4">
        <v>123.0</v>
      </c>
      <c r="B125" s="5" t="s">
        <v>376</v>
      </c>
      <c r="C125" s="4">
        <v>0.0</v>
      </c>
      <c r="D125" s="5" t="s">
        <v>377</v>
      </c>
      <c r="E125" s="5" t="s">
        <v>378</v>
      </c>
      <c r="F125" s="6" t="str">
        <f>IFERROR(__xludf.DUMMYFUNCTION("GOOGLETRANSLATE(D125,""en"",""it"")"),"Mi piace il vino, e più specificamente coca-cola.")</f>
        <v>Mi piace il vino, e più specificamente coca-cola.</v>
      </c>
      <c r="G125" s="6" t="str">
        <f>IFERROR(__xludf.DUMMYFUNCTION("GOOGLETRANSLATE(E125,""fr"",""it"")"),"Apprezzo il vino, in particolare la coca cola.")</f>
        <v>Apprezzo il vino, in particolare la coca cola.</v>
      </c>
    </row>
    <row r="126">
      <c r="A126" s="4">
        <v>124.0</v>
      </c>
      <c r="B126" s="5" t="s">
        <v>379</v>
      </c>
      <c r="C126" s="4">
        <v>0.0</v>
      </c>
      <c r="D126" s="5" t="s">
        <v>380</v>
      </c>
      <c r="E126" s="5" t="s">
        <v>381</v>
      </c>
      <c r="F126" s="6" t="str">
        <f>IFERROR(__xludf.DUMMYFUNCTION("GOOGLETRANSLATE(D126,""en"",""it"")"),"Mi piace Merlot, e più specificamente acqua.")</f>
        <v>Mi piace Merlot, e più specificamente acqua.</v>
      </c>
      <c r="G126" s="6" t="str">
        <f>IFERROR(__xludf.DUMMYFUNCTION("GOOGLETRANSLATE(E126,""fr"",""it"")"),"Apprezzo il Merlot e più in particolare l'acqua.")</f>
        <v>Apprezzo il Merlot e più in particolare l'acqua.</v>
      </c>
    </row>
    <row r="127">
      <c r="A127" s="4">
        <v>125.0</v>
      </c>
      <c r="B127" s="5" t="s">
        <v>382</v>
      </c>
      <c r="C127" s="4">
        <v>0.0</v>
      </c>
      <c r="D127" s="5" t="s">
        <v>383</v>
      </c>
      <c r="E127" s="5" t="s">
        <v>384</v>
      </c>
      <c r="F127" s="6" t="str">
        <f>IFERROR(__xludf.DUMMYFUNCTION("GOOGLETRANSLATE(D127,""en"",""it"")"),"Mi piace l'acqua, e più specificamente merlot.")</f>
        <v>Mi piace l'acqua, e più specificamente merlot.</v>
      </c>
      <c r="G127" s="6" t="str">
        <f>IFERROR(__xludf.DUMMYFUNCTION("GOOGLETRANSLATE(E127,""fr"",""it"")"),"Apprezzo l'acqua e più in particolare Merlot.")</f>
        <v>Apprezzo l'acqua e più in particolare Merlot.</v>
      </c>
    </row>
    <row r="128">
      <c r="A128" s="4">
        <v>126.0</v>
      </c>
      <c r="B128" s="5" t="s">
        <v>385</v>
      </c>
      <c r="C128" s="4">
        <v>0.0</v>
      </c>
      <c r="D128" s="5" t="s">
        <v>386</v>
      </c>
      <c r="E128" s="5" t="s">
        <v>387</v>
      </c>
      <c r="F128" s="6" t="str">
        <f>IFERROR(__xludf.DUMMYFUNCTION("GOOGLETRANSLATE(D128,""en"",""it"")"),"Mi piacciono le scarpe, tranne i calzini.")</f>
        <v>Mi piacciono le scarpe, tranne i calzini.</v>
      </c>
      <c r="G128" s="6" t="str">
        <f>IFERROR(__xludf.DUMMYFUNCTION("GOOGLETRANSLATE(E128,""fr"",""it"")"),"Adoro le scarpe tranne le scarpe.")</f>
        <v>Adoro le scarpe tranne le scarpe.</v>
      </c>
    </row>
    <row r="129">
      <c r="A129" s="4">
        <v>127.0</v>
      </c>
      <c r="B129" s="5" t="s">
        <v>388</v>
      </c>
      <c r="C129" s="4">
        <v>0.0</v>
      </c>
      <c r="D129" s="5" t="s">
        <v>389</v>
      </c>
      <c r="E129" s="5" t="s">
        <v>390</v>
      </c>
      <c r="F129" s="6" t="str">
        <f>IFERROR(__xludf.DUMMYFUNCTION("GOOGLETRANSLATE(D129,""en"",""it"")"),"Mi piace il vino, e più specificamente acqua.")</f>
        <v>Mi piace il vino, e più specificamente acqua.</v>
      </c>
      <c r="G129" s="6" t="str">
        <f>IFERROR(__xludf.DUMMYFUNCTION("GOOGLETRANSLATE(E129,""fr"",""it"")"),"Apprezzo il vino, in particolare l'acqua.")</f>
        <v>Apprezzo il vino, in particolare l'acqua.</v>
      </c>
    </row>
    <row r="130">
      <c r="A130" s="4">
        <v>128.0</v>
      </c>
      <c r="B130" s="5" t="s">
        <v>391</v>
      </c>
      <c r="C130" s="4">
        <v>0.0</v>
      </c>
      <c r="D130" s="5" t="s">
        <v>392</v>
      </c>
      <c r="E130" s="5" t="s">
        <v>393</v>
      </c>
      <c r="F130" s="6" t="str">
        <f>IFERROR(__xludf.DUMMYFUNCTION("GOOGLETRANSLATE(D130,""en"",""it"")"),"Mi piace Merlot e più specificamente sprite.")</f>
        <v>Mi piace Merlot e più specificamente sprite.</v>
      </c>
      <c r="G130" s="6" t="str">
        <f>IFERROR(__xludf.DUMMYFUNCTION("GOOGLETRANSLATE(E130,""fr"",""it"")"),"Apprezzo Merlot, e più particolarmente sprite.")</f>
        <v>Apprezzo Merlot, e più particolarmente sprite.</v>
      </c>
    </row>
    <row r="131">
      <c r="A131" s="4">
        <v>129.0</v>
      </c>
      <c r="B131" s="5" t="s">
        <v>394</v>
      </c>
      <c r="C131" s="4">
        <v>0.0</v>
      </c>
      <c r="D131" s="5" t="s">
        <v>395</v>
      </c>
      <c r="E131" s="5" t="s">
        <v>396</v>
      </c>
      <c r="F131" s="6" t="str">
        <f>IFERROR(__xludf.DUMMYFUNCTION("GOOGLETRANSLATE(D131,""en"",""it"")"),"Mi piace Sprite, e più specificamente Merlot.")</f>
        <v>Mi piace Sprite, e più specificamente Merlot.</v>
      </c>
      <c r="G131" s="6" t="str">
        <f>IFERROR(__xludf.DUMMYFUNCTION("GOOGLETRANSLATE(E131,""fr"",""it"")"),"Apprezzo lo sprite, e più in particolare il Merlot.")</f>
        <v>Apprezzo lo sprite, e più in particolare il Merlot.</v>
      </c>
    </row>
    <row r="132">
      <c r="A132" s="4">
        <v>130.0</v>
      </c>
      <c r="B132" s="5" t="s">
        <v>397</v>
      </c>
      <c r="C132" s="4">
        <v>0.0</v>
      </c>
      <c r="D132" s="5" t="s">
        <v>398</v>
      </c>
      <c r="E132" s="5" t="s">
        <v>399</v>
      </c>
      <c r="F132" s="6" t="str">
        <f>IFERROR(__xludf.DUMMYFUNCTION("GOOGLETRANSLATE(D132,""en"",""it"")"),"Mi piace il vino e più specificamente sprite.")</f>
        <v>Mi piace il vino e più specificamente sprite.</v>
      </c>
      <c r="G132" s="6" t="str">
        <f>IFERROR(__xludf.DUMMYFUNCTION("GOOGLETRANSLATE(E132,""fr"",""it"")"),"Apprezzo il vino e più particolarmente sprite.")</f>
        <v>Apprezzo il vino e più particolarmente sprite.</v>
      </c>
    </row>
    <row r="133">
      <c r="A133" s="4">
        <v>131.0</v>
      </c>
      <c r="B133" s="5" t="s">
        <v>400</v>
      </c>
      <c r="C133" s="4">
        <v>0.0</v>
      </c>
      <c r="D133" s="5" t="s">
        <v>401</v>
      </c>
      <c r="E133" s="5" t="s">
        <v>402</v>
      </c>
      <c r="F133" s="6" t="str">
        <f>IFERROR(__xludf.DUMMYFUNCTION("GOOGLETRANSLATE(D133,""en"",""it"")"),"Mi piace Merlot, e più specificamente birra.")</f>
        <v>Mi piace Merlot, e più specificamente birra.</v>
      </c>
      <c r="G133" s="6" t="str">
        <f>IFERROR(__xludf.DUMMYFUNCTION("GOOGLETRANSLATE(E133,""fr"",""it"")"),"Apprezzo Merlot e più birra in particolare.")</f>
        <v>Apprezzo Merlot e più birra in particolare.</v>
      </c>
    </row>
    <row r="134">
      <c r="A134" s="4">
        <v>132.0</v>
      </c>
      <c r="B134" s="5" t="s">
        <v>403</v>
      </c>
      <c r="C134" s="4">
        <v>0.0</v>
      </c>
      <c r="D134" s="5" t="s">
        <v>404</v>
      </c>
      <c r="E134" s="5" t="s">
        <v>405</v>
      </c>
      <c r="F134" s="6" t="str">
        <f>IFERROR(__xludf.DUMMYFUNCTION("GOOGLETRANSLATE(D134,""en"",""it"")"),"Mi piace la birra e più specificamente il merlot.")</f>
        <v>Mi piace la birra e più specificamente il merlot.</v>
      </c>
      <c r="G134" s="6" t="str">
        <f>IFERROR(__xludf.DUMMYFUNCTION("GOOGLETRANSLATE(E134,""fr"",""it"")"),"Apprezzo la birra e più in particolare Merlot.")</f>
        <v>Apprezzo la birra e più in particolare Merlot.</v>
      </c>
    </row>
    <row r="135">
      <c r="A135" s="4">
        <v>133.0</v>
      </c>
      <c r="B135" s="5" t="s">
        <v>406</v>
      </c>
      <c r="C135" s="4">
        <v>0.0</v>
      </c>
      <c r="D135" s="5" t="s">
        <v>407</v>
      </c>
      <c r="E135" s="5" t="s">
        <v>408</v>
      </c>
      <c r="F135" s="6" t="str">
        <f>IFERROR(__xludf.DUMMYFUNCTION("GOOGLETRANSLATE(D135,""en"",""it"")"),"Mi piacciono i calzini, tranne i vestiti.")</f>
        <v>Mi piacciono i calzini, tranne i vestiti.</v>
      </c>
      <c r="G135" s="6" t="str">
        <f>IFERROR(__xludf.DUMMYFUNCTION("GOOGLETRANSLATE(E135,""fr"",""it"")"),"Mi piacciono le scarpe, tranne i vestiti.")</f>
        <v>Mi piacciono le scarpe, tranne i vestiti.</v>
      </c>
    </row>
    <row r="136">
      <c r="A136" s="4">
        <v>134.0</v>
      </c>
      <c r="B136" s="5" t="s">
        <v>409</v>
      </c>
      <c r="C136" s="4">
        <v>0.0</v>
      </c>
      <c r="D136" s="5" t="s">
        <v>410</v>
      </c>
      <c r="E136" s="5" t="s">
        <v>411</v>
      </c>
      <c r="F136" s="6" t="str">
        <f>IFERROR(__xludf.DUMMYFUNCTION("GOOGLETRANSLATE(D136,""en"",""it"")"),"Mi piace il vino, e più specificamente birra.")</f>
        <v>Mi piace il vino, e più specificamente birra.</v>
      </c>
      <c r="G136" s="6" t="str">
        <f>IFERROR(__xludf.DUMMYFUNCTION("GOOGLETRANSLATE(E136,""fr"",""it"")"),"Apprezzo il vino, in particolare la birra.")</f>
        <v>Apprezzo il vino, in particolare la birra.</v>
      </c>
    </row>
    <row r="137">
      <c r="A137" s="4">
        <v>135.0</v>
      </c>
      <c r="B137" s="5" t="s">
        <v>412</v>
      </c>
      <c r="C137" s="4">
        <v>1.0</v>
      </c>
      <c r="D137" s="5" t="s">
        <v>413</v>
      </c>
      <c r="E137" s="5" t="s">
        <v>414</v>
      </c>
      <c r="F137" s="6" t="str">
        <f>IFERROR(__xludf.DUMMYFUNCTION("GOOGLETRANSLATE(D137,""en"",""it"")"),"Mi piacciono i vestiti, tranne i calzini.")</f>
        <v>Mi piacciono i vestiti, tranne i calzini.</v>
      </c>
      <c r="G137" s="6" t="str">
        <f>IFERROR(__xludf.DUMMYFUNCTION("GOOGLETRANSLATE(E137,""fr"",""it"")"),"Mi piacciono i vestiti, tranne le scarpe.")</f>
        <v>Mi piacciono i vestiti, tranne le scarpe.</v>
      </c>
    </row>
    <row r="138">
      <c r="A138" s="4">
        <v>136.0</v>
      </c>
      <c r="B138" s="5" t="s">
        <v>415</v>
      </c>
      <c r="C138" s="4">
        <v>0.0</v>
      </c>
      <c r="D138" s="5" t="s">
        <v>416</v>
      </c>
      <c r="E138" s="5" t="s">
        <v>417</v>
      </c>
      <c r="F138" s="6" t="str">
        <f>IFERROR(__xludf.DUMMYFUNCTION("GOOGLETRANSLATE(D138,""en"",""it"")"),"Mi piace Chardonnay e più specificamente coca-cola.")</f>
        <v>Mi piace Chardonnay e più specificamente coca-cola.</v>
      </c>
      <c r="G138" s="6" t="str">
        <f>IFERROR(__xludf.DUMMYFUNCTION("GOOGLETRANSLATE(E138,""fr"",""it"")"),"Apprezzo lo Chardonnay, e più particolarmente in particolare Coca Cola.")</f>
        <v>Apprezzo lo Chardonnay, e più particolarmente in particolare Coca Cola.</v>
      </c>
    </row>
    <row r="139">
      <c r="A139" s="4">
        <v>137.0</v>
      </c>
      <c r="B139" s="5" t="s">
        <v>418</v>
      </c>
      <c r="C139" s="4">
        <v>0.0</v>
      </c>
      <c r="D139" s="5" t="s">
        <v>419</v>
      </c>
      <c r="E139" s="5" t="s">
        <v>420</v>
      </c>
      <c r="F139" s="6" t="str">
        <f>IFERROR(__xludf.DUMMYFUNCTION("GOOGLETRANSLATE(D139,""en"",""it"")"),"Mi piace Coca-Cola, e più specificamente Chardonnay.")</f>
        <v>Mi piace Coca-Cola, e più specificamente Chardonnay.</v>
      </c>
      <c r="G139" s="6" t="str">
        <f>IFERROR(__xludf.DUMMYFUNCTION("GOOGLETRANSLATE(E139,""fr"",""it"")"),"Apprezzo Coca Cola, in particolare Chardonnay.")</f>
        <v>Apprezzo Coca Cola, in particolare Chardonnay.</v>
      </c>
    </row>
    <row r="140">
      <c r="A140" s="4">
        <v>138.0</v>
      </c>
      <c r="B140" s="5" t="s">
        <v>421</v>
      </c>
      <c r="C140" s="4">
        <v>0.0</v>
      </c>
      <c r="D140" s="5" t="s">
        <v>422</v>
      </c>
      <c r="E140" s="5" t="s">
        <v>423</v>
      </c>
      <c r="F140" s="6" t="str">
        <f>IFERROR(__xludf.DUMMYFUNCTION("GOOGLETRANSLATE(D140,""en"",""it"")"),"Mi piace Chardonnay, e più specificamente vino.")</f>
        <v>Mi piace Chardonnay, e più specificamente vino.</v>
      </c>
      <c r="G140" s="6" t="str">
        <f>IFERROR(__xludf.DUMMYFUNCTION("GOOGLETRANSLATE(E140,""fr"",""it"")"),"Apprezzo Chardonnay e più in particolare il vino.")</f>
        <v>Apprezzo Chardonnay e più in particolare il vino.</v>
      </c>
    </row>
    <row r="141">
      <c r="A141" s="4">
        <v>139.0</v>
      </c>
      <c r="B141" s="5" t="s">
        <v>424</v>
      </c>
      <c r="C141" s="4">
        <v>1.0</v>
      </c>
      <c r="D141" s="5" t="s">
        <v>425</v>
      </c>
      <c r="E141" s="5" t="s">
        <v>426</v>
      </c>
      <c r="F141" s="6" t="str">
        <f>IFERROR(__xludf.DUMMYFUNCTION("GOOGLETRANSLATE(D141,""en"",""it"")"),"Mi piace il vino, e più specificamente Chardonnay.")</f>
        <v>Mi piace il vino, e più specificamente Chardonnay.</v>
      </c>
      <c r="G141" s="6" t="str">
        <f>IFERROR(__xludf.DUMMYFUNCTION("GOOGLETRANSLATE(E141,""fr"",""it"")"),"Apprezzo il vino, in particolare Chardonnay.")</f>
        <v>Apprezzo il vino, in particolare Chardonnay.</v>
      </c>
    </row>
    <row r="142">
      <c r="A142" s="4">
        <v>140.0</v>
      </c>
      <c r="B142" s="5" t="s">
        <v>427</v>
      </c>
      <c r="C142" s="4">
        <v>0.0</v>
      </c>
      <c r="D142" s="5" t="s">
        <v>428</v>
      </c>
      <c r="E142" s="5" t="s">
        <v>429</v>
      </c>
      <c r="F142" s="6" t="str">
        <f>IFERROR(__xludf.DUMMYFUNCTION("GOOGLETRANSLATE(D142,""en"",""it"")"),"Mi piacciono Chardonnay, e più specificamente acqua.")</f>
        <v>Mi piacciono Chardonnay, e più specificamente acqua.</v>
      </c>
      <c r="G142" s="6" t="str">
        <f>IFERROR(__xludf.DUMMYFUNCTION("GOOGLETRANSLATE(E142,""fr"",""it"")"),"Apprezzo Chardonnay e più in particolare l'acqua.")</f>
        <v>Apprezzo Chardonnay e più in particolare l'acqua.</v>
      </c>
    </row>
    <row r="143">
      <c r="A143" s="4">
        <v>141.0</v>
      </c>
      <c r="B143" s="5" t="s">
        <v>430</v>
      </c>
      <c r="C143" s="4">
        <v>0.0</v>
      </c>
      <c r="D143" s="5" t="s">
        <v>431</v>
      </c>
      <c r="E143" s="5" t="s">
        <v>432</v>
      </c>
      <c r="F143" s="6" t="str">
        <f>IFERROR(__xludf.DUMMYFUNCTION("GOOGLETRANSLATE(D143,""en"",""it"")"),"Mi piace l'acqua e più specificamente Chardonnay.")</f>
        <v>Mi piace l'acqua e più specificamente Chardonnay.</v>
      </c>
      <c r="G143" s="6" t="str">
        <f>IFERROR(__xludf.DUMMYFUNCTION("GOOGLETRANSLATE(E143,""fr"",""it"")"),"Apprezzo l'acqua, specialmente lo Chardonnay.")</f>
        <v>Apprezzo l'acqua, specialmente lo Chardonnay.</v>
      </c>
    </row>
    <row r="144">
      <c r="A144" s="4">
        <v>142.0</v>
      </c>
      <c r="B144" s="5" t="s">
        <v>433</v>
      </c>
      <c r="C144" s="4">
        <v>0.0</v>
      </c>
      <c r="D144" s="5" t="s">
        <v>434</v>
      </c>
      <c r="E144" s="5" t="s">
        <v>435</v>
      </c>
      <c r="F144" s="6" t="str">
        <f>IFERROR(__xludf.DUMMYFUNCTION("GOOGLETRANSLATE(D144,""en"",""it"")"),"Mi piacciono i calzini, tranne i gioielli.")</f>
        <v>Mi piacciono i calzini, tranne i gioielli.</v>
      </c>
      <c r="G144" s="6" t="str">
        <f>IFERROR(__xludf.DUMMYFUNCTION("GOOGLETRANSLATE(E144,""fr"",""it"")"),"Adoro le scarpe, tranne i gioielli.")</f>
        <v>Adoro le scarpe, tranne i gioielli.</v>
      </c>
    </row>
    <row r="145">
      <c r="A145" s="4">
        <v>143.0</v>
      </c>
      <c r="B145" s="5" t="s">
        <v>436</v>
      </c>
      <c r="C145" s="4">
        <v>0.0</v>
      </c>
      <c r="D145" s="5" t="s">
        <v>437</v>
      </c>
      <c r="E145" s="5" t="s">
        <v>438</v>
      </c>
      <c r="F145" s="6" t="str">
        <f>IFERROR(__xludf.DUMMYFUNCTION("GOOGLETRANSLATE(D145,""en"",""it"")"),"Mi piace Chardonnay e più specificamente sprite.")</f>
        <v>Mi piace Chardonnay e più specificamente sprite.</v>
      </c>
      <c r="G145" s="6" t="str">
        <f>IFERROR(__xludf.DUMMYFUNCTION("GOOGLETRANSLATE(E145,""fr"",""it"")"),"Apprezzo Chardonnay e più particolarmente sprite.")</f>
        <v>Apprezzo Chardonnay e più particolarmente sprite.</v>
      </c>
    </row>
    <row r="146">
      <c r="A146" s="4">
        <v>144.0</v>
      </c>
      <c r="B146" s="5" t="s">
        <v>439</v>
      </c>
      <c r="C146" s="4">
        <v>0.0</v>
      </c>
      <c r="D146" s="5" t="s">
        <v>440</v>
      </c>
      <c r="E146" s="5" t="s">
        <v>441</v>
      </c>
      <c r="F146" s="6" t="str">
        <f>IFERROR(__xludf.DUMMYFUNCTION("GOOGLETRANSLATE(D146,""en"",""it"")"),"Mi piace Sprite, e più specificamente Chardonnay.")</f>
        <v>Mi piace Sprite, e più specificamente Chardonnay.</v>
      </c>
      <c r="G146" s="6" t="str">
        <f>IFERROR(__xludf.DUMMYFUNCTION("GOOGLETRANSLATE(E146,""fr"",""it"")"),"Apprezzo lo sprite, e più in particolare Chardonnay.")</f>
        <v>Apprezzo lo sprite, e più in particolare Chardonnay.</v>
      </c>
    </row>
    <row r="147">
      <c r="A147" s="4">
        <v>145.0</v>
      </c>
      <c r="B147" s="5" t="s">
        <v>442</v>
      </c>
      <c r="C147" s="4">
        <v>0.0</v>
      </c>
      <c r="D147" s="5" t="s">
        <v>443</v>
      </c>
      <c r="E147" s="5" t="s">
        <v>444</v>
      </c>
      <c r="F147" s="6" t="str">
        <f>IFERROR(__xludf.DUMMYFUNCTION("GOOGLETRANSLATE(D147,""en"",""it"")"),"Mi piace Chardonnay e più specificamente birra.")</f>
        <v>Mi piace Chardonnay e più specificamente birra.</v>
      </c>
      <c r="G147" s="6" t="str">
        <f>IFERROR(__xludf.DUMMYFUNCTION("GOOGLETRANSLATE(E147,""fr"",""it"")"),"Apprezzo Chardonnay e più in particolare la birra.")</f>
        <v>Apprezzo Chardonnay e più in particolare la birra.</v>
      </c>
    </row>
    <row r="148">
      <c r="A148" s="4">
        <v>146.0</v>
      </c>
      <c r="B148" s="5" t="s">
        <v>445</v>
      </c>
      <c r="C148" s="4">
        <v>0.0</v>
      </c>
      <c r="D148" s="5" t="s">
        <v>446</v>
      </c>
      <c r="E148" s="5" t="s">
        <v>447</v>
      </c>
      <c r="F148" s="6" t="str">
        <f>IFERROR(__xludf.DUMMYFUNCTION("GOOGLETRANSLATE(D148,""en"",""it"")"),"Mi piace la birra, e più specificamente chardonnay.")</f>
        <v>Mi piace la birra, e più specificamente chardonnay.</v>
      </c>
      <c r="G148" s="6" t="str">
        <f>IFERROR(__xludf.DUMMYFUNCTION("GOOGLETRANSLATE(E148,""fr"",""it"")"),"Apprezzo la birra, in particolare Chardonnay.")</f>
        <v>Apprezzo la birra, in particolare Chardonnay.</v>
      </c>
    </row>
    <row r="149">
      <c r="A149" s="4">
        <v>147.0</v>
      </c>
      <c r="B149" s="5" t="s">
        <v>448</v>
      </c>
      <c r="C149" s="4">
        <v>0.0</v>
      </c>
      <c r="D149" s="5" t="s">
        <v>449</v>
      </c>
      <c r="E149" s="5" t="s">
        <v>450</v>
      </c>
      <c r="F149" s="6" t="str">
        <f>IFERROR(__xludf.DUMMYFUNCTION("GOOGLETRANSLATE(D149,""en"",""it"")"),"Mi piacciono i gioielli, tranne i calzini.")</f>
        <v>Mi piacciono i gioielli, tranne i calzini.</v>
      </c>
      <c r="G149" s="6" t="str">
        <f>IFERROR(__xludf.DUMMYFUNCTION("GOOGLETRANSLATE(E149,""fr"",""it"")"),"Amo i gioielli, tranne le scarpe.")</f>
        <v>Amo i gioielli, tranne le scarpe.</v>
      </c>
    </row>
    <row r="150">
      <c r="A150" s="4">
        <v>148.0</v>
      </c>
      <c r="B150" s="5" t="s">
        <v>451</v>
      </c>
      <c r="C150" s="4">
        <v>0.0</v>
      </c>
      <c r="D150" s="5" t="s">
        <v>452</v>
      </c>
      <c r="E150" s="5" t="s">
        <v>453</v>
      </c>
      <c r="F150" s="6" t="str">
        <f>IFERROR(__xludf.DUMMYFUNCTION("GOOGLETRANSLATE(D150,""en"",""it"")"),"Mi piace il Chianti, e più specificamente coca-cola.")</f>
        <v>Mi piace il Chianti, e più specificamente coca-cola.</v>
      </c>
      <c r="G150" s="6" t="str">
        <f>IFERROR(__xludf.DUMMYFUNCTION("GOOGLETRANSLATE(E150,""fr"",""it"")"),"Apprezzo il Chianti e più particolarmente coca cola.")</f>
        <v>Apprezzo il Chianti e più particolarmente coca cola.</v>
      </c>
    </row>
    <row r="151">
      <c r="A151" s="4">
        <v>149.0</v>
      </c>
      <c r="B151" s="5" t="s">
        <v>454</v>
      </c>
      <c r="C151" s="4">
        <v>0.0</v>
      </c>
      <c r="D151" s="5" t="s">
        <v>455</v>
      </c>
      <c r="E151" s="5" t="s">
        <v>456</v>
      </c>
      <c r="F151" s="6" t="str">
        <f>IFERROR(__xludf.DUMMYFUNCTION("GOOGLETRANSLATE(D151,""en"",""it"")"),"Mi piace Coca-Cola, e più specificamente il Chianti.")</f>
        <v>Mi piace Coca-Cola, e più specificamente il Chianti.</v>
      </c>
      <c r="G151" s="6" t="str">
        <f>IFERROR(__xludf.DUMMYFUNCTION("GOOGLETRANSLATE(E151,""fr"",""it"")"),"Apprezzo Coca Cola e più in particolare il Chianti.")</f>
        <v>Apprezzo Coca Cola e più in particolare il Chianti.</v>
      </c>
    </row>
    <row r="152">
      <c r="A152" s="4">
        <v>150.0</v>
      </c>
      <c r="B152" s="5" t="s">
        <v>457</v>
      </c>
      <c r="C152" s="4">
        <v>0.0</v>
      </c>
      <c r="D152" s="5" t="s">
        <v>458</v>
      </c>
      <c r="E152" s="5" t="s">
        <v>459</v>
      </c>
      <c r="F152" s="6" t="str">
        <f>IFERROR(__xludf.DUMMYFUNCTION("GOOGLETRANSLATE(D152,""en"",""it"")"),"Mi piace il Chianti, e più specificamente vino.")</f>
        <v>Mi piace il Chianti, e più specificamente vino.</v>
      </c>
      <c r="G152" s="6" t="str">
        <f>IFERROR(__xludf.DUMMYFUNCTION("GOOGLETRANSLATE(E152,""fr"",""it"")"),"Apprezzo il Chianti e più in particolare il vino.")</f>
        <v>Apprezzo il Chianti e più in particolare il vino.</v>
      </c>
    </row>
    <row r="153">
      <c r="A153" s="4">
        <v>151.0</v>
      </c>
      <c r="B153" s="5" t="s">
        <v>460</v>
      </c>
      <c r="C153" s="4">
        <v>1.0</v>
      </c>
      <c r="D153" s="5" t="s">
        <v>461</v>
      </c>
      <c r="E153" s="5" t="s">
        <v>462</v>
      </c>
      <c r="F153" s="6" t="str">
        <f>IFERROR(__xludf.DUMMYFUNCTION("GOOGLETRANSLATE(D153,""en"",""it"")"),"Mi piace il vino, e più specificamente il Chianti.")</f>
        <v>Mi piace il vino, e più specificamente il Chianti.</v>
      </c>
      <c r="G153" s="6" t="str">
        <f>IFERROR(__xludf.DUMMYFUNCTION("GOOGLETRANSLATE(E153,""fr"",""it"")"),"Apprezzo il vino e più in particolare il Chianti.")</f>
        <v>Apprezzo il vino e più in particolare il Chianti.</v>
      </c>
    </row>
    <row r="154">
      <c r="A154" s="4">
        <v>152.0</v>
      </c>
      <c r="B154" s="5" t="s">
        <v>463</v>
      </c>
      <c r="C154" s="4">
        <v>0.0</v>
      </c>
      <c r="D154" s="5" t="s">
        <v>464</v>
      </c>
      <c r="E154" s="5" t="s">
        <v>465</v>
      </c>
      <c r="F154" s="6" t="str">
        <f>IFERROR(__xludf.DUMMYFUNCTION("GOOGLETRANSLATE(D154,""en"",""it"")"),"Mi piace il Chianti, e più specificamente acqua.")</f>
        <v>Mi piace il Chianti, e più specificamente acqua.</v>
      </c>
      <c r="G154" s="6" t="str">
        <f>IFERROR(__xludf.DUMMYFUNCTION("GOOGLETRANSLATE(E154,""fr"",""it"")"),"Apprezzo il Chianti e più in particolare l'acqua.")</f>
        <v>Apprezzo il Chianti e più in particolare l'acqua.</v>
      </c>
    </row>
    <row r="155">
      <c r="A155" s="4">
        <v>153.0</v>
      </c>
      <c r="B155" s="5" t="s">
        <v>466</v>
      </c>
      <c r="C155" s="4">
        <v>0.0</v>
      </c>
      <c r="D155" s="5" t="s">
        <v>467</v>
      </c>
      <c r="E155" s="5" t="s">
        <v>468</v>
      </c>
      <c r="F155" s="6" t="str">
        <f>IFERROR(__xludf.DUMMYFUNCTION("GOOGLETRANSLATE(D155,""en"",""it"")"),"Mi piace l'acqua e più specificamente il Chianti.")</f>
        <v>Mi piace l'acqua e più specificamente il Chianti.</v>
      </c>
      <c r="G155" s="6" t="str">
        <f>IFERROR(__xludf.DUMMYFUNCTION("GOOGLETRANSLATE(E155,""fr"",""it"")"),"Apprezzo l'acqua e più in particolare il Chianti.")</f>
        <v>Apprezzo l'acqua e più in particolare il Chianti.</v>
      </c>
    </row>
    <row r="156">
      <c r="A156" s="4">
        <v>154.0</v>
      </c>
      <c r="B156" s="5" t="s">
        <v>469</v>
      </c>
      <c r="C156" s="4">
        <v>0.0</v>
      </c>
      <c r="D156" s="5" t="s">
        <v>470</v>
      </c>
      <c r="E156" s="5" t="s">
        <v>471</v>
      </c>
      <c r="F156" s="6" t="str">
        <f>IFERROR(__xludf.DUMMYFUNCTION("GOOGLETRANSLATE(D156,""en"",""it"")"),"Mi piace il Chianti, e più specificamente sprite.")</f>
        <v>Mi piace il Chianti, e più specificamente sprite.</v>
      </c>
      <c r="G156" s="6" t="str">
        <f>IFERROR(__xludf.DUMMYFUNCTION("GOOGLETRANSLATE(E156,""fr"",""it"")"),"Apprezzo il Chianti e più particolarmente sprite.")</f>
        <v>Apprezzo il Chianti e più particolarmente sprite.</v>
      </c>
    </row>
    <row r="157">
      <c r="A157" s="4">
        <v>155.0</v>
      </c>
      <c r="B157" s="5" t="s">
        <v>472</v>
      </c>
      <c r="C157" s="4">
        <v>0.0</v>
      </c>
      <c r="D157" s="5" t="s">
        <v>473</v>
      </c>
      <c r="E157" s="5" t="s">
        <v>474</v>
      </c>
      <c r="F157" s="6" t="str">
        <f>IFERROR(__xludf.DUMMYFUNCTION("GOOGLETRANSLATE(D157,""en"",""it"")"),"Mi piace Sprite, e più specificamente il Chianti.")</f>
        <v>Mi piace Sprite, e più specificamente il Chianti.</v>
      </c>
      <c r="G157" s="6" t="str">
        <f>IFERROR(__xludf.DUMMYFUNCTION("GOOGLETRANSLATE(E157,""fr"",""it"")"),"Apprezzo lo sprite, e più in particolare il Chianti.")</f>
        <v>Apprezzo lo sprite, e più in particolare il Chianti.</v>
      </c>
    </row>
    <row r="158">
      <c r="A158" s="4">
        <v>156.0</v>
      </c>
      <c r="B158" s="5" t="s">
        <v>475</v>
      </c>
      <c r="C158" s="4">
        <v>0.0</v>
      </c>
      <c r="D158" s="5" t="s">
        <v>476</v>
      </c>
      <c r="E158" s="5" t="s">
        <v>477</v>
      </c>
      <c r="F158" s="6" t="str">
        <f>IFERROR(__xludf.DUMMYFUNCTION("GOOGLETRANSLATE(D158,""en"",""it"")"),"Mi piace il Chianti, e più specificamente birra.")</f>
        <v>Mi piace il Chianti, e più specificamente birra.</v>
      </c>
      <c r="G158" s="6" t="str">
        <f>IFERROR(__xludf.DUMMYFUNCTION("GOOGLETRANSLATE(E158,""fr"",""it"")"),"Apprezzo il Chianti, in particolare la birra.")</f>
        <v>Apprezzo il Chianti, in particolare la birra.</v>
      </c>
    </row>
    <row r="159">
      <c r="A159" s="4">
        <v>157.0</v>
      </c>
      <c r="B159" s="5" t="s">
        <v>478</v>
      </c>
      <c r="C159" s="4">
        <v>0.0</v>
      </c>
      <c r="D159" s="5" t="s">
        <v>479</v>
      </c>
      <c r="E159" s="5" t="s">
        <v>480</v>
      </c>
      <c r="F159" s="6" t="str">
        <f>IFERROR(__xludf.DUMMYFUNCTION("GOOGLETRANSLATE(D159,""en"",""it"")"),"Mi piace la birra e più specificamente il Chianti.")</f>
        <v>Mi piace la birra e più specificamente il Chianti.</v>
      </c>
      <c r="G159" s="6" t="str">
        <f>IFERROR(__xludf.DUMMYFUNCTION("GOOGLETRANSLATE(E159,""fr"",""it"")"),"Apprezzo la birra e più in particolare il Chianti.")</f>
        <v>Apprezzo la birra e più in particolare il Chianti.</v>
      </c>
    </row>
    <row r="160">
      <c r="A160" s="4">
        <v>158.0</v>
      </c>
      <c r="B160" s="5" t="s">
        <v>481</v>
      </c>
      <c r="C160" s="4">
        <v>0.0</v>
      </c>
      <c r="D160" s="5" t="s">
        <v>482</v>
      </c>
      <c r="E160" s="5" t="s">
        <v>483</v>
      </c>
      <c r="F160" s="6" t="str">
        <f>IFERROR(__xludf.DUMMYFUNCTION("GOOGLETRANSLATE(D160,""en"",""it"")"),"Mi piacciono i calzini, tranne gli occhiali.")</f>
        <v>Mi piacciono i calzini, tranne gli occhiali.</v>
      </c>
      <c r="G160" s="6" t="str">
        <f>IFERROR(__xludf.DUMMYFUNCTION("GOOGLETRANSLATE(E160,""fr"",""it"")"),"Adoro le scarpe, tranne gli occhiali.")</f>
        <v>Adoro le scarpe, tranne gli occhiali.</v>
      </c>
    </row>
    <row r="161">
      <c r="A161" s="4">
        <v>159.0</v>
      </c>
      <c r="B161" s="5" t="s">
        <v>484</v>
      </c>
      <c r="C161" s="4">
        <v>0.0</v>
      </c>
      <c r="D161" s="5" t="s">
        <v>485</v>
      </c>
      <c r="E161" s="5" t="s">
        <v>486</v>
      </c>
      <c r="F161" s="6" t="str">
        <f>IFERROR(__xludf.DUMMYFUNCTION("GOOGLETRANSLATE(D161,""en"",""it"")"),"Mi piacciono gli occhiali, tranne i calzini.")</f>
        <v>Mi piacciono gli occhiali, tranne i calzini.</v>
      </c>
      <c r="G161" s="6" t="str">
        <f>IFERROR(__xludf.DUMMYFUNCTION("GOOGLETRANSLATE(E161,""fr"",""it"")"),"Amo gli occhiali tranne le scarpe.")</f>
        <v>Amo gli occhiali tranne le scarpe.</v>
      </c>
    </row>
    <row r="162">
      <c r="A162" s="4">
        <v>160.0</v>
      </c>
      <c r="B162" s="5" t="s">
        <v>487</v>
      </c>
      <c r="C162" s="4">
        <v>0.0</v>
      </c>
      <c r="D162" s="5" t="s">
        <v>488</v>
      </c>
      <c r="E162" s="5" t="s">
        <v>489</v>
      </c>
      <c r="F162" s="6" t="str">
        <f>IFERROR(__xludf.DUMMYFUNCTION("GOOGLETRANSLATE(D162,""en"",""it"")"),"Mi piace Zinfandel, e più specificamente coca-cola.")</f>
        <v>Mi piace Zinfandel, e più specificamente coca-cola.</v>
      </c>
      <c r="G162" s="6" t="str">
        <f>IFERROR(__xludf.DUMMYFUNCTION("GOOGLETRANSLATE(E162,""fr"",""it"")"),"Apprezzo Cabernet Sauvignon e più in particolare Coca Cola.")</f>
        <v>Apprezzo Cabernet Sauvignon e più in particolare Coca Cola.</v>
      </c>
    </row>
    <row r="163">
      <c r="A163" s="4">
        <v>161.0</v>
      </c>
      <c r="B163" s="5" t="s">
        <v>490</v>
      </c>
      <c r="C163" s="4">
        <v>0.0</v>
      </c>
      <c r="D163" s="5" t="s">
        <v>491</v>
      </c>
      <c r="E163" s="5" t="s">
        <v>492</v>
      </c>
      <c r="F163" s="6" t="str">
        <f>IFERROR(__xludf.DUMMYFUNCTION("GOOGLETRANSLATE(D163,""en"",""it"")"),"Mi piace Coca-Cola, e più specificamente zinfandel.")</f>
        <v>Mi piace Coca-Cola, e più specificamente zinfandel.</v>
      </c>
      <c r="G163" s="6" t="str">
        <f>IFERROR(__xludf.DUMMYFUNCTION("GOOGLETRANSLATE(E163,""fr"",""it"")"),"Apprezzo Coca Cola, in particolare Cabernet Sauvignon.")</f>
        <v>Apprezzo Coca Cola, in particolare Cabernet Sauvignon.</v>
      </c>
    </row>
    <row r="164">
      <c r="A164" s="4">
        <v>162.0</v>
      </c>
      <c r="B164" s="5" t="s">
        <v>493</v>
      </c>
      <c r="C164" s="4">
        <v>0.0</v>
      </c>
      <c r="D164" s="5" t="s">
        <v>494</v>
      </c>
      <c r="E164" s="5" t="s">
        <v>495</v>
      </c>
      <c r="F164" s="6" t="str">
        <f>IFERROR(__xludf.DUMMYFUNCTION("GOOGLETRANSLATE(D164,""en"",""it"")"),"Mi piace Zinfandel, e più specificamente vino.")</f>
        <v>Mi piace Zinfandel, e più specificamente vino.</v>
      </c>
      <c r="G164" s="6" t="str">
        <f>IFERROR(__xludf.DUMMYFUNCTION("GOOGLETRANSLATE(E164,""fr"",""it"")"),"Apprezzo Cabernet Sauvignon e più in particolare il vino.")</f>
        <v>Apprezzo Cabernet Sauvignon e più in particolare il vino.</v>
      </c>
    </row>
    <row r="165">
      <c r="A165" s="4">
        <v>163.0</v>
      </c>
      <c r="B165" s="5" t="s">
        <v>496</v>
      </c>
      <c r="C165" s="4">
        <v>1.0</v>
      </c>
      <c r="D165" s="5" t="s">
        <v>497</v>
      </c>
      <c r="E165" s="5" t="s">
        <v>498</v>
      </c>
      <c r="F165" s="6" t="str">
        <f>IFERROR(__xludf.DUMMYFUNCTION("GOOGLETRANSLATE(D165,""en"",""it"")"),"Mi piace il vino, e più specificamente zinfandel.")</f>
        <v>Mi piace il vino, e più specificamente zinfandel.</v>
      </c>
      <c r="G165" s="6" t="str">
        <f>IFERROR(__xludf.DUMMYFUNCTION("GOOGLETRANSLATE(E165,""fr"",""it"")"),"Apprezzo il vino, in particolare il Cabernet Sauvignon.")</f>
        <v>Apprezzo il vino, in particolare il Cabernet Sauvignon.</v>
      </c>
    </row>
    <row r="166">
      <c r="A166" s="4">
        <v>164.0</v>
      </c>
      <c r="B166" s="5" t="s">
        <v>499</v>
      </c>
      <c r="C166" s="4">
        <v>0.0</v>
      </c>
      <c r="D166" s="5" t="s">
        <v>500</v>
      </c>
      <c r="E166" s="5" t="s">
        <v>501</v>
      </c>
      <c r="F166" s="6" t="str">
        <f>IFERROR(__xludf.DUMMYFUNCTION("GOOGLETRANSLATE(D166,""en"",""it"")"),"Mi piace Zinfandel e più specificamente acqua.")</f>
        <v>Mi piace Zinfandel e più specificamente acqua.</v>
      </c>
      <c r="G166" s="6" t="str">
        <f>IFERROR(__xludf.DUMMYFUNCTION("GOOGLETRANSLATE(E166,""fr"",""it"")"),"Apprezzo il Cabernet Sauvignon e più in particolare l'acqua.")</f>
        <v>Apprezzo il Cabernet Sauvignon e più in particolare l'acqua.</v>
      </c>
    </row>
    <row r="167">
      <c r="A167" s="4">
        <v>165.0</v>
      </c>
      <c r="B167" s="5" t="s">
        <v>502</v>
      </c>
      <c r="C167" s="4">
        <v>0.0</v>
      </c>
      <c r="D167" s="5" t="s">
        <v>503</v>
      </c>
      <c r="E167" s="5" t="s">
        <v>504</v>
      </c>
      <c r="F167" s="6" t="str">
        <f>IFERROR(__xludf.DUMMYFUNCTION("GOOGLETRANSLATE(D167,""en"",""it"")"),"Mi piace l'acqua e più specificamente zinfandel.")</f>
        <v>Mi piace l'acqua e più specificamente zinfandel.</v>
      </c>
      <c r="G167" s="6" t="str">
        <f>IFERROR(__xludf.DUMMYFUNCTION("GOOGLETRANSLATE(E167,""fr"",""it"")"),"Apprezzo l'acqua, in particolare il Cabernet Sauvignon.")</f>
        <v>Apprezzo l'acqua, in particolare il Cabernet Sauvignon.</v>
      </c>
    </row>
    <row r="168">
      <c r="A168" s="4">
        <v>166.0</v>
      </c>
      <c r="B168" s="5" t="s">
        <v>505</v>
      </c>
      <c r="C168" s="4">
        <v>0.0</v>
      </c>
      <c r="D168" s="5" t="s">
        <v>506</v>
      </c>
      <c r="E168" s="5" t="s">
        <v>507</v>
      </c>
      <c r="F168" s="6" t="str">
        <f>IFERROR(__xludf.DUMMYFUNCTION("GOOGLETRANSLATE(D168,""en"",""it"")"),"Mi piace Zinfandel e più specificamente sprite.")</f>
        <v>Mi piace Zinfandel e più specificamente sprite.</v>
      </c>
      <c r="G168" s="6" t="str">
        <f>IFERROR(__xludf.DUMMYFUNCTION("GOOGLETRANSLATE(E168,""fr"",""it"")"),"Apprezzo Cabernet Sauvignon e più particolarmente sprite.")</f>
        <v>Apprezzo Cabernet Sauvignon e più particolarmente sprite.</v>
      </c>
    </row>
    <row r="169">
      <c r="A169" s="4">
        <v>167.0</v>
      </c>
      <c r="B169" s="5" t="s">
        <v>508</v>
      </c>
      <c r="C169" s="4">
        <v>0.0</v>
      </c>
      <c r="D169" s="5" t="s">
        <v>509</v>
      </c>
      <c r="E169" s="5" t="s">
        <v>510</v>
      </c>
      <c r="F169" s="6" t="str">
        <f>IFERROR(__xludf.DUMMYFUNCTION("GOOGLETRANSLATE(D169,""en"",""it"")"),"Mi piace Sprite, e più specificamente Zinfandel.")</f>
        <v>Mi piace Sprite, e più specificamente Zinfandel.</v>
      </c>
      <c r="G169" s="6" t="str">
        <f>IFERROR(__xludf.DUMMYFUNCTION("GOOGLETRANSLATE(E169,""fr"",""it"")"),"Apprezzo lo sprite, e più in particolare Cabernet Sauvignon.")</f>
        <v>Apprezzo lo sprite, e più in particolare Cabernet Sauvignon.</v>
      </c>
    </row>
    <row r="170">
      <c r="A170" s="4">
        <v>168.0</v>
      </c>
      <c r="B170" s="5" t="s">
        <v>511</v>
      </c>
      <c r="C170" s="4">
        <v>0.0</v>
      </c>
      <c r="D170" s="5" t="s">
        <v>512</v>
      </c>
      <c r="E170" s="5" t="s">
        <v>513</v>
      </c>
      <c r="F170" s="6" t="str">
        <f>IFERROR(__xludf.DUMMYFUNCTION("GOOGLETRANSLATE(D170,""en"",""it"")"),"Mi piace Zinfandel e più specificamente birra.")</f>
        <v>Mi piace Zinfandel e più specificamente birra.</v>
      </c>
      <c r="G170" s="6" t="str">
        <f>IFERROR(__xludf.DUMMYFUNCTION("GOOGLETRANSLATE(E170,""fr"",""it"")"),"Apprezzo Cabernet Sauvignon, in particolare la birra.")</f>
        <v>Apprezzo Cabernet Sauvignon, in particolare la birra.</v>
      </c>
    </row>
    <row r="171">
      <c r="A171" s="4">
        <v>169.0</v>
      </c>
      <c r="B171" s="5" t="s">
        <v>514</v>
      </c>
      <c r="C171" s="4">
        <v>0.0</v>
      </c>
      <c r="D171" s="5" t="s">
        <v>515</v>
      </c>
      <c r="E171" s="5" t="s">
        <v>516</v>
      </c>
      <c r="F171" s="6" t="str">
        <f>IFERROR(__xludf.DUMMYFUNCTION("GOOGLETRANSLATE(D171,""en"",""it"")"),"Mi piace la birra e più specificamente zinfandel.")</f>
        <v>Mi piace la birra e più specificamente zinfandel.</v>
      </c>
      <c r="G171" s="6" t="str">
        <f>IFERROR(__xludf.DUMMYFUNCTION("GOOGLETRANSLATE(E171,""fr"",""it"")"),"Apprezzo la birra, in particolare il Cabernet Sauvignon.")</f>
        <v>Apprezzo la birra, in particolare il Cabernet Sauvignon.</v>
      </c>
    </row>
    <row r="172">
      <c r="A172" s="4">
        <v>170.0</v>
      </c>
      <c r="B172" s="5" t="s">
        <v>517</v>
      </c>
      <c r="C172" s="4">
        <v>0.0</v>
      </c>
      <c r="D172" s="5" t="s">
        <v>518</v>
      </c>
      <c r="E172" s="5" t="s">
        <v>519</v>
      </c>
      <c r="F172" s="6" t="str">
        <f>IFERROR(__xludf.DUMMYFUNCTION("GOOGLETRANSLATE(D172,""en"",""it"")"),"Mi piacciono i calzini, tranne gli orecchini.")</f>
        <v>Mi piacciono i calzini, tranne gli orecchini.</v>
      </c>
      <c r="G172" s="6" t="str">
        <f>IFERROR(__xludf.DUMMYFUNCTION("GOOGLETRANSLATE(E172,""fr"",""it"")"),"Mi piacciono le scarpe, tranne gli orecchini.")</f>
        <v>Mi piacciono le scarpe, tranne gli orecchini.</v>
      </c>
    </row>
    <row r="173">
      <c r="A173" s="4">
        <v>171.0</v>
      </c>
      <c r="B173" s="5" t="s">
        <v>520</v>
      </c>
      <c r="C173" s="4">
        <v>0.0</v>
      </c>
      <c r="D173" s="5" t="s">
        <v>521</v>
      </c>
      <c r="E173" s="5" t="s">
        <v>522</v>
      </c>
      <c r="F173" s="6" t="str">
        <f>IFERROR(__xludf.DUMMYFUNCTION("GOOGLETRANSLATE(D173,""en"",""it"")"),"Mi piacciono gli orecchini, tranne i calzini.")</f>
        <v>Mi piacciono gli orecchini, tranne i calzini.</v>
      </c>
      <c r="G173" s="6" t="str">
        <f>IFERROR(__xludf.DUMMYFUNCTION("GOOGLETRANSLATE(E173,""fr"",""it"")"),"Mi piacciono gli orecchini, tranne le scarpe.")</f>
        <v>Mi piacciono gli orecchini, tranne le scarpe.</v>
      </c>
    </row>
    <row r="174">
      <c r="A174" s="4">
        <v>172.0</v>
      </c>
      <c r="B174" s="5" t="s">
        <v>523</v>
      </c>
      <c r="C174" s="4">
        <v>0.0</v>
      </c>
      <c r="D174" s="5" t="s">
        <v>524</v>
      </c>
      <c r="E174" s="5" t="s">
        <v>525</v>
      </c>
      <c r="F174" s="6" t="str">
        <f>IFERROR(__xludf.DUMMYFUNCTION("GOOGLETRANSLATE(D174,""en"",""it"")"),"Mi piacciono le gonne, tranne le scarpe.")</f>
        <v>Mi piacciono le gonne, tranne le scarpe.</v>
      </c>
      <c r="G174" s="6" t="str">
        <f>IFERROR(__xludf.DUMMYFUNCTION("GOOGLETRANSLATE(E174,""fr"",""it"")"),"Mi piacciono le gonne, tranne le scarpe.")</f>
        <v>Mi piacciono le gonne, tranne le scarpe.</v>
      </c>
    </row>
    <row r="175">
      <c r="A175" s="4">
        <v>173.0</v>
      </c>
      <c r="B175" s="5" t="s">
        <v>526</v>
      </c>
      <c r="C175" s="4">
        <v>0.0</v>
      </c>
      <c r="D175" s="5" t="s">
        <v>527</v>
      </c>
      <c r="E175" s="5" t="s">
        <v>528</v>
      </c>
      <c r="F175" s="6" t="str">
        <f>IFERROR(__xludf.DUMMYFUNCTION("GOOGLETRANSLATE(D175,""en"",""it"")"),"Mi piacciono le scarpe, tranne le gonne.")</f>
        <v>Mi piacciono le scarpe, tranne le gonne.</v>
      </c>
      <c r="G175" s="6" t="str">
        <f>IFERROR(__xludf.DUMMYFUNCTION("GOOGLETRANSLATE(E175,""fr"",""it"")"),"Amo le scarpe tranne le gonne.")</f>
        <v>Amo le scarpe tranne le gonne.</v>
      </c>
    </row>
    <row r="176">
      <c r="A176" s="4">
        <v>174.0</v>
      </c>
      <c r="B176" s="5" t="s">
        <v>529</v>
      </c>
      <c r="C176" s="4">
        <v>0.0</v>
      </c>
      <c r="D176" s="5" t="s">
        <v>530</v>
      </c>
      <c r="E176" s="5" t="s">
        <v>531</v>
      </c>
      <c r="F176" s="6" t="str">
        <f>IFERROR(__xludf.DUMMYFUNCTION("GOOGLETRANSLATE(D176,""en"",""it"")"),"Mi piacciono le gonne, tranne i vestiti.")</f>
        <v>Mi piacciono le gonne, tranne i vestiti.</v>
      </c>
      <c r="G176" s="6" t="str">
        <f>IFERROR(__xludf.DUMMYFUNCTION("GOOGLETRANSLATE(E176,""fr"",""it"")"),"Mi piacciono le gonne, tranne i vestiti.")</f>
        <v>Mi piacciono le gonne, tranne i vestiti.</v>
      </c>
    </row>
    <row r="177">
      <c r="A177" s="4">
        <v>175.0</v>
      </c>
      <c r="B177" s="5" t="s">
        <v>532</v>
      </c>
      <c r="C177" s="4">
        <v>1.0</v>
      </c>
      <c r="D177" s="5" t="s">
        <v>533</v>
      </c>
      <c r="E177" s="5" t="s">
        <v>534</v>
      </c>
      <c r="F177" s="6" t="str">
        <f>IFERROR(__xludf.DUMMYFUNCTION("GOOGLETRANSLATE(D177,""en"",""it"")"),"Mi piacciono i vestiti, tranne le gonne.")</f>
        <v>Mi piacciono i vestiti, tranne le gonne.</v>
      </c>
      <c r="G177" s="6" t="str">
        <f>IFERROR(__xludf.DUMMYFUNCTION("GOOGLETRANSLATE(E177,""fr"",""it"")"),"Mi piacciono i vestiti tranne le gonne.")</f>
        <v>Mi piacciono i vestiti tranne le gonne.</v>
      </c>
    </row>
    <row r="178">
      <c r="A178" s="4">
        <v>176.0</v>
      </c>
      <c r="B178" s="5" t="s">
        <v>535</v>
      </c>
      <c r="C178" s="4">
        <v>0.0</v>
      </c>
      <c r="D178" s="5" t="s">
        <v>536</v>
      </c>
      <c r="E178" s="5" t="s">
        <v>537</v>
      </c>
      <c r="F178" s="6" t="str">
        <f>IFERROR(__xludf.DUMMYFUNCTION("GOOGLETRANSLATE(D178,""en"",""it"")"),"Mi piacciono le gonne, tranne i gioielli.")</f>
        <v>Mi piacciono le gonne, tranne i gioielli.</v>
      </c>
      <c r="G178" s="6" t="str">
        <f>IFERROR(__xludf.DUMMYFUNCTION("GOOGLETRANSLATE(E178,""fr"",""it"")"),"Mi piacciono le gonne, tranne i gioielli.")</f>
        <v>Mi piacciono le gonne, tranne i gioielli.</v>
      </c>
    </row>
    <row r="179">
      <c r="A179" s="4">
        <v>177.0</v>
      </c>
      <c r="B179" s="5" t="s">
        <v>538</v>
      </c>
      <c r="C179" s="4">
        <v>0.0</v>
      </c>
      <c r="D179" s="5" t="s">
        <v>539</v>
      </c>
      <c r="E179" s="5" t="s">
        <v>540</v>
      </c>
      <c r="F179" s="6" t="str">
        <f>IFERROR(__xludf.DUMMYFUNCTION("GOOGLETRANSLATE(D179,""en"",""it"")"),"Mi piacciono i gioielli, tranne le gonne.")</f>
        <v>Mi piacciono i gioielli, tranne le gonne.</v>
      </c>
      <c r="G179" s="6" t="str">
        <f>IFERROR(__xludf.DUMMYFUNCTION("GOOGLETRANSLATE(E179,""fr"",""it"")"),"Mi piacciono i gioielli, tranne le gonne.")</f>
        <v>Mi piacciono i gioielli, tranne le gonne.</v>
      </c>
    </row>
    <row r="180">
      <c r="A180" s="4">
        <v>178.0</v>
      </c>
      <c r="B180" s="5" t="s">
        <v>541</v>
      </c>
      <c r="C180" s="4">
        <v>0.0</v>
      </c>
      <c r="D180" s="5" t="s">
        <v>542</v>
      </c>
      <c r="E180" s="5" t="s">
        <v>543</v>
      </c>
      <c r="F180" s="6" t="str">
        <f>IFERROR(__xludf.DUMMYFUNCTION("GOOGLETRANSLATE(D180,""en"",""it"")"),"Mi piace il rock, e più specificamente sport.")</f>
        <v>Mi piace il rock, e più specificamente sport.</v>
      </c>
      <c r="G180" s="6" t="str">
        <f>IFERROR(__xludf.DUMMYFUNCTION("GOOGLETRANSLATE(E180,""fr"",""it"")"),"Apprezzo il rock e più sportivi in ​​particolare.")</f>
        <v>Apprezzo il rock e più sportivi in ​​particolare.</v>
      </c>
    </row>
    <row r="181">
      <c r="A181" s="4">
        <v>179.0</v>
      </c>
      <c r="B181" s="5" t="s">
        <v>544</v>
      </c>
      <c r="C181" s="4">
        <v>0.0</v>
      </c>
      <c r="D181" s="5" t="s">
        <v>545</v>
      </c>
      <c r="E181" s="5" t="s">
        <v>546</v>
      </c>
      <c r="F181" s="6" t="str">
        <f>IFERROR(__xludf.DUMMYFUNCTION("GOOGLETRANSLATE(D181,""en"",""it"")"),"Mi piacciono gli sport e più specificamente rock.")</f>
        <v>Mi piacciono gli sport e più specificamente rock.</v>
      </c>
      <c r="G181" s="6" t="str">
        <f>IFERROR(__xludf.DUMMYFUNCTION("GOOGLETRANSLATE(E181,""fr"",""it"")"),"Apprezzo gli sport e più in particolare rock.")</f>
        <v>Apprezzo gli sport e più in particolare rock.</v>
      </c>
    </row>
    <row r="182">
      <c r="A182" s="4">
        <v>180.0</v>
      </c>
      <c r="B182" s="5" t="s">
        <v>547</v>
      </c>
      <c r="C182" s="4">
        <v>0.0</v>
      </c>
      <c r="D182" s="5" t="s">
        <v>548</v>
      </c>
      <c r="E182" s="5" t="s">
        <v>549</v>
      </c>
      <c r="F182" s="6" t="str">
        <f>IFERROR(__xludf.DUMMYFUNCTION("GOOGLETRANSLATE(D182,""en"",""it"")"),"Mi piace il rock, e più specificamente musica.")</f>
        <v>Mi piace il rock, e più specificamente musica.</v>
      </c>
      <c r="G182" s="6" t="str">
        <f>IFERROR(__xludf.DUMMYFUNCTION("GOOGLETRANSLATE(E182,""fr"",""it"")"),"Apprezzo la roccia e più in particolare la musica.")</f>
        <v>Apprezzo la roccia e più in particolare la musica.</v>
      </c>
    </row>
    <row r="183">
      <c r="A183" s="4">
        <v>181.0</v>
      </c>
      <c r="B183" s="5" t="s">
        <v>550</v>
      </c>
      <c r="C183" s="4">
        <v>1.0</v>
      </c>
      <c r="D183" s="5" t="s">
        <v>551</v>
      </c>
      <c r="E183" s="5" t="s">
        <v>552</v>
      </c>
      <c r="F183" s="6" t="str">
        <f>IFERROR(__xludf.DUMMYFUNCTION("GOOGLETRANSLATE(D183,""en"",""it"")"),"Mi piace la musica e più specificamente rock.")</f>
        <v>Mi piace la musica e più specificamente rock.</v>
      </c>
      <c r="G183" s="6" t="str">
        <f>IFERROR(__xludf.DUMMYFUNCTION("GOOGLETRANSLATE(E183,""fr"",""it"")"),"Apprezzo la musica e più in particolare rock.")</f>
        <v>Apprezzo la musica e più in particolare rock.</v>
      </c>
    </row>
    <row r="184">
      <c r="A184" s="4">
        <v>182.0</v>
      </c>
      <c r="B184" s="5" t="s">
        <v>553</v>
      </c>
      <c r="C184" s="4">
        <v>0.0</v>
      </c>
      <c r="D184" s="5" t="s">
        <v>554</v>
      </c>
      <c r="E184" s="5" t="s">
        <v>555</v>
      </c>
      <c r="F184" s="6" t="str">
        <f>IFERROR(__xludf.DUMMYFUNCTION("GOOGLETRANSLATE(D184,""en"",""it"")"),"Mi piace la musica e più specificamente sport.")</f>
        <v>Mi piace la musica e più specificamente sport.</v>
      </c>
      <c r="G184" s="6" t="str">
        <f>IFERROR(__xludf.DUMMYFUNCTION("GOOGLETRANSLATE(E184,""fr"",""it"")"),"Apprezzo la musica, soprattutto lo sport.")</f>
        <v>Apprezzo la musica, soprattutto lo sport.</v>
      </c>
    </row>
    <row r="185">
      <c r="A185" s="4">
        <v>183.0</v>
      </c>
      <c r="B185" s="5" t="s">
        <v>556</v>
      </c>
      <c r="C185" s="4">
        <v>0.0</v>
      </c>
      <c r="D185" s="5" t="s">
        <v>557</v>
      </c>
      <c r="E185" s="5" t="s">
        <v>558</v>
      </c>
      <c r="F185" s="6" t="str">
        <f>IFERROR(__xludf.DUMMYFUNCTION("GOOGLETRANSLATE(D185,""en"",""it"")"),"Mi piace il rock, e più in particolare i cortili.")</f>
        <v>Mi piace il rock, e più in particolare i cortili.</v>
      </c>
      <c r="G185" s="6" t="str">
        <f>IFERROR(__xludf.DUMMYFUNCTION("GOOGLETRANSLATE(E185,""fr"",""it"")"),"Apprezzo il rock, e più in particolare i giochi da tavolo.")</f>
        <v>Apprezzo il rock, e più in particolare i giochi da tavolo.</v>
      </c>
    </row>
    <row r="186">
      <c r="A186" s="4">
        <v>184.0</v>
      </c>
      <c r="B186" s="5" t="s">
        <v>559</v>
      </c>
      <c r="C186" s="4">
        <v>0.0</v>
      </c>
      <c r="D186" s="5" t="s">
        <v>560</v>
      </c>
      <c r="E186" s="5" t="s">
        <v>561</v>
      </c>
      <c r="F186" s="6" t="str">
        <f>IFERROR(__xludf.DUMMYFUNCTION("GOOGLETRANSLATE(D186,""en"",""it"")"),"Mi piacciono i boardgames, e più specificamente rock.")</f>
        <v>Mi piacciono i boardgames, e più specificamente rock.</v>
      </c>
      <c r="G186" s="6" t="str">
        <f>IFERROR(__xludf.DUMMYFUNCTION("GOOGLETRANSLATE(E186,""fr"",""it"")"),"Apprezzo i giochi da tavolo e più in particolare rock.")</f>
        <v>Apprezzo i giochi da tavolo e più in particolare rock.</v>
      </c>
    </row>
    <row r="187">
      <c r="A187" s="4">
        <v>185.0</v>
      </c>
      <c r="B187" s="5" t="s">
        <v>562</v>
      </c>
      <c r="C187" s="4">
        <v>0.0</v>
      </c>
      <c r="D187" s="5" t="s">
        <v>563</v>
      </c>
      <c r="E187" s="5" t="s">
        <v>564</v>
      </c>
      <c r="F187" s="6" t="str">
        <f>IFERROR(__xludf.DUMMYFUNCTION("GOOGLETRANSLATE(D187,""en"",""it"")"),"Mi piace la musica e più in particolare i corvolgitori.")</f>
        <v>Mi piace la musica e più in particolare i corvolgitori.</v>
      </c>
      <c r="G187" s="6" t="str">
        <f>IFERROR(__xludf.DUMMYFUNCTION("GOOGLETRANSLATE(E187,""fr"",""it"")"),"Apprezzo la musica e più in particolare i giochi da tavolo.")</f>
        <v>Apprezzo la musica e più in particolare i giochi da tavolo.</v>
      </c>
    </row>
    <row r="188">
      <c r="A188" s="4">
        <v>186.0</v>
      </c>
      <c r="B188" s="5" t="s">
        <v>565</v>
      </c>
      <c r="C188" s="4">
        <v>0.0</v>
      </c>
      <c r="D188" s="5" t="s">
        <v>566</v>
      </c>
      <c r="E188" s="5" t="s">
        <v>567</v>
      </c>
      <c r="F188" s="6" t="str">
        <f>IFERROR(__xludf.DUMMYFUNCTION("GOOGLETRANSLATE(D188,""en"",""it"")"),"Mi piace il rock, e più specificamente cibo.")</f>
        <v>Mi piace il rock, e più specificamente cibo.</v>
      </c>
      <c r="G188" s="6" t="str">
        <f>IFERROR(__xludf.DUMMYFUNCTION("GOOGLETRANSLATE(E188,""fr"",""it"")"),"Apprezzo il rock, e più cibo particolarmente.")</f>
        <v>Apprezzo il rock, e più cibo particolarmente.</v>
      </c>
    </row>
    <row r="189">
      <c r="A189" s="4">
        <v>187.0</v>
      </c>
      <c r="B189" s="5" t="s">
        <v>568</v>
      </c>
      <c r="C189" s="4">
        <v>0.0</v>
      </c>
      <c r="D189" s="5" t="s">
        <v>569</v>
      </c>
      <c r="E189" s="5" t="s">
        <v>570</v>
      </c>
      <c r="F189" s="6" t="str">
        <f>IFERROR(__xludf.DUMMYFUNCTION("GOOGLETRANSLATE(D189,""en"",""it"")"),"Mi piace il cibo e più specificamente rock.")</f>
        <v>Mi piace il cibo e più specificamente rock.</v>
      </c>
      <c r="G189" s="6" t="str">
        <f>IFERROR(__xludf.DUMMYFUNCTION("GOOGLETRANSLATE(E189,""fr"",""it"")"),"Apprezzo il cibo e più in particolare rock.")</f>
        <v>Apprezzo il cibo e più in particolare rock.</v>
      </c>
    </row>
    <row r="190">
      <c r="A190" s="4">
        <v>188.0</v>
      </c>
      <c r="B190" s="5" t="s">
        <v>571</v>
      </c>
      <c r="C190" s="4">
        <v>0.0</v>
      </c>
      <c r="D190" s="5" t="s">
        <v>572</v>
      </c>
      <c r="E190" s="5" t="s">
        <v>573</v>
      </c>
      <c r="F190" s="6" t="str">
        <f>IFERROR(__xludf.DUMMYFUNCTION("GOOGLETRANSLATE(D190,""en"",""it"")"),"Mi piace la musica, e più specificamente cibo.")</f>
        <v>Mi piace la musica, e più specificamente cibo.</v>
      </c>
      <c r="G190" s="6" t="str">
        <f>IFERROR(__xludf.DUMMYFUNCTION("GOOGLETRANSLATE(E190,""fr"",""it"")"),"Apprezzo la musica e più cibo particolarmente.")</f>
        <v>Apprezzo la musica e più cibo particolarmente.</v>
      </c>
    </row>
    <row r="191">
      <c r="A191" s="4">
        <v>189.0</v>
      </c>
      <c r="B191" s="5" t="s">
        <v>574</v>
      </c>
      <c r="C191" s="4">
        <v>0.0</v>
      </c>
      <c r="D191" s="5" t="s">
        <v>575</v>
      </c>
      <c r="E191" s="5" t="s">
        <v>576</v>
      </c>
      <c r="F191" s="6" t="str">
        <f>IFERROR(__xludf.DUMMYFUNCTION("GOOGLETRANSLATE(D191,""en"",""it"")"),"Mi piace il rock, e più specificamente gioielli.")</f>
        <v>Mi piace il rock, e più specificamente gioielli.</v>
      </c>
      <c r="G191" s="6" t="str">
        <f>IFERROR(__xludf.DUMMYFUNCTION("GOOGLETRANSLATE(E191,""fr"",""it"")"),"Apprezzo il rock, soprattutto gioielli.")</f>
        <v>Apprezzo il rock, soprattutto gioielli.</v>
      </c>
    </row>
    <row r="192">
      <c r="A192" s="4">
        <v>190.0</v>
      </c>
      <c r="B192" s="5" t="s">
        <v>577</v>
      </c>
      <c r="C192" s="4">
        <v>0.0</v>
      </c>
      <c r="D192" s="5" t="s">
        <v>578</v>
      </c>
      <c r="E192" s="5" t="s">
        <v>579</v>
      </c>
      <c r="F192" s="6" t="str">
        <f>IFERROR(__xludf.DUMMYFUNCTION("GOOGLETRANSLATE(D192,""en"",""it"")"),"Mi piacciono i gioielli e più specificamente rock.")</f>
        <v>Mi piacciono i gioielli e più specificamente rock.</v>
      </c>
      <c r="G192" s="6" t="str">
        <f>IFERROR(__xludf.DUMMYFUNCTION("GOOGLETRANSLATE(E192,""fr"",""it"")"),"Apprezzo i gioielli e più in particolare rock.")</f>
        <v>Apprezzo i gioielli e più in particolare rock.</v>
      </c>
    </row>
    <row r="193">
      <c r="A193" s="4">
        <v>191.0</v>
      </c>
      <c r="B193" s="5" t="s">
        <v>580</v>
      </c>
      <c r="C193" s="4">
        <v>0.0</v>
      </c>
      <c r="D193" s="5" t="s">
        <v>581</v>
      </c>
      <c r="E193" s="5" t="s">
        <v>582</v>
      </c>
      <c r="F193" s="6" t="str">
        <f>IFERROR(__xludf.DUMMYFUNCTION("GOOGLETRANSLATE(D193,""en"",""it"")"),"Mi piacciono le gonne, tranne gli occhiali.")</f>
        <v>Mi piacciono le gonne, tranne gli occhiali.</v>
      </c>
      <c r="G193" s="6" t="str">
        <f>IFERROR(__xludf.DUMMYFUNCTION("GOOGLETRANSLATE(E193,""fr"",""it"")"),"Mi piacciono le gonne, tranne gli occhiali.")</f>
        <v>Mi piacciono le gonne, tranne gli occhiali.</v>
      </c>
    </row>
    <row r="194">
      <c r="A194" s="4">
        <v>192.0</v>
      </c>
      <c r="B194" s="5" t="s">
        <v>583</v>
      </c>
      <c r="C194" s="4">
        <v>0.0</v>
      </c>
      <c r="D194" s="5" t="s">
        <v>584</v>
      </c>
      <c r="E194" s="5" t="s">
        <v>585</v>
      </c>
      <c r="F194" s="6" t="str">
        <f>IFERROR(__xludf.DUMMYFUNCTION("GOOGLETRANSLATE(D194,""en"",""it"")"),"Mi piace la musica e più specificamente gioielli.")</f>
        <v>Mi piace la musica e più specificamente gioielli.</v>
      </c>
      <c r="G194" s="6" t="str">
        <f>IFERROR(__xludf.DUMMYFUNCTION("GOOGLETRANSLATE(E194,""fr"",""it"")"),"Apprezzo la musica, in particolare i gioielli.")</f>
        <v>Apprezzo la musica, in particolare i gioielli.</v>
      </c>
    </row>
    <row r="195">
      <c r="A195" s="4">
        <v>193.0</v>
      </c>
      <c r="B195" s="5" t="s">
        <v>586</v>
      </c>
      <c r="C195" s="4">
        <v>0.0</v>
      </c>
      <c r="D195" s="5" t="s">
        <v>587</v>
      </c>
      <c r="E195" s="5" t="s">
        <v>588</v>
      </c>
      <c r="F195" s="6" t="str">
        <f>IFERROR(__xludf.DUMMYFUNCTION("GOOGLETRANSLATE(D195,""en"",""it"")"),"Mi piacciono gli occhiali, tranne le gonne.")</f>
        <v>Mi piacciono gli occhiali, tranne le gonne.</v>
      </c>
      <c r="G195" s="6" t="str">
        <f>IFERROR(__xludf.DUMMYFUNCTION("GOOGLETRANSLATE(E195,""fr"",""it"")"),"Amo gli occhiali tranne le gonne.")</f>
        <v>Amo gli occhiali tranne le gonne.</v>
      </c>
    </row>
    <row r="196">
      <c r="A196" s="4">
        <v>194.0</v>
      </c>
      <c r="B196" s="5" t="s">
        <v>589</v>
      </c>
      <c r="C196" s="4">
        <v>0.0</v>
      </c>
      <c r="D196" s="5" t="s">
        <v>590</v>
      </c>
      <c r="E196" s="5" t="s">
        <v>591</v>
      </c>
      <c r="F196" s="6" t="str">
        <f>IFERROR(__xludf.DUMMYFUNCTION("GOOGLETRANSLATE(D196,""en"",""it"")"),"Mi piace il jazz e lo sport più specificamente.")</f>
        <v>Mi piace il jazz e lo sport più specificamente.</v>
      </c>
      <c r="G196" s="6" t="str">
        <f>IFERROR(__xludf.DUMMYFUNCTION("GOOGLETRANSLATE(E196,""fr"",""it"")"),"Apprezzo il jazz, soprattutto lo sport.")</f>
        <v>Apprezzo il jazz, soprattutto lo sport.</v>
      </c>
    </row>
    <row r="197">
      <c r="A197" s="4">
        <v>195.0</v>
      </c>
      <c r="B197" s="5" t="s">
        <v>592</v>
      </c>
      <c r="C197" s="4">
        <v>0.0</v>
      </c>
      <c r="D197" s="5" t="s">
        <v>593</v>
      </c>
      <c r="E197" s="5" t="s">
        <v>594</v>
      </c>
      <c r="F197" s="6" t="str">
        <f>IFERROR(__xludf.DUMMYFUNCTION("GOOGLETRANSLATE(D197,""en"",""it"")"),"Mi piacciono gli sport e il più specificamente jazz.")</f>
        <v>Mi piacciono gli sport e il più specificamente jazz.</v>
      </c>
      <c r="G197" s="6" t="str">
        <f>IFERROR(__xludf.DUMMYFUNCTION("GOOGLETRANSLATE(E197,""fr"",""it"")"),"Apprezzo gli sport e più in particolare il jazz.")</f>
        <v>Apprezzo gli sport e più in particolare il jazz.</v>
      </c>
    </row>
    <row r="198">
      <c r="A198" s="4">
        <v>196.0</v>
      </c>
      <c r="B198" s="5" t="s">
        <v>595</v>
      </c>
      <c r="C198" s="4">
        <v>0.0</v>
      </c>
      <c r="D198" s="5" t="s">
        <v>596</v>
      </c>
      <c r="E198" s="5" t="s">
        <v>597</v>
      </c>
      <c r="F198" s="6" t="str">
        <f>IFERROR(__xludf.DUMMYFUNCTION("GOOGLETRANSLATE(D198,""en"",""it"")"),"Mi piace il jazz, e più specificamente musica.")</f>
        <v>Mi piace il jazz, e più specificamente musica.</v>
      </c>
      <c r="G198" s="6" t="str">
        <f>IFERROR(__xludf.DUMMYFUNCTION("GOOGLETRANSLATE(E198,""fr"",""it"")"),"Apprezzo il jazz, specialmente la musica.")</f>
        <v>Apprezzo il jazz, specialmente la musica.</v>
      </c>
    </row>
    <row r="199">
      <c r="A199" s="4">
        <v>197.0</v>
      </c>
      <c r="B199" s="5" t="s">
        <v>598</v>
      </c>
      <c r="C199" s="4">
        <v>1.0</v>
      </c>
      <c r="D199" s="5" t="s">
        <v>599</v>
      </c>
      <c r="E199" s="5" t="s">
        <v>600</v>
      </c>
      <c r="F199" s="6" t="str">
        <f>IFERROR(__xludf.DUMMYFUNCTION("GOOGLETRANSLATE(D199,""en"",""it"")"),"Mi piace la musica e più specificamente jazz.")</f>
        <v>Mi piace la musica e più specificamente jazz.</v>
      </c>
      <c r="G199" s="6" t="str">
        <f>IFERROR(__xludf.DUMMYFUNCTION("GOOGLETRANSLATE(E199,""fr"",""it"")"),"Apprezzo la musica e più particolarmente il jazz.")</f>
        <v>Apprezzo la musica e più particolarmente il jazz.</v>
      </c>
    </row>
    <row r="200">
      <c r="A200" s="4">
        <v>198.0</v>
      </c>
      <c r="B200" s="5" t="s">
        <v>601</v>
      </c>
      <c r="C200" s="4">
        <v>0.0</v>
      </c>
      <c r="D200" s="5" t="s">
        <v>602</v>
      </c>
      <c r="E200" s="5" t="s">
        <v>603</v>
      </c>
      <c r="F200" s="6" t="str">
        <f>IFERROR(__xludf.DUMMYFUNCTION("GOOGLETRANSLATE(D200,""en"",""it"")"),"Mi piace il jazz, e più specificamente scortese.")</f>
        <v>Mi piace il jazz, e più specificamente scortese.</v>
      </c>
      <c r="G200" s="6" t="str">
        <f>IFERROR(__xludf.DUMMYFUNCTION("GOOGLETRANSLATE(E200,""fr"",""it"")"),"Apprezzo il jazz, specialmente i giochi da tavolo.")</f>
        <v>Apprezzo il jazz, specialmente i giochi da tavolo.</v>
      </c>
    </row>
    <row r="201">
      <c r="A201" s="4">
        <v>199.0</v>
      </c>
      <c r="B201" s="5" t="s">
        <v>604</v>
      </c>
      <c r="C201" s="4">
        <v>0.0</v>
      </c>
      <c r="D201" s="5" t="s">
        <v>605</v>
      </c>
      <c r="E201" s="5" t="s">
        <v>606</v>
      </c>
      <c r="F201" s="6" t="str">
        <f>IFERROR(__xludf.DUMMYFUNCTION("GOOGLETRANSLATE(D201,""en"",""it"")"),"Mi piacciono i boardgames, e più specificamente jazz.")</f>
        <v>Mi piacciono i boardgames, e più specificamente jazz.</v>
      </c>
      <c r="G201" s="6" t="str">
        <f>IFERROR(__xludf.DUMMYFUNCTION("GOOGLETRANSLATE(E201,""fr"",""it"")"),"Apprezzo i giochi da tavolo e più in particolare il jazz.")</f>
        <v>Apprezzo i giochi da tavolo e più in particolare il jazz.</v>
      </c>
    </row>
    <row r="202">
      <c r="A202" s="4">
        <v>200.0</v>
      </c>
      <c r="B202" s="5" t="s">
        <v>607</v>
      </c>
      <c r="C202" s="4">
        <v>0.0</v>
      </c>
      <c r="D202" s="5" t="s">
        <v>608</v>
      </c>
      <c r="E202" s="5" t="s">
        <v>609</v>
      </c>
      <c r="F202" s="6" t="str">
        <f>IFERROR(__xludf.DUMMYFUNCTION("GOOGLETRANSLATE(D202,""en"",""it"")"),"Mi piace il jazz, e più specificamente cibo.")</f>
        <v>Mi piace il jazz, e più specificamente cibo.</v>
      </c>
      <c r="G202" s="6" t="str">
        <f>IFERROR(__xludf.DUMMYFUNCTION("GOOGLETRANSLATE(E202,""fr"",""it"")"),"Apprezzo il jazz e il più in particolare il cibo.")</f>
        <v>Apprezzo il jazz e il più in particolare il cibo.</v>
      </c>
    </row>
    <row r="203">
      <c r="A203" s="4">
        <v>201.0</v>
      </c>
      <c r="B203" s="5" t="s">
        <v>610</v>
      </c>
      <c r="C203" s="4">
        <v>0.0</v>
      </c>
      <c r="D203" s="5" t="s">
        <v>611</v>
      </c>
      <c r="E203" s="5" t="s">
        <v>612</v>
      </c>
      <c r="F203" s="6" t="str">
        <f>IFERROR(__xludf.DUMMYFUNCTION("GOOGLETRANSLATE(D203,""en"",""it"")"),"Mi piace il cibo e più specificamente jazz.")</f>
        <v>Mi piace il cibo e più specificamente jazz.</v>
      </c>
      <c r="G203" s="6" t="str">
        <f>IFERROR(__xludf.DUMMYFUNCTION("GOOGLETRANSLATE(E203,""fr"",""it"")"),"Apprezzo il cibo e più particolarmente il jazz.")</f>
        <v>Apprezzo il cibo e più particolarmente il jazz.</v>
      </c>
    </row>
    <row r="204">
      <c r="A204" s="4">
        <v>202.0</v>
      </c>
      <c r="B204" s="5" t="s">
        <v>613</v>
      </c>
      <c r="C204" s="4">
        <v>0.0</v>
      </c>
      <c r="D204" s="5" t="s">
        <v>614</v>
      </c>
      <c r="E204" s="5" t="s">
        <v>615</v>
      </c>
      <c r="F204" s="6" t="str">
        <f>IFERROR(__xludf.DUMMYFUNCTION("GOOGLETRANSLATE(D204,""en"",""it"")"),"Mi piace il jazz, e più specificamente gioielli.")</f>
        <v>Mi piace il jazz, e più specificamente gioielli.</v>
      </c>
      <c r="G204" s="6" t="str">
        <f>IFERROR(__xludf.DUMMYFUNCTION("GOOGLETRANSLATE(E204,""fr"",""it"")"),"Apprezzo il jazz, soprattutto gioielli.")</f>
        <v>Apprezzo il jazz, soprattutto gioielli.</v>
      </c>
    </row>
    <row r="205">
      <c r="A205" s="4">
        <v>203.0</v>
      </c>
      <c r="B205" s="5" t="s">
        <v>616</v>
      </c>
      <c r="C205" s="4">
        <v>0.0</v>
      </c>
      <c r="D205" s="5" t="s">
        <v>617</v>
      </c>
      <c r="E205" s="5" t="s">
        <v>618</v>
      </c>
      <c r="F205" s="6" t="str">
        <f>IFERROR(__xludf.DUMMYFUNCTION("GOOGLETRANSLATE(D205,""en"",""it"")"),"Mi piacciono i gioielli, e più specificamente il jazz.")</f>
        <v>Mi piacciono i gioielli, e più specificamente il jazz.</v>
      </c>
      <c r="G205" s="6" t="str">
        <f>IFERROR(__xludf.DUMMYFUNCTION("GOOGLETRANSLATE(E205,""fr"",""it"")"),"Apprezzo i gioielli e più particolarmente jazz.")</f>
        <v>Apprezzo i gioielli e più particolarmente jazz.</v>
      </c>
    </row>
    <row r="206">
      <c r="A206" s="4">
        <v>204.0</v>
      </c>
      <c r="B206" s="5" t="s">
        <v>619</v>
      </c>
      <c r="C206" s="4">
        <v>0.0</v>
      </c>
      <c r="D206" s="5" t="s">
        <v>620</v>
      </c>
      <c r="E206" s="5" t="s">
        <v>621</v>
      </c>
      <c r="F206" s="6" t="str">
        <f>IFERROR(__xludf.DUMMYFUNCTION("GOOGLETRANSLATE(D206,""en"",""it"")"),"Mi piacciono le gonne, tranne gli orecchini.")</f>
        <v>Mi piacciono le gonne, tranne gli orecchini.</v>
      </c>
      <c r="G206" s="6" t="str">
        <f>IFERROR(__xludf.DUMMYFUNCTION("GOOGLETRANSLATE(E206,""fr"",""it"")"),"Amo le gonne, tranne gli orecchini.")</f>
        <v>Amo le gonne, tranne gli orecchini.</v>
      </c>
    </row>
    <row r="207">
      <c r="A207" s="4">
        <v>205.0</v>
      </c>
      <c r="B207" s="5" t="s">
        <v>622</v>
      </c>
      <c r="C207" s="4">
        <v>0.0</v>
      </c>
      <c r="D207" s="5" t="s">
        <v>623</v>
      </c>
      <c r="E207" s="5" t="s">
        <v>624</v>
      </c>
      <c r="F207" s="6" t="str">
        <f>IFERROR(__xludf.DUMMYFUNCTION("GOOGLETRANSLATE(D207,""en"",""it"")"),"Mi piacciono gli orecchini, tranne le gonne.")</f>
        <v>Mi piacciono gli orecchini, tranne le gonne.</v>
      </c>
      <c r="G207" s="6" t="str">
        <f>IFERROR(__xludf.DUMMYFUNCTION("GOOGLETRANSLATE(E207,""fr"",""it"")"),"Mi piacciono gli orecchini, tranne le gonne.")</f>
        <v>Mi piacciono gli orecchini, tranne le gonne.</v>
      </c>
    </row>
    <row r="208">
      <c r="A208" s="4">
        <v>206.0</v>
      </c>
      <c r="B208" s="5" t="s">
        <v>625</v>
      </c>
      <c r="C208" s="4">
        <v>0.0</v>
      </c>
      <c r="D208" s="5" t="s">
        <v>626</v>
      </c>
      <c r="E208" s="5" t="s">
        <v>627</v>
      </c>
      <c r="F208" s="6" t="str">
        <f>IFERROR(__xludf.DUMMYFUNCTION("GOOGLETRANSLATE(D208,""en"",""it"")"),"Mi piace Techno e più specificamente sport.")</f>
        <v>Mi piace Techno e più specificamente sport.</v>
      </c>
      <c r="G208" s="6" t="str">
        <f>IFERROR(__xludf.DUMMYFUNCTION("GOOGLETRANSLATE(E208,""fr"",""it"")"),"Apprezzo il Techno, in particolare lo sport.")</f>
        <v>Apprezzo il Techno, in particolare lo sport.</v>
      </c>
    </row>
    <row r="209">
      <c r="A209" s="4">
        <v>207.0</v>
      </c>
      <c r="B209" s="5" t="s">
        <v>628</v>
      </c>
      <c r="C209" s="4">
        <v>0.0</v>
      </c>
      <c r="D209" s="5" t="s">
        <v>629</v>
      </c>
      <c r="E209" s="5" t="s">
        <v>630</v>
      </c>
      <c r="F209" s="6" t="str">
        <f>IFERROR(__xludf.DUMMYFUNCTION("GOOGLETRANSLATE(D209,""en"",""it"")"),"Mi piacciono gli sport e più specificamente techno.")</f>
        <v>Mi piacciono gli sport e più specificamente techno.</v>
      </c>
      <c r="G209" s="6" t="str">
        <f>IFERROR(__xludf.DUMMYFUNCTION("GOOGLETRANSLATE(E209,""fr"",""it"")"),"Apprezzo lo sport e più in particolare tecnico.")</f>
        <v>Apprezzo lo sport e più in particolare tecnico.</v>
      </c>
    </row>
    <row r="210">
      <c r="A210" s="4">
        <v>208.0</v>
      </c>
      <c r="B210" s="5" t="s">
        <v>631</v>
      </c>
      <c r="C210" s="4">
        <v>0.0</v>
      </c>
      <c r="D210" s="5" t="s">
        <v>632</v>
      </c>
      <c r="E210" s="5" t="s">
        <v>633</v>
      </c>
      <c r="F210" s="6" t="str">
        <f>IFERROR(__xludf.DUMMYFUNCTION("GOOGLETRANSLATE(D210,""en"",""it"")"),"Mi piace Techno e più specificamente musica.")</f>
        <v>Mi piace Techno e più specificamente musica.</v>
      </c>
      <c r="G210" s="6" t="str">
        <f>IFERROR(__xludf.DUMMYFUNCTION("GOOGLETRANSLATE(E210,""fr"",""it"")"),"Apprezzo il Techno, specialmente la musica.")</f>
        <v>Apprezzo il Techno, specialmente la musica.</v>
      </c>
    </row>
    <row r="211">
      <c r="A211" s="4">
        <v>209.0</v>
      </c>
      <c r="B211" s="5" t="s">
        <v>634</v>
      </c>
      <c r="C211" s="4">
        <v>1.0</v>
      </c>
      <c r="D211" s="5" t="s">
        <v>635</v>
      </c>
      <c r="E211" s="5" t="s">
        <v>636</v>
      </c>
      <c r="F211" s="6" t="str">
        <f>IFERROR(__xludf.DUMMYFUNCTION("GOOGLETRANSLATE(D211,""en"",""it"")"),"Mi piace la musica e più specificamente techno.")</f>
        <v>Mi piace la musica e più specificamente techno.</v>
      </c>
      <c r="G211" s="6" t="str">
        <f>IFERROR(__xludf.DUMMYFUNCTION("GOOGLETRANSLATE(E211,""fr"",""it"")"),"Apprezzo la musica, in particolare techno.")</f>
        <v>Apprezzo la musica, in particolare techno.</v>
      </c>
    </row>
    <row r="212">
      <c r="A212" s="4">
        <v>210.0</v>
      </c>
      <c r="B212" s="5" t="s">
        <v>637</v>
      </c>
      <c r="C212" s="4">
        <v>0.0</v>
      </c>
      <c r="D212" s="5" t="s">
        <v>638</v>
      </c>
      <c r="E212" s="5" t="s">
        <v>639</v>
      </c>
      <c r="F212" s="6" t="str">
        <f>IFERROR(__xludf.DUMMYFUNCTION("GOOGLETRANSLATE(D212,""en"",""it"")"),"Mi piace Techno, e più specificamente scortese.")</f>
        <v>Mi piace Techno, e più specificamente scortese.</v>
      </c>
      <c r="G212" s="6" t="str">
        <f>IFERROR(__xludf.DUMMYFUNCTION("GOOGLETRANSLATE(E212,""fr"",""it"")"),"Apprezzo il Techno e più in particolare i giochi da tavolo.")</f>
        <v>Apprezzo il Techno e più in particolare i giochi da tavolo.</v>
      </c>
    </row>
    <row r="213">
      <c r="A213" s="4">
        <v>211.0</v>
      </c>
      <c r="B213" s="5" t="s">
        <v>640</v>
      </c>
      <c r="C213" s="4">
        <v>0.0</v>
      </c>
      <c r="D213" s="5" t="s">
        <v>641</v>
      </c>
      <c r="E213" s="5" t="s">
        <v>642</v>
      </c>
      <c r="F213" s="6" t="str">
        <f>IFERROR(__xludf.DUMMYFUNCTION("GOOGLETRANSLATE(D213,""en"",""it"")"),"Mi piacciono i boardgames, e più specificamente techno.")</f>
        <v>Mi piacciono i boardgames, e più specificamente techno.</v>
      </c>
      <c r="G213" s="6" t="str">
        <f>IFERROR(__xludf.DUMMYFUNCTION("GOOGLETRANSLATE(E213,""fr"",""it"")"),"Apprezzo i giochi da tavolo e più in particolare il Techno.")</f>
        <v>Apprezzo i giochi da tavolo e più in particolare il Techno.</v>
      </c>
    </row>
    <row r="214">
      <c r="A214" s="4">
        <v>212.0</v>
      </c>
      <c r="B214" s="5" t="s">
        <v>643</v>
      </c>
      <c r="C214" s="4">
        <v>0.0</v>
      </c>
      <c r="D214" s="5" t="s">
        <v>644</v>
      </c>
      <c r="E214" s="5" t="s">
        <v>645</v>
      </c>
      <c r="F214" s="6" t="str">
        <f>IFERROR(__xludf.DUMMYFUNCTION("GOOGLETRANSLATE(D214,""en"",""it"")"),"Mi piace Techno, e più specificamente cibo.")</f>
        <v>Mi piace Techno, e più specificamente cibo.</v>
      </c>
      <c r="G214" s="6" t="str">
        <f>IFERROR(__xludf.DUMMYFUNCTION("GOOGLETRANSLATE(E214,""fr"",""it"")"),"Apprezzo il Techno e più in particolare il cibo.")</f>
        <v>Apprezzo il Techno e più in particolare il cibo.</v>
      </c>
    </row>
    <row r="215">
      <c r="A215" s="4">
        <v>213.0</v>
      </c>
      <c r="B215" s="5" t="s">
        <v>646</v>
      </c>
      <c r="C215" s="4">
        <v>0.0</v>
      </c>
      <c r="D215" s="5" t="s">
        <v>647</v>
      </c>
      <c r="E215" s="5" t="s">
        <v>648</v>
      </c>
      <c r="F215" s="6" t="str">
        <f>IFERROR(__xludf.DUMMYFUNCTION("GOOGLETRANSLATE(D215,""en"",""it"")"),"Mi piace il cibo, e più specificamente techno.")</f>
        <v>Mi piace il cibo, e più specificamente techno.</v>
      </c>
      <c r="G215" s="6" t="str">
        <f>IFERROR(__xludf.DUMMYFUNCTION("GOOGLETRANSLATE(E215,""fr"",""it"")"),"Apprezzo il cibo e più in particolare tecnico.")</f>
        <v>Apprezzo il cibo e più in particolare tecnico.</v>
      </c>
    </row>
    <row r="216">
      <c r="A216" s="4">
        <v>214.0</v>
      </c>
      <c r="B216" s="5" t="s">
        <v>649</v>
      </c>
      <c r="C216" s="4">
        <v>0.0</v>
      </c>
      <c r="D216" s="5" t="s">
        <v>650</v>
      </c>
      <c r="E216" s="5" t="s">
        <v>651</v>
      </c>
      <c r="F216" s="6" t="str">
        <f>IFERROR(__xludf.DUMMYFUNCTION("GOOGLETRANSLATE(D216,""en"",""it"")"),"Mi piace Techno, e più specificamente gioielli.")</f>
        <v>Mi piace Techno, e più specificamente gioielli.</v>
      </c>
      <c r="G216" s="6" t="str">
        <f>IFERROR(__xludf.DUMMYFUNCTION("GOOGLETRANSLATE(E216,""fr"",""it"")"),"Apprezzo il Techno, specialmente i gioielli.")</f>
        <v>Apprezzo il Techno, specialmente i gioielli.</v>
      </c>
    </row>
    <row r="217">
      <c r="A217" s="4">
        <v>215.0</v>
      </c>
      <c r="B217" s="5" t="s">
        <v>652</v>
      </c>
      <c r="C217" s="4">
        <v>0.0</v>
      </c>
      <c r="D217" s="5" t="s">
        <v>653</v>
      </c>
      <c r="E217" s="5" t="s">
        <v>654</v>
      </c>
      <c r="F217" s="6" t="str">
        <f>IFERROR(__xludf.DUMMYFUNCTION("GOOGLETRANSLATE(D217,""en"",""it"")"),"Mi piacciono i gioielli e più specificamente techno.")</f>
        <v>Mi piacciono i gioielli e più specificamente techno.</v>
      </c>
      <c r="G217" s="6" t="str">
        <f>IFERROR(__xludf.DUMMYFUNCTION("GOOGLETRANSLATE(E217,""fr"",""it"")"),"Apprezzo i gioielli e più in particolare techno.")</f>
        <v>Apprezzo i gioielli e più in particolare techno.</v>
      </c>
    </row>
    <row r="218">
      <c r="A218" s="4">
        <v>216.0</v>
      </c>
      <c r="B218" s="5" t="s">
        <v>655</v>
      </c>
      <c r="C218" s="4">
        <v>0.0</v>
      </c>
      <c r="D218" s="5" t="s">
        <v>656</v>
      </c>
      <c r="E218" s="5" t="s">
        <v>657</v>
      </c>
      <c r="F218" s="6" t="str">
        <f>IFERROR(__xludf.DUMMYFUNCTION("GOOGLETRANSLATE(D218,""en"",""it"")"),"Mi piacciono i cani, tranne i criceti.")</f>
        <v>Mi piacciono i cani, tranne i criceti.</v>
      </c>
      <c r="G218" s="6" t="str">
        <f>IFERROR(__xludf.DUMMYFUNCTION("GOOGLETRANSLATE(E218,""fr"",""it"")"),"Mi piacciono i cani, tranne i criceti.")</f>
        <v>Mi piacciono i cani, tranne i criceti.</v>
      </c>
    </row>
    <row r="219">
      <c r="A219" s="4">
        <v>217.0</v>
      </c>
      <c r="B219" s="5" t="s">
        <v>658</v>
      </c>
      <c r="C219" s="4">
        <v>0.0</v>
      </c>
      <c r="D219" s="5" t="s">
        <v>659</v>
      </c>
      <c r="E219" s="5" t="s">
        <v>660</v>
      </c>
      <c r="F219" s="6" t="str">
        <f>IFERROR(__xludf.DUMMYFUNCTION("GOOGLETRANSLATE(D219,""en"",""it"")"),"Mi piacciono il blues, e più specificamente sport.")</f>
        <v>Mi piacciono il blues, e più specificamente sport.</v>
      </c>
      <c r="G219" s="6" t="str">
        <f>IFERROR(__xludf.DUMMYFUNCTION("GOOGLETRANSLATE(E219,""fr"",""it"")"),"Apprezzo il blues e più sportivi in ​​particolare.")</f>
        <v>Apprezzo il blues e più sportivi in ​​particolare.</v>
      </c>
    </row>
    <row r="220">
      <c r="A220" s="4">
        <v>218.0</v>
      </c>
      <c r="B220" s="5" t="s">
        <v>661</v>
      </c>
      <c r="C220" s="4">
        <v>0.0</v>
      </c>
      <c r="D220" s="5" t="s">
        <v>662</v>
      </c>
      <c r="E220" s="5" t="s">
        <v>663</v>
      </c>
      <c r="F220" s="6" t="str">
        <f>IFERROR(__xludf.DUMMYFUNCTION("GOOGLETRANSLATE(D220,""en"",""it"")"),"Mi piacciono gli sport e più specificamente blues.")</f>
        <v>Mi piacciono gli sport e più specificamente blues.</v>
      </c>
      <c r="G220" s="6" t="str">
        <f>IFERROR(__xludf.DUMMYFUNCTION("GOOGLETRANSLATE(E220,""fr"",""it"")"),"Apprezzo gli sport e più in particolare il blues.")</f>
        <v>Apprezzo gli sport e più in particolare il blues.</v>
      </c>
    </row>
    <row r="221">
      <c r="A221" s="4">
        <v>219.0</v>
      </c>
      <c r="B221" s="5" t="s">
        <v>664</v>
      </c>
      <c r="C221" s="4">
        <v>0.0</v>
      </c>
      <c r="D221" s="5" t="s">
        <v>665</v>
      </c>
      <c r="E221" s="5" t="s">
        <v>666</v>
      </c>
      <c r="F221" s="6" t="str">
        <f>IFERROR(__xludf.DUMMYFUNCTION("GOOGLETRANSLATE(D221,""en"",""it"")"),"Mi piacciono Blues, e più specificamente musica.")</f>
        <v>Mi piacciono Blues, e più specificamente musica.</v>
      </c>
      <c r="G221" s="6" t="str">
        <f>IFERROR(__xludf.DUMMYFUNCTION("GOOGLETRANSLATE(E221,""fr"",""it"")"),"Apprezzo il blues e più in particolare la musica.")</f>
        <v>Apprezzo il blues e più in particolare la musica.</v>
      </c>
    </row>
    <row r="222">
      <c r="A222" s="4">
        <v>220.0</v>
      </c>
      <c r="B222" s="5" t="s">
        <v>667</v>
      </c>
      <c r="C222" s="4">
        <v>1.0</v>
      </c>
      <c r="D222" s="5" t="s">
        <v>668</v>
      </c>
      <c r="E222" s="5" t="s">
        <v>669</v>
      </c>
      <c r="F222" s="6" t="str">
        <f>IFERROR(__xludf.DUMMYFUNCTION("GOOGLETRANSLATE(D222,""en"",""it"")"),"Mi piace la musica e più specificamente blues.")</f>
        <v>Mi piace la musica e più specificamente blues.</v>
      </c>
      <c r="G222" s="6" t="str">
        <f>IFERROR(__xludf.DUMMYFUNCTION("GOOGLETRANSLATE(E222,""fr"",""it"")"),"Apprezzo la musica e più in particolare il blues.")</f>
        <v>Apprezzo la musica e più in particolare il blues.</v>
      </c>
    </row>
    <row r="223">
      <c r="A223" s="4">
        <v>221.0</v>
      </c>
      <c r="B223" s="5" t="s">
        <v>670</v>
      </c>
      <c r="C223" s="4">
        <v>0.0</v>
      </c>
      <c r="D223" s="5" t="s">
        <v>671</v>
      </c>
      <c r="E223" s="5" t="s">
        <v>672</v>
      </c>
      <c r="F223" s="6" t="str">
        <f>IFERROR(__xludf.DUMMYFUNCTION("GOOGLETRANSLATE(D223,""en"",""it"")"),"Mi piacciono Blues, e più in particolare i cortili.")</f>
        <v>Mi piacciono Blues, e più in particolare i cortili.</v>
      </c>
      <c r="G223" s="6" t="str">
        <f>IFERROR(__xludf.DUMMYFUNCTION("GOOGLETRANSLATE(E223,""fr"",""it"")"),"Apprezzo il blues, specialmente i giochi da tavolo.")</f>
        <v>Apprezzo il blues, specialmente i giochi da tavolo.</v>
      </c>
    </row>
    <row r="224">
      <c r="A224" s="4">
        <v>222.0</v>
      </c>
      <c r="B224" s="5" t="s">
        <v>673</v>
      </c>
      <c r="C224" s="4">
        <v>0.0</v>
      </c>
      <c r="D224" s="5" t="s">
        <v>674</v>
      </c>
      <c r="E224" s="5" t="s">
        <v>675</v>
      </c>
      <c r="F224" s="6" t="str">
        <f>IFERROR(__xludf.DUMMYFUNCTION("GOOGLETRANSLATE(D224,""en"",""it"")"),"Mi piacciono i boardgames, e più specificamente blues.")</f>
        <v>Mi piacciono i boardgames, e più specificamente blues.</v>
      </c>
      <c r="G224" s="6" t="str">
        <f>IFERROR(__xludf.DUMMYFUNCTION("GOOGLETRANSLATE(E224,""fr"",""it"")"),"Apprezzo i giochi da tavolo e più in particolare il blues.")</f>
        <v>Apprezzo i giochi da tavolo e più in particolare il blues.</v>
      </c>
    </row>
    <row r="225">
      <c r="A225" s="4">
        <v>223.0</v>
      </c>
      <c r="B225" s="5" t="s">
        <v>676</v>
      </c>
      <c r="C225" s="4">
        <v>0.0</v>
      </c>
      <c r="D225" s="5" t="s">
        <v>677</v>
      </c>
      <c r="E225" s="5" t="s">
        <v>678</v>
      </c>
      <c r="F225" s="6" t="str">
        <f>IFERROR(__xludf.DUMMYFUNCTION("GOOGLETRANSLATE(D225,""en"",""it"")"),"Mi piacciono il blues, e più specificamente cibo.")</f>
        <v>Mi piacciono il blues, e più specificamente cibo.</v>
      </c>
      <c r="G225" s="6" t="str">
        <f>IFERROR(__xludf.DUMMYFUNCTION("GOOGLETRANSLATE(E225,""fr"",""it"")"),"Apprezzo il blues e più cibo particolarmente.")</f>
        <v>Apprezzo il blues e più cibo particolarmente.</v>
      </c>
    </row>
    <row r="226">
      <c r="A226" s="4">
        <v>224.0</v>
      </c>
      <c r="B226" s="5" t="s">
        <v>679</v>
      </c>
      <c r="C226" s="4">
        <v>0.0</v>
      </c>
      <c r="D226" s="5" t="s">
        <v>680</v>
      </c>
      <c r="E226" s="5" t="s">
        <v>681</v>
      </c>
      <c r="F226" s="6" t="str">
        <f>IFERROR(__xludf.DUMMYFUNCTION("GOOGLETRANSLATE(D226,""en"",""it"")"),"Mi piace il cibo e più specificamente blues.")</f>
        <v>Mi piace il cibo e più specificamente blues.</v>
      </c>
      <c r="G226" s="6" t="str">
        <f>IFERROR(__xludf.DUMMYFUNCTION("GOOGLETRANSLATE(E226,""fr"",""it"")"),"Apprezzo il cibo e più in particolare il blues.")</f>
        <v>Apprezzo il cibo e più in particolare il blues.</v>
      </c>
    </row>
    <row r="227">
      <c r="A227" s="4">
        <v>225.0</v>
      </c>
      <c r="B227" s="5" t="s">
        <v>682</v>
      </c>
      <c r="C227" s="4">
        <v>0.0</v>
      </c>
      <c r="D227" s="5" t="s">
        <v>683</v>
      </c>
      <c r="E227" s="5" t="s">
        <v>684</v>
      </c>
      <c r="F227" s="6" t="str">
        <f>IFERROR(__xludf.DUMMYFUNCTION("GOOGLETRANSLATE(D227,""en"",""it"")"),"Mi piacciono il blues e più specificamente gioielli.")</f>
        <v>Mi piacciono il blues e più specificamente gioielli.</v>
      </c>
      <c r="G227" s="6" t="str">
        <f>IFERROR(__xludf.DUMMYFUNCTION("GOOGLETRANSLATE(E227,""fr"",""it"")"),"Apprezzo il blues, specialmente i gioielli.")</f>
        <v>Apprezzo il blues, specialmente i gioielli.</v>
      </c>
    </row>
    <row r="228">
      <c r="A228" s="4">
        <v>226.0</v>
      </c>
      <c r="B228" s="5" t="s">
        <v>685</v>
      </c>
      <c r="C228" s="4">
        <v>0.0</v>
      </c>
      <c r="D228" s="5" t="s">
        <v>686</v>
      </c>
      <c r="E228" s="5" t="s">
        <v>687</v>
      </c>
      <c r="F228" s="6" t="str">
        <f>IFERROR(__xludf.DUMMYFUNCTION("GOOGLETRANSLATE(D228,""en"",""it"")"),"Mi piacciono i gioielli e più specificamente blues.")</f>
        <v>Mi piacciono i gioielli e più specificamente blues.</v>
      </c>
      <c r="G228" s="6" t="str">
        <f>IFERROR(__xludf.DUMMYFUNCTION("GOOGLETRANSLATE(E228,""fr"",""it"")"),"Apprezzo i gioielli e più in particolare il blues.")</f>
        <v>Apprezzo i gioielli e più in particolare il blues.</v>
      </c>
    </row>
    <row r="229">
      <c r="A229" s="4">
        <v>227.0</v>
      </c>
      <c r="B229" s="5" t="s">
        <v>688</v>
      </c>
      <c r="C229" s="4">
        <v>0.0</v>
      </c>
      <c r="D229" s="5" t="s">
        <v>689</v>
      </c>
      <c r="E229" s="5" t="s">
        <v>690</v>
      </c>
      <c r="F229" s="6" t="str">
        <f>IFERROR(__xludf.DUMMYFUNCTION("GOOGLETRANSLATE(D229,""en"",""it"")"),"Mi piace il prosciutto e più specificamente pesce.")</f>
        <v>Mi piace il prosciutto e più specificamente pesce.</v>
      </c>
      <c r="G229" s="6" t="str">
        <f>IFERROR(__xludf.DUMMYFUNCTION("GOOGLETRANSLATE(E229,""fr"",""it"")"),"Adoro il prosciutto e più in particolare il pesce.")</f>
        <v>Adoro il prosciutto e più in particolare il pesce.</v>
      </c>
    </row>
    <row r="230">
      <c r="A230" s="4">
        <v>228.0</v>
      </c>
      <c r="B230" s="5" t="s">
        <v>691</v>
      </c>
      <c r="C230" s="4">
        <v>0.0</v>
      </c>
      <c r="D230" s="5" t="s">
        <v>692</v>
      </c>
      <c r="E230" s="5" t="s">
        <v>693</v>
      </c>
      <c r="F230" s="6" t="str">
        <f>IFERROR(__xludf.DUMMYFUNCTION("GOOGLETRANSLATE(D230,""en"",""it"")"),"Mi piacciono i pesci e più specificamente prosciutto.")</f>
        <v>Mi piacciono i pesci e più specificamente prosciutto.</v>
      </c>
      <c r="G230" s="6" t="str">
        <f>IFERROR(__xludf.DUMMYFUNCTION("GOOGLETRANSLATE(E230,""fr"",""it"")"),"Amo il pesce, e più in particolare il prosciutto.")</f>
        <v>Amo il pesce, e più in particolare il prosciutto.</v>
      </c>
    </row>
    <row r="231">
      <c r="A231" s="4">
        <v>229.0</v>
      </c>
      <c r="B231" s="5" t="s">
        <v>694</v>
      </c>
      <c r="C231" s="4">
        <v>0.0</v>
      </c>
      <c r="D231" s="5" t="s">
        <v>695</v>
      </c>
      <c r="E231" s="5" t="s">
        <v>696</v>
      </c>
      <c r="F231" s="6" t="str">
        <f>IFERROR(__xludf.DUMMYFUNCTION("GOOGLETRANSLATE(D231,""en"",""it"")"),"Mi piace il prosciutto e più appositamente carne di maiale.")</f>
        <v>Mi piace il prosciutto e più appositamente carne di maiale.</v>
      </c>
      <c r="G231" s="6" t="str">
        <f>IFERROR(__xludf.DUMMYFUNCTION("GOOGLETRANSLATE(E231,""fr"",""it"")"),"Adoro il prosciutto e più in particolare il maiale.")</f>
        <v>Adoro il prosciutto e più in particolare il maiale.</v>
      </c>
    </row>
    <row r="232">
      <c r="A232" s="4">
        <v>230.0</v>
      </c>
      <c r="B232" s="5" t="s">
        <v>697</v>
      </c>
      <c r="C232" s="4">
        <v>1.0</v>
      </c>
      <c r="D232" s="5" t="s">
        <v>698</v>
      </c>
      <c r="E232" s="5" t="s">
        <v>699</v>
      </c>
      <c r="F232" s="6" t="str">
        <f>IFERROR(__xludf.DUMMYFUNCTION("GOOGLETRANSLATE(D232,""en"",""it"")"),"Mi piace la carne di maiale e più specificamente prosciutto.")</f>
        <v>Mi piace la carne di maiale e più specificamente prosciutto.</v>
      </c>
      <c r="G232" s="6" t="str">
        <f>IFERROR(__xludf.DUMMYFUNCTION("GOOGLETRANSLATE(E232,""fr"",""it"")"),"Amo la carne di maiale e più in particolare il prosciutto.")</f>
        <v>Amo la carne di maiale e più in particolare il prosciutto.</v>
      </c>
    </row>
    <row r="233">
      <c r="A233" s="4">
        <v>231.0</v>
      </c>
      <c r="B233" s="5" t="s">
        <v>700</v>
      </c>
      <c r="C233" s="4">
        <v>0.0</v>
      </c>
      <c r="D233" s="5" t="s">
        <v>701</v>
      </c>
      <c r="E233" s="5" t="s">
        <v>702</v>
      </c>
      <c r="F233" s="6" t="str">
        <f>IFERROR(__xludf.DUMMYFUNCTION("GOOGLETRANSLATE(D233,""en"",""it"")"),"Mi piace la carne di maiale e più specificamente pesce.")</f>
        <v>Mi piace la carne di maiale e più specificamente pesce.</v>
      </c>
      <c r="G233" s="6" t="str">
        <f>IFERROR(__xludf.DUMMYFUNCTION("GOOGLETRANSLATE(E233,""fr"",""it"")"),"Amo il maiale e più in particolare il pesce.")</f>
        <v>Amo il maiale e più in particolare il pesce.</v>
      </c>
    </row>
    <row r="234">
      <c r="A234" s="4">
        <v>232.0</v>
      </c>
      <c r="B234" s="5" t="s">
        <v>703</v>
      </c>
      <c r="C234" s="4">
        <v>0.0</v>
      </c>
      <c r="D234" s="5" t="s">
        <v>704</v>
      </c>
      <c r="E234" s="5" t="s">
        <v>705</v>
      </c>
      <c r="F234" s="6" t="str">
        <f>IFERROR(__xludf.DUMMYFUNCTION("GOOGLETRANSLATE(D234,""en"",""it"")"),"Mi piace il prosciutto e più specificamente i broccoli.")</f>
        <v>Mi piace il prosciutto e più specificamente i broccoli.</v>
      </c>
      <c r="G234" s="6" t="str">
        <f>IFERROR(__xludf.DUMMYFUNCTION("GOOGLETRANSLATE(E234,""fr"",""it"")"),"Amo il prosciutto e più in particolare i broccoli.")</f>
        <v>Amo il prosciutto e più in particolare i broccoli.</v>
      </c>
    </row>
    <row r="235">
      <c r="A235" s="4">
        <v>233.0</v>
      </c>
      <c r="B235" s="5" t="s">
        <v>706</v>
      </c>
      <c r="C235" s="4">
        <v>0.0</v>
      </c>
      <c r="D235" s="5" t="s">
        <v>707</v>
      </c>
      <c r="E235" s="5" t="s">
        <v>708</v>
      </c>
      <c r="F235" s="6" t="str">
        <f>IFERROR(__xludf.DUMMYFUNCTION("GOOGLETRANSLATE(D235,""en"",""it"")"),"Mi piacciono i broccoli, e più specificamente prosciutto.")</f>
        <v>Mi piacciono i broccoli, e più specificamente prosciutto.</v>
      </c>
      <c r="G235" s="6" t="str">
        <f>IFERROR(__xludf.DUMMYFUNCTION("GOOGLETRANSLATE(E235,""fr"",""it"")"),"Adoro i broccoli e più in particolare il prosciutto.")</f>
        <v>Adoro i broccoli e più in particolare il prosciutto.</v>
      </c>
    </row>
    <row r="236">
      <c r="A236" s="4">
        <v>234.0</v>
      </c>
      <c r="B236" s="5" t="s">
        <v>709</v>
      </c>
      <c r="C236" s="4">
        <v>0.0</v>
      </c>
      <c r="D236" s="5" t="s">
        <v>710</v>
      </c>
      <c r="E236" s="5" t="s">
        <v>711</v>
      </c>
      <c r="F236" s="6" t="str">
        <f>IFERROR(__xludf.DUMMYFUNCTION("GOOGLETRANSLATE(D236,""en"",""it"")"),"Mi piace il maiale e più specificamente i broccoli.")</f>
        <v>Mi piace il maiale e più specificamente i broccoli.</v>
      </c>
      <c r="G236" s="6" t="str">
        <f>IFERROR(__xludf.DUMMYFUNCTION("GOOGLETRANSLATE(E236,""fr"",""it"")"),"Amo il maiale e più in particolare i broccoli.")</f>
        <v>Amo il maiale e più in particolare i broccoli.</v>
      </c>
    </row>
    <row r="237">
      <c r="A237" s="4">
        <v>235.0</v>
      </c>
      <c r="B237" s="5" t="s">
        <v>712</v>
      </c>
      <c r="C237" s="4">
        <v>0.0</v>
      </c>
      <c r="D237" s="5" t="s">
        <v>713</v>
      </c>
      <c r="E237" s="5" t="s">
        <v>714</v>
      </c>
      <c r="F237" s="6" t="str">
        <f>IFERROR(__xludf.DUMMYFUNCTION("GOOGLETRANSLATE(D237,""en"",""it"")"),"Mi piace il prosciutto e più specificamente mele.")</f>
        <v>Mi piace il prosciutto e più specificamente mele.</v>
      </c>
      <c r="G237" s="6" t="str">
        <f>IFERROR(__xludf.DUMMYFUNCTION("GOOGLETRANSLATE(E237,""fr"",""it"")"),"Adoro il prosciutto e più in particolare le mele.")</f>
        <v>Adoro il prosciutto e più in particolare le mele.</v>
      </c>
    </row>
    <row r="238">
      <c r="A238" s="4">
        <v>236.0</v>
      </c>
      <c r="B238" s="5" t="s">
        <v>715</v>
      </c>
      <c r="C238" s="4">
        <v>0.0</v>
      </c>
      <c r="D238" s="5" t="s">
        <v>716</v>
      </c>
      <c r="E238" s="5" t="s">
        <v>717</v>
      </c>
      <c r="F238" s="6" t="str">
        <f>IFERROR(__xludf.DUMMYFUNCTION("GOOGLETRANSLATE(D238,""en"",""it"")"),"Mi piacciono le mele e il più specificamente prosciutto.")</f>
        <v>Mi piacciono le mele e il più specificamente prosciutto.</v>
      </c>
      <c r="G238" s="6" t="str">
        <f>IFERROR(__xludf.DUMMYFUNCTION("GOOGLETRANSLATE(E238,""fr"",""it"")"),"Amo le mele e più in particolare il prosciutto.")</f>
        <v>Amo le mele e più in particolare il prosciutto.</v>
      </c>
    </row>
    <row r="239">
      <c r="A239" s="4">
        <v>237.0</v>
      </c>
      <c r="B239" s="5" t="s">
        <v>718</v>
      </c>
      <c r="C239" s="4">
        <v>0.0</v>
      </c>
      <c r="D239" s="5" t="s">
        <v>719</v>
      </c>
      <c r="E239" s="5" t="s">
        <v>720</v>
      </c>
      <c r="F239" s="6" t="str">
        <f>IFERROR(__xludf.DUMMYFUNCTION("GOOGLETRANSLATE(D239,""en"",""it"")"),"Mi piace la carne di maiale e più specificamente mele.")</f>
        <v>Mi piace la carne di maiale e più specificamente mele.</v>
      </c>
      <c r="G239" s="6" t="str">
        <f>IFERROR(__xludf.DUMMYFUNCTION("GOOGLETRANSLATE(E239,""fr"",""it"")"),"Amo il maiale e più in particolare le mele.")</f>
        <v>Amo il maiale e più in particolare le mele.</v>
      </c>
    </row>
    <row r="240">
      <c r="A240" s="4">
        <v>238.0</v>
      </c>
      <c r="B240" s="5" t="s">
        <v>721</v>
      </c>
      <c r="C240" s="4">
        <v>0.0</v>
      </c>
      <c r="D240" s="5" t="s">
        <v>722</v>
      </c>
      <c r="E240" s="5" t="s">
        <v>723</v>
      </c>
      <c r="F240" s="6" t="str">
        <f>IFERROR(__xludf.DUMMYFUNCTION("GOOGLETRANSLATE(D240,""en"",""it"")"),"Mi piace il prosciutto e le carote più specificamente.")</f>
        <v>Mi piace il prosciutto e le carote più specificamente.</v>
      </c>
      <c r="G240" s="6" t="str">
        <f>IFERROR(__xludf.DUMMYFUNCTION("GOOGLETRANSLATE(E240,""fr"",""it"")"),"Adoro il prosciutto e più in particolare le carote.")</f>
        <v>Adoro il prosciutto e più in particolare le carote.</v>
      </c>
    </row>
    <row r="241">
      <c r="A241" s="4">
        <v>239.0</v>
      </c>
      <c r="B241" s="5" t="s">
        <v>724</v>
      </c>
      <c r="C241" s="4">
        <v>0.0</v>
      </c>
      <c r="D241" s="5" t="s">
        <v>725</v>
      </c>
      <c r="E241" s="5" t="s">
        <v>726</v>
      </c>
      <c r="F241" s="6" t="str">
        <f>IFERROR(__xludf.DUMMYFUNCTION("GOOGLETRANSLATE(D241,""en"",""it"")"),"Mi piacciono le carote e più specificamente prosciutto.")</f>
        <v>Mi piacciono le carote e più specificamente prosciutto.</v>
      </c>
      <c r="G241" s="6" t="str">
        <f>IFERROR(__xludf.DUMMYFUNCTION("GOOGLETRANSLATE(E241,""fr"",""it"")"),"Adoro le carote, e più particolarmente prosciutto.")</f>
        <v>Adoro le carote, e più particolarmente prosciutto.</v>
      </c>
    </row>
    <row r="242">
      <c r="A242" s="4">
        <v>240.0</v>
      </c>
      <c r="B242" s="5" t="s">
        <v>727</v>
      </c>
      <c r="C242" s="4">
        <v>0.0</v>
      </c>
      <c r="D242" s="5" t="s">
        <v>728</v>
      </c>
      <c r="E242" s="5" t="s">
        <v>729</v>
      </c>
      <c r="F242" s="6" t="str">
        <f>IFERROR(__xludf.DUMMYFUNCTION("GOOGLETRANSLATE(D242,""en"",""it"")"),"Mi piace la carne di maiale, e più specificamente carote.")</f>
        <v>Mi piace la carne di maiale, e più specificamente carote.</v>
      </c>
      <c r="G242" s="6" t="str">
        <f>IFERROR(__xludf.DUMMYFUNCTION("GOOGLETRANSLATE(E242,""fr"",""it"")"),"Amo il maiale e più in particolare le carote.")</f>
        <v>Amo il maiale e più in particolare le carote.</v>
      </c>
    </row>
    <row r="243">
      <c r="A243" s="4">
        <v>241.0</v>
      </c>
      <c r="B243" s="5" t="s">
        <v>730</v>
      </c>
      <c r="C243" s="4">
        <v>0.0</v>
      </c>
      <c r="D243" s="5" t="s">
        <v>731</v>
      </c>
      <c r="E243" s="5" t="s">
        <v>732</v>
      </c>
      <c r="F243" s="6" t="str">
        <f>IFERROR(__xludf.DUMMYFUNCTION("GOOGLETRANSLATE(D243,""en"",""it"")"),"Mi piace il prosciutto, e più specificamente pesce.")</f>
        <v>Mi piace il prosciutto, e più specificamente pesce.</v>
      </c>
      <c r="G243" s="6" t="str">
        <f>IFERROR(__xludf.DUMMYFUNCTION("GOOGLETRANSLATE(E243,""fr"",""it"")"),"Adoro il prosciutto e più in particolare il pesce.")</f>
        <v>Adoro il prosciutto e più in particolare il pesce.</v>
      </c>
    </row>
    <row r="244">
      <c r="A244" s="4">
        <v>242.0</v>
      </c>
      <c r="B244" s="5" t="s">
        <v>733</v>
      </c>
      <c r="C244" s="4">
        <v>0.0</v>
      </c>
      <c r="D244" s="5" t="s">
        <v>734</v>
      </c>
      <c r="E244" s="5" t="s">
        <v>735</v>
      </c>
      <c r="F244" s="6" t="str">
        <f>IFERROR(__xludf.DUMMYFUNCTION("GOOGLETRANSLATE(D244,""en"",""it"")"),"Mi piace il pesce e più specificamente prosciutto.")</f>
        <v>Mi piace il pesce e più specificamente prosciutto.</v>
      </c>
      <c r="G244" s="6" t="str">
        <f>IFERROR(__xludf.DUMMYFUNCTION("GOOGLETRANSLATE(E244,""fr"",""it"")"),"Amo il pesce, e più in particolare il prosciutto.")</f>
        <v>Amo il pesce, e più in particolare il prosciutto.</v>
      </c>
    </row>
    <row r="245">
      <c r="A245" s="4">
        <v>243.0</v>
      </c>
      <c r="B245" s="5" t="s">
        <v>736</v>
      </c>
      <c r="C245" s="4">
        <v>0.0</v>
      </c>
      <c r="D245" s="5" t="s">
        <v>737</v>
      </c>
      <c r="E245" s="5" t="s">
        <v>738</v>
      </c>
      <c r="F245" s="6" t="str">
        <f>IFERROR(__xludf.DUMMYFUNCTION("GOOGLETRANSLATE(D245,""en"",""it"")"),"Mi piace Prosciutto, e più specificamente carne di maiale.")</f>
        <v>Mi piace Prosciutto, e più specificamente carne di maiale.</v>
      </c>
      <c r="G245" s="6" t="str">
        <f>IFERROR(__xludf.DUMMYFUNCTION("GOOGLETRANSLATE(E245,""fr"",""it"")"),"Adoro il prosciutto e più in particolare il maiale.")</f>
        <v>Adoro il prosciutto e più in particolare il maiale.</v>
      </c>
    </row>
    <row r="246">
      <c r="A246" s="4">
        <v>244.0</v>
      </c>
      <c r="B246" s="5" t="s">
        <v>739</v>
      </c>
      <c r="C246" s="4">
        <v>1.0</v>
      </c>
      <c r="D246" s="5" t="s">
        <v>740</v>
      </c>
      <c r="E246" s="5" t="s">
        <v>741</v>
      </c>
      <c r="F246" s="6" t="str">
        <f>IFERROR(__xludf.DUMMYFUNCTION("GOOGLETRANSLATE(D246,""en"",""it"")"),"Mi piace il maiale e più specificamente prosciutto.")</f>
        <v>Mi piace il maiale e più specificamente prosciutto.</v>
      </c>
      <c r="G246" s="6" t="str">
        <f>IFERROR(__xludf.DUMMYFUNCTION("GOOGLETRANSLATE(E246,""fr"",""it"")"),"Amo il maiale, e più in particolare il prosciutto.")</f>
        <v>Amo il maiale, e più in particolare il prosciutto.</v>
      </c>
    </row>
    <row r="247">
      <c r="A247" s="4">
        <v>245.0</v>
      </c>
      <c r="B247" s="5" t="s">
        <v>742</v>
      </c>
      <c r="C247" s="4">
        <v>0.0</v>
      </c>
      <c r="D247" s="5" t="s">
        <v>743</v>
      </c>
      <c r="E247" s="5" t="s">
        <v>744</v>
      </c>
      <c r="F247" s="6" t="str">
        <f>IFERROR(__xludf.DUMMYFUNCTION("GOOGLETRANSLATE(D247,""en"",""it"")"),"Mi piace Prosciutto e più specificamente i broccoli.")</f>
        <v>Mi piace Prosciutto e più specificamente i broccoli.</v>
      </c>
      <c r="G247" s="6" t="str">
        <f>IFERROR(__xludf.DUMMYFUNCTION("GOOGLETRANSLATE(E247,""fr"",""it"")"),"Adoro il prosciutto e più in particolare i broccoli.")</f>
        <v>Adoro il prosciutto e più in particolare i broccoli.</v>
      </c>
    </row>
    <row r="248">
      <c r="A248" s="4">
        <v>246.0</v>
      </c>
      <c r="B248" s="5" t="s">
        <v>745</v>
      </c>
      <c r="C248" s="4">
        <v>0.0</v>
      </c>
      <c r="D248" s="5" t="s">
        <v>746</v>
      </c>
      <c r="E248" s="5" t="s">
        <v>747</v>
      </c>
      <c r="F248" s="6" t="str">
        <f>IFERROR(__xludf.DUMMYFUNCTION("GOOGLETRANSLATE(D248,""en"",""it"")"),"Mi piacciono i broccoli e più specificamente prosciutto.")</f>
        <v>Mi piacciono i broccoli e più specificamente prosciutto.</v>
      </c>
      <c r="G248" s="6" t="str">
        <f>IFERROR(__xludf.DUMMYFUNCTION("GOOGLETRANSLATE(E248,""fr"",""it"")"),"Adoro i broccoli e più in particolare il prosciutto.")</f>
        <v>Adoro i broccoli e più in particolare il prosciutto.</v>
      </c>
    </row>
    <row r="249">
      <c r="A249" s="4">
        <v>247.0</v>
      </c>
      <c r="B249" s="5" t="s">
        <v>748</v>
      </c>
      <c r="C249" s="4">
        <v>0.0</v>
      </c>
      <c r="D249" s="5" t="s">
        <v>749</v>
      </c>
      <c r="E249" s="5" t="s">
        <v>750</v>
      </c>
      <c r="F249" s="6" t="str">
        <f>IFERROR(__xludf.DUMMYFUNCTION("GOOGLETRANSLATE(D249,""en"",""it"")"),"Mi piace Prosciutto e più specificamente mele.")</f>
        <v>Mi piace Prosciutto e più specificamente mele.</v>
      </c>
      <c r="G249" s="6" t="str">
        <f>IFERROR(__xludf.DUMMYFUNCTION("GOOGLETRANSLATE(E249,""fr"",""it"")"),"Adoro il prosciutto e più in particolare le mele.")</f>
        <v>Adoro il prosciutto e più in particolare le mele.</v>
      </c>
    </row>
    <row r="250">
      <c r="A250" s="4">
        <v>248.0</v>
      </c>
      <c r="B250" s="5" t="s">
        <v>751</v>
      </c>
      <c r="C250" s="4">
        <v>0.0</v>
      </c>
      <c r="D250" s="5" t="s">
        <v>752</v>
      </c>
      <c r="E250" s="5" t="s">
        <v>753</v>
      </c>
      <c r="F250" s="6" t="str">
        <f>IFERROR(__xludf.DUMMYFUNCTION("GOOGLETRANSLATE(D250,""en"",""it"")"),"Mi piacciono le mele e più specificamente prosciutto.")</f>
        <v>Mi piacciono le mele e più specificamente prosciutto.</v>
      </c>
      <c r="G250" s="6" t="str">
        <f>IFERROR(__xludf.DUMMYFUNCTION("GOOGLETRANSLATE(E250,""fr"",""it"")"),"Adoro le mele e più in particolare il prosciutto.")</f>
        <v>Adoro le mele e più in particolare il prosciutto.</v>
      </c>
    </row>
    <row r="251">
      <c r="A251" s="4">
        <v>249.0</v>
      </c>
      <c r="B251" s="5" t="s">
        <v>754</v>
      </c>
      <c r="C251" s="4">
        <v>0.0</v>
      </c>
      <c r="D251" s="5" t="s">
        <v>755</v>
      </c>
      <c r="E251" s="5" t="s">
        <v>756</v>
      </c>
      <c r="F251" s="6" t="str">
        <f>IFERROR(__xludf.DUMMYFUNCTION("GOOGLETRANSLATE(D251,""en"",""it"")"),"Mi piace Prosciutto e più specificamente carote.")</f>
        <v>Mi piace Prosciutto e più specificamente carote.</v>
      </c>
      <c r="G251" s="6" t="str">
        <f>IFERROR(__xludf.DUMMYFUNCTION("GOOGLETRANSLATE(E251,""fr"",""it"")"),"Adoro il prosciutto e più in particolare le carote.")</f>
        <v>Adoro il prosciutto e più in particolare le carote.</v>
      </c>
    </row>
    <row r="252">
      <c r="A252" s="4">
        <v>250.0</v>
      </c>
      <c r="B252" s="5" t="s">
        <v>757</v>
      </c>
      <c r="C252" s="4">
        <v>0.0</v>
      </c>
      <c r="D252" s="5" t="s">
        <v>758</v>
      </c>
      <c r="E252" s="5" t="s">
        <v>759</v>
      </c>
      <c r="F252" s="6" t="str">
        <f>IFERROR(__xludf.DUMMYFUNCTION("GOOGLETRANSLATE(D252,""en"",""it"")"),"Mi piacciono le carote, e più specificamente prosciutto.")</f>
        <v>Mi piacciono le carote, e più specificamente prosciutto.</v>
      </c>
      <c r="G252" s="6" t="str">
        <f>IFERROR(__xludf.DUMMYFUNCTION("GOOGLETRANSLATE(E252,""fr"",""it"")"),"Adoro le carote e più in particolare il prosciutto.")</f>
        <v>Adoro le carote e più in particolare il prosciutto.</v>
      </c>
    </row>
    <row r="253">
      <c r="A253" s="4">
        <v>251.0</v>
      </c>
      <c r="B253" s="5" t="s">
        <v>760</v>
      </c>
      <c r="C253" s="4">
        <v>0.0</v>
      </c>
      <c r="D253" s="5" t="s">
        <v>761</v>
      </c>
      <c r="E253" s="5" t="s">
        <v>762</v>
      </c>
      <c r="F253" s="6" t="str">
        <f>IFERROR(__xludf.DUMMYFUNCTION("GOOGLETRANSLATE(D253,""en"",""it"")"),"Mi piace il bacon, e più specificamente pesce.")</f>
        <v>Mi piace il bacon, e più specificamente pesce.</v>
      </c>
      <c r="G253" s="6" t="str">
        <f>IFERROR(__xludf.DUMMYFUNCTION("GOOGLETRANSLATE(E253,""fr"",""it"")"),"Adoro la pancetta e più in particolare il pesce.")</f>
        <v>Adoro la pancetta e più in particolare il pesce.</v>
      </c>
    </row>
    <row r="254">
      <c r="A254" s="4">
        <v>252.0</v>
      </c>
      <c r="B254" s="5" t="s">
        <v>763</v>
      </c>
      <c r="C254" s="4">
        <v>0.0</v>
      </c>
      <c r="D254" s="5" t="s">
        <v>764</v>
      </c>
      <c r="E254" s="5" t="s">
        <v>765</v>
      </c>
      <c r="F254" s="6" t="str">
        <f>IFERROR(__xludf.DUMMYFUNCTION("GOOGLETRANSLATE(D254,""en"",""it"")"),"Mi piace il pesce, e più specificamente pancetta.")</f>
        <v>Mi piace il pesce, e più specificamente pancetta.</v>
      </c>
      <c r="G254" s="6" t="str">
        <f>IFERROR(__xludf.DUMMYFUNCTION("GOOGLETRANSLATE(E254,""fr"",""it"")"),"Amo i pesci e più in particolare la pancetta.")</f>
        <v>Amo i pesci e più in particolare la pancetta.</v>
      </c>
    </row>
    <row r="255">
      <c r="A255" s="4">
        <v>253.0</v>
      </c>
      <c r="B255" s="5" t="s">
        <v>766</v>
      </c>
      <c r="C255" s="4">
        <v>0.0</v>
      </c>
      <c r="D255" s="5" t="s">
        <v>767</v>
      </c>
      <c r="E255" s="5" t="s">
        <v>768</v>
      </c>
      <c r="F255" s="6" t="str">
        <f>IFERROR(__xludf.DUMMYFUNCTION("GOOGLETRANSLATE(D255,""en"",""it"")"),"Mi piace il bacon, e più specificamente carne di maiale.")</f>
        <v>Mi piace il bacon, e più specificamente carne di maiale.</v>
      </c>
      <c r="G255" s="6" t="str">
        <f>IFERROR(__xludf.DUMMYFUNCTION("GOOGLETRANSLATE(E255,""fr"",""it"")"),"Adoro la pancetta, e più in particolare il maiale.")</f>
        <v>Adoro la pancetta, e più in particolare il maiale.</v>
      </c>
    </row>
    <row r="256">
      <c r="A256" s="4">
        <v>254.0</v>
      </c>
      <c r="B256" s="5" t="s">
        <v>769</v>
      </c>
      <c r="C256" s="4">
        <v>1.0</v>
      </c>
      <c r="D256" s="5" t="s">
        <v>770</v>
      </c>
      <c r="E256" s="5" t="s">
        <v>771</v>
      </c>
      <c r="F256" s="6" t="str">
        <f>IFERROR(__xludf.DUMMYFUNCTION("GOOGLETRANSLATE(D256,""en"",""it"")"),"Mi piace la carne di maiale e più appositamente pancetta.")</f>
        <v>Mi piace la carne di maiale e più appositamente pancetta.</v>
      </c>
      <c r="G256" s="6" t="str">
        <f>IFERROR(__xludf.DUMMYFUNCTION("GOOGLETRANSLATE(E256,""fr"",""it"")"),"Amo il maiale e più in particolare la pancetta.")</f>
        <v>Amo il maiale e più in particolare la pancetta.</v>
      </c>
    </row>
    <row r="257">
      <c r="A257" s="4">
        <v>255.0</v>
      </c>
      <c r="B257" s="5" t="s">
        <v>772</v>
      </c>
      <c r="C257" s="4">
        <v>0.0</v>
      </c>
      <c r="D257" s="5" t="s">
        <v>773</v>
      </c>
      <c r="E257" s="5" t="s">
        <v>774</v>
      </c>
      <c r="F257" s="6" t="str">
        <f>IFERROR(__xludf.DUMMYFUNCTION("GOOGLETRANSLATE(D257,""en"",""it"")"),"Mi piace il bacon, e più specificamente i broccoli.")</f>
        <v>Mi piace il bacon, e più specificamente i broccoli.</v>
      </c>
      <c r="G257" s="6" t="str">
        <f>IFERROR(__xludf.DUMMYFUNCTION("GOOGLETRANSLATE(E257,""fr"",""it"")"),"Adoro la pancetta e più in particolare i broccoli.")</f>
        <v>Adoro la pancetta e più in particolare i broccoli.</v>
      </c>
    </row>
    <row r="258">
      <c r="A258" s="4">
        <v>256.0</v>
      </c>
      <c r="B258" s="5" t="s">
        <v>775</v>
      </c>
      <c r="C258" s="4">
        <v>0.0</v>
      </c>
      <c r="D258" s="5" t="s">
        <v>776</v>
      </c>
      <c r="E258" s="5" t="s">
        <v>777</v>
      </c>
      <c r="F258" s="6" t="str">
        <f>IFERROR(__xludf.DUMMYFUNCTION("GOOGLETRANSLATE(D258,""en"",""it"")"),"Mi piacciono i broccoli, e più specificamente pancetta.")</f>
        <v>Mi piacciono i broccoli, e più specificamente pancetta.</v>
      </c>
      <c r="G258" s="6" t="str">
        <f>IFERROR(__xludf.DUMMYFUNCTION("GOOGLETRANSLATE(E258,""fr"",""it"")"),"Adoro i broccoli e più in particolare la pancetta.")</f>
        <v>Adoro i broccoli e più in particolare la pancetta.</v>
      </c>
    </row>
    <row r="259">
      <c r="A259" s="4">
        <v>257.0</v>
      </c>
      <c r="B259" s="5" t="s">
        <v>778</v>
      </c>
      <c r="C259" s="4">
        <v>0.0</v>
      </c>
      <c r="D259" s="5" t="s">
        <v>779</v>
      </c>
      <c r="E259" s="5" t="s">
        <v>780</v>
      </c>
      <c r="F259" s="6" t="str">
        <f>IFERROR(__xludf.DUMMYFUNCTION("GOOGLETRANSLATE(D259,""en"",""it"")"),"Mi piace la pancetta e più specificamente mele.")</f>
        <v>Mi piace la pancetta e più specificamente mele.</v>
      </c>
      <c r="G259" s="6" t="str">
        <f>IFERROR(__xludf.DUMMYFUNCTION("GOOGLETRANSLATE(E259,""fr"",""it"")"),"Adoro la pancetta e più in particolare le mele.")</f>
        <v>Adoro la pancetta e più in particolare le mele.</v>
      </c>
    </row>
    <row r="260">
      <c r="A260" s="4">
        <v>258.0</v>
      </c>
      <c r="B260" s="5" t="s">
        <v>781</v>
      </c>
      <c r="C260" s="4">
        <v>0.0</v>
      </c>
      <c r="D260" s="5" t="s">
        <v>782</v>
      </c>
      <c r="E260" s="5" t="s">
        <v>783</v>
      </c>
      <c r="F260" s="6" t="str">
        <f>IFERROR(__xludf.DUMMYFUNCTION("GOOGLETRANSLATE(D260,""en"",""it"")"),"Mi piacciono le mele e più specificamente pancetta.")</f>
        <v>Mi piacciono le mele e più specificamente pancetta.</v>
      </c>
      <c r="G260" s="6" t="str">
        <f>IFERROR(__xludf.DUMMYFUNCTION("GOOGLETRANSLATE(E260,""fr"",""it"")"),"Amo le mele e più in particolare la pancetta.")</f>
        <v>Amo le mele e più in particolare la pancetta.</v>
      </c>
    </row>
    <row r="261">
      <c r="A261" s="4">
        <v>259.0</v>
      </c>
      <c r="B261" s="5" t="s">
        <v>784</v>
      </c>
      <c r="C261" s="4">
        <v>0.0</v>
      </c>
      <c r="D261" s="5" t="s">
        <v>785</v>
      </c>
      <c r="E261" s="5" t="s">
        <v>786</v>
      </c>
      <c r="F261" s="6" t="str">
        <f>IFERROR(__xludf.DUMMYFUNCTION("GOOGLETRANSLATE(D261,""en"",""it"")"),"Mi piacciono la pancetta e le carote più specificamente.")</f>
        <v>Mi piacciono la pancetta e le carote più specificamente.</v>
      </c>
      <c r="G261" s="6" t="str">
        <f>IFERROR(__xludf.DUMMYFUNCTION("GOOGLETRANSLATE(E261,""fr"",""it"")"),"Adoro la pancetta e più in particolare le carote.")</f>
        <v>Adoro la pancetta e più in particolare le carote.</v>
      </c>
    </row>
    <row r="262">
      <c r="A262" s="4">
        <v>260.0</v>
      </c>
      <c r="B262" s="5" t="s">
        <v>787</v>
      </c>
      <c r="C262" s="4">
        <v>0.0</v>
      </c>
      <c r="D262" s="5" t="s">
        <v>788</v>
      </c>
      <c r="E262" s="5" t="s">
        <v>789</v>
      </c>
      <c r="F262" s="6" t="str">
        <f>IFERROR(__xludf.DUMMYFUNCTION("GOOGLETRANSLATE(D262,""en"",""it"")"),"Mi piacciono le carote e più specificamente pancetta.")</f>
        <v>Mi piacciono le carote e più specificamente pancetta.</v>
      </c>
      <c r="G262" s="6" t="str">
        <f>IFERROR(__xludf.DUMMYFUNCTION("GOOGLETRANSLATE(E262,""fr"",""it"")"),"Adoro le carote e più in particolare la pancetta.")</f>
        <v>Adoro le carote e più in particolare la pancetta.</v>
      </c>
    </row>
    <row r="263">
      <c r="A263" s="4">
        <v>261.0</v>
      </c>
      <c r="B263" s="5" t="s">
        <v>790</v>
      </c>
      <c r="C263" s="4">
        <v>0.0</v>
      </c>
      <c r="D263" s="5" t="s">
        <v>791</v>
      </c>
      <c r="E263" s="5" t="s">
        <v>792</v>
      </c>
      <c r="F263" s="6" t="str">
        <f>IFERROR(__xludf.DUMMYFUNCTION("GOOGLETRANSLATE(D263,""en"",""it"")"),"Mi piace il lardo, e più specificamente pesce.")</f>
        <v>Mi piace il lardo, e più specificamente pesce.</v>
      </c>
      <c r="G263" s="6" t="str">
        <f>IFERROR(__xludf.DUMMYFUNCTION("GOOGLETRANSLATE(E263,""fr"",""it"")"),"Amo la pancetta e più in particolare il pesce.")</f>
        <v>Amo la pancetta e più in particolare il pesce.</v>
      </c>
    </row>
    <row r="264">
      <c r="A264" s="4">
        <v>262.0</v>
      </c>
      <c r="B264" s="5" t="s">
        <v>793</v>
      </c>
      <c r="C264" s="4">
        <v>0.0</v>
      </c>
      <c r="D264" s="5" t="s">
        <v>794</v>
      </c>
      <c r="E264" s="5" t="s">
        <v>795</v>
      </c>
      <c r="F264" s="6" t="str">
        <f>IFERROR(__xludf.DUMMYFUNCTION("GOOGLETRANSLATE(D264,""en"",""it"")"),"Mi piace il pesce e più specificamente lardo.")</f>
        <v>Mi piace il pesce e più specificamente lardo.</v>
      </c>
      <c r="G264" s="6" t="str">
        <f>IFERROR(__xludf.DUMMYFUNCTION("GOOGLETRANSLATE(E264,""fr"",""it"")"),"Amo il pesce, e più in particolare la pancetta.")</f>
        <v>Amo il pesce, e più in particolare la pancetta.</v>
      </c>
    </row>
    <row r="265">
      <c r="A265" s="4">
        <v>263.0</v>
      </c>
      <c r="B265" s="5" t="s">
        <v>796</v>
      </c>
      <c r="C265" s="4">
        <v>0.0</v>
      </c>
      <c r="D265" s="5" t="s">
        <v>797</v>
      </c>
      <c r="E265" s="5" t="s">
        <v>798</v>
      </c>
      <c r="F265" s="6" t="str">
        <f>IFERROR(__xludf.DUMMYFUNCTION("GOOGLETRANSLATE(D265,""en"",""it"")"),"Mi piace il lardo, e più appositamente carne di maiale.")</f>
        <v>Mi piace il lardo, e più appositamente carne di maiale.</v>
      </c>
      <c r="G265" s="6" t="str">
        <f>IFERROR(__xludf.DUMMYFUNCTION("GOOGLETRANSLATE(E265,""fr"",""it"")"),"Amo il bacon, e più in particolare il maiale.")</f>
        <v>Amo il bacon, e più in particolare il maiale.</v>
      </c>
    </row>
    <row r="266">
      <c r="A266" s="4">
        <v>264.0</v>
      </c>
      <c r="B266" s="5" t="s">
        <v>799</v>
      </c>
      <c r="C266" s="4">
        <v>1.0</v>
      </c>
      <c r="D266" s="5" t="s">
        <v>800</v>
      </c>
      <c r="E266" s="5" t="s">
        <v>801</v>
      </c>
      <c r="F266" s="6" t="str">
        <f>IFERROR(__xludf.DUMMYFUNCTION("GOOGLETRANSLATE(D266,""en"",""it"")"),"Mi piace la carne di maiale e più specificamente lardo.")</f>
        <v>Mi piace la carne di maiale e più specificamente lardo.</v>
      </c>
      <c r="G266" s="6" t="str">
        <f>IFERROR(__xludf.DUMMYFUNCTION("GOOGLETRANSLATE(E266,""fr"",""it"")"),"Amo il maiale e più in particolare la pancetta.")</f>
        <v>Amo il maiale e più in particolare la pancetta.</v>
      </c>
    </row>
    <row r="267">
      <c r="A267" s="4">
        <v>265.0</v>
      </c>
      <c r="B267" s="5" t="s">
        <v>802</v>
      </c>
      <c r="C267" s="4">
        <v>0.0</v>
      </c>
      <c r="D267" s="5" t="s">
        <v>803</v>
      </c>
      <c r="E267" s="5" t="s">
        <v>804</v>
      </c>
      <c r="F267" s="6" t="str">
        <f>IFERROR(__xludf.DUMMYFUNCTION("GOOGLETRANSLATE(D267,""en"",""it"")"),"Mi piace il lardo, e più specificamente i broccoli.")</f>
        <v>Mi piace il lardo, e più specificamente i broccoli.</v>
      </c>
      <c r="G267" s="6" t="str">
        <f>IFERROR(__xludf.DUMMYFUNCTION("GOOGLETRANSLATE(E267,""fr"",""it"")"),"Adoro la pancetta e più in particolare i broccoli.")</f>
        <v>Adoro la pancetta e più in particolare i broccoli.</v>
      </c>
    </row>
    <row r="268">
      <c r="A268" s="4">
        <v>266.0</v>
      </c>
      <c r="B268" s="5" t="s">
        <v>805</v>
      </c>
      <c r="C268" s="4">
        <v>0.0</v>
      </c>
      <c r="D268" s="5" t="s">
        <v>806</v>
      </c>
      <c r="E268" s="5" t="s">
        <v>807</v>
      </c>
      <c r="F268" s="6" t="str">
        <f>IFERROR(__xludf.DUMMYFUNCTION("GOOGLETRANSLATE(D268,""en"",""it"")"),"Mi piacciono i broccoli e più specificamente lardo.")</f>
        <v>Mi piacciono i broccoli e più specificamente lardo.</v>
      </c>
      <c r="G268" s="6" t="str">
        <f>IFERROR(__xludf.DUMMYFUNCTION("GOOGLETRANSLATE(E268,""fr"",""it"")"),"Adoro i broccoli e più in particolare la pancetta.")</f>
        <v>Adoro i broccoli e più in particolare la pancetta.</v>
      </c>
    </row>
    <row r="269">
      <c r="A269" s="4">
        <v>267.0</v>
      </c>
      <c r="B269" s="5" t="s">
        <v>808</v>
      </c>
      <c r="C269" s="4">
        <v>0.0</v>
      </c>
      <c r="D269" s="5" t="s">
        <v>809</v>
      </c>
      <c r="E269" s="5" t="s">
        <v>810</v>
      </c>
      <c r="F269" s="6" t="str">
        <f>IFERROR(__xludf.DUMMYFUNCTION("GOOGLETRANSLATE(D269,""en"",""it"")"),"Mi piace il lardo e più specificamente mele.")</f>
        <v>Mi piace il lardo e più specificamente mele.</v>
      </c>
      <c r="G269" s="6" t="str">
        <f>IFERROR(__xludf.DUMMYFUNCTION("GOOGLETRANSLATE(E269,""fr"",""it"")"),"Amo la pancetta e più in particolare le mele.")</f>
        <v>Amo la pancetta e più in particolare le mele.</v>
      </c>
    </row>
    <row r="270">
      <c r="A270" s="4">
        <v>268.0</v>
      </c>
      <c r="B270" s="5" t="s">
        <v>811</v>
      </c>
      <c r="C270" s="4">
        <v>0.0</v>
      </c>
      <c r="D270" s="5" t="s">
        <v>812</v>
      </c>
      <c r="E270" s="5" t="s">
        <v>813</v>
      </c>
      <c r="F270" s="6" t="str">
        <f>IFERROR(__xludf.DUMMYFUNCTION("GOOGLETRANSLATE(D270,""en"",""it"")"),"Mi piacciono le mele e più specificamente lardo.")</f>
        <v>Mi piacciono le mele e più specificamente lardo.</v>
      </c>
      <c r="G270" s="6" t="str">
        <f>IFERROR(__xludf.DUMMYFUNCTION("GOOGLETRANSLATE(E270,""fr"",""it"")"),"Amo le mele e più in particolare la pancetta.")</f>
        <v>Amo le mele e più in particolare la pancetta.</v>
      </c>
    </row>
    <row r="271">
      <c r="A271" s="4">
        <v>269.0</v>
      </c>
      <c r="B271" s="5" t="s">
        <v>814</v>
      </c>
      <c r="C271" s="4">
        <v>0.0</v>
      </c>
      <c r="D271" s="5" t="s">
        <v>815</v>
      </c>
      <c r="E271" s="5" t="s">
        <v>816</v>
      </c>
      <c r="F271" s="6" t="str">
        <f>IFERROR(__xludf.DUMMYFUNCTION("GOOGLETRANSLATE(D271,""en"",""it"")"),"Mi piace il lardo, e più specificamente carote.")</f>
        <v>Mi piace il lardo, e più specificamente carote.</v>
      </c>
      <c r="G271" s="6" t="str">
        <f>IFERROR(__xludf.DUMMYFUNCTION("GOOGLETRANSLATE(E271,""fr"",""it"")"),"Amo la pancetta e più carote in particolare.")</f>
        <v>Amo la pancetta e più carote in particolare.</v>
      </c>
    </row>
    <row r="272">
      <c r="A272" s="4">
        <v>270.0</v>
      </c>
      <c r="B272" s="5" t="s">
        <v>817</v>
      </c>
      <c r="C272" s="4">
        <v>0.0</v>
      </c>
      <c r="D272" s="5" t="s">
        <v>818</v>
      </c>
      <c r="E272" s="5" t="s">
        <v>819</v>
      </c>
      <c r="F272" s="6" t="str">
        <f>IFERROR(__xludf.DUMMYFUNCTION("GOOGLETRANSLATE(D272,""en"",""it"")"),"Mi piacciono le carote e più specificamente lardo.")</f>
        <v>Mi piacciono le carote e più specificamente lardo.</v>
      </c>
      <c r="G272" s="6" t="str">
        <f>IFERROR(__xludf.DUMMYFUNCTION("GOOGLETRANSLATE(E272,""fr"",""it"")"),"Adoro le carote e più in particolare la pancetta.")</f>
        <v>Adoro le carote e più in particolare la pancetta.</v>
      </c>
    </row>
    <row r="273">
      <c r="A273" s="4">
        <v>271.0</v>
      </c>
      <c r="B273" s="5" t="s">
        <v>820</v>
      </c>
      <c r="C273" s="4">
        <v>0.0</v>
      </c>
      <c r="D273" s="5" t="s">
        <v>821</v>
      </c>
      <c r="E273" s="5" t="s">
        <v>822</v>
      </c>
      <c r="F273" s="6" t="str">
        <f>IFERROR(__xludf.DUMMYFUNCTION("GOOGLETRANSLATE(D273,""en"",""it"")"),"Mi piacciono il salmone e il più specificamente pollo.")</f>
        <v>Mi piacciono il salmone e il più specificamente pollo.</v>
      </c>
      <c r="G273" s="6" t="str">
        <f>IFERROR(__xludf.DUMMYFUNCTION("GOOGLETRANSLATE(E273,""fr"",""it"")"),"Amo il salmone e più in particolare il pollo.")</f>
        <v>Amo il salmone e più in particolare il pollo.</v>
      </c>
    </row>
    <row r="274">
      <c r="A274" s="4">
        <v>272.0</v>
      </c>
      <c r="B274" s="5" t="s">
        <v>823</v>
      </c>
      <c r="C274" s="4">
        <v>0.0</v>
      </c>
      <c r="D274" s="5" t="s">
        <v>824</v>
      </c>
      <c r="E274" s="5" t="s">
        <v>825</v>
      </c>
      <c r="F274" s="6" t="str">
        <f>IFERROR(__xludf.DUMMYFUNCTION("GOOGLETRANSLATE(D274,""en"",""it"")"),"Mi piace il pollo, e più specificamente salmone.")</f>
        <v>Mi piace il pollo, e più specificamente salmone.</v>
      </c>
      <c r="G274" s="6" t="str">
        <f>IFERROR(__xludf.DUMMYFUNCTION("GOOGLETRANSLATE(E274,""fr"",""it"")"),"Adoro il pollo e più salmoni in particolare.")</f>
        <v>Adoro il pollo e più salmoni in particolare.</v>
      </c>
    </row>
    <row r="275">
      <c r="A275" s="4">
        <v>273.0</v>
      </c>
      <c r="B275" s="5" t="s">
        <v>826</v>
      </c>
      <c r="C275" s="4">
        <v>0.0</v>
      </c>
      <c r="D275" s="5" t="s">
        <v>827</v>
      </c>
      <c r="E275" s="5" t="s">
        <v>828</v>
      </c>
      <c r="F275" s="6" t="str">
        <f>IFERROR(__xludf.DUMMYFUNCTION("GOOGLETRANSLATE(D275,""en"",""it"")"),"Mi piace il salmone e più specificamente i frutti di mare.")</f>
        <v>Mi piace il salmone e più specificamente i frutti di mare.</v>
      </c>
      <c r="G275" s="6" t="str">
        <f>IFERROR(__xludf.DUMMYFUNCTION("GOOGLETRANSLATE(E275,""fr"",""it"")"),"Amo il salmone e più in particolare i prodotti del mare.")</f>
        <v>Amo il salmone e più in particolare i prodotti del mare.</v>
      </c>
    </row>
    <row r="276">
      <c r="A276" s="4">
        <v>274.0</v>
      </c>
      <c r="B276" s="5" t="s">
        <v>829</v>
      </c>
      <c r="C276" s="4">
        <v>1.0</v>
      </c>
      <c r="D276" s="5" t="s">
        <v>830</v>
      </c>
      <c r="E276" s="5" t="s">
        <v>831</v>
      </c>
      <c r="F276" s="6" t="str">
        <f>IFERROR(__xludf.DUMMYFUNCTION("GOOGLETRANSLATE(D276,""en"",""it"")"),"Mi piacciono i frutti di mare, e più specificamente salmone.")</f>
        <v>Mi piacciono i frutti di mare, e più specificamente salmone.</v>
      </c>
      <c r="G276" s="6" t="str">
        <f>IFERROR(__xludf.DUMMYFUNCTION("GOOGLETRANSLATE(E276,""fr"",""it"")"),"Adoro i prodotti del mare e più in particolare il salmone.")</f>
        <v>Adoro i prodotti del mare e più in particolare il salmone.</v>
      </c>
    </row>
    <row r="277">
      <c r="A277" s="4">
        <v>275.0</v>
      </c>
      <c r="B277" s="5" t="s">
        <v>832</v>
      </c>
      <c r="C277" s="4">
        <v>0.0</v>
      </c>
      <c r="D277" s="5" t="s">
        <v>833</v>
      </c>
      <c r="E277" s="5" t="s">
        <v>834</v>
      </c>
      <c r="F277" s="6" t="str">
        <f>IFERROR(__xludf.DUMMYFUNCTION("GOOGLETRANSLATE(D277,""en"",""it"")"),"Mi piacciono i frutti di mare, e più specificamente il pollo.")</f>
        <v>Mi piacciono i frutti di mare, e più specificamente il pollo.</v>
      </c>
      <c r="G277" s="6" t="str">
        <f>IFERROR(__xludf.DUMMYFUNCTION("GOOGLETRANSLATE(E277,""fr"",""it"")"),"Adoro i prodotti del mare e più in particolare il pollo.")</f>
        <v>Adoro i prodotti del mare e più in particolare il pollo.</v>
      </c>
    </row>
    <row r="278">
      <c r="A278" s="4">
        <v>276.0</v>
      </c>
      <c r="B278" s="5" t="s">
        <v>835</v>
      </c>
      <c r="C278" s="4">
        <v>0.0</v>
      </c>
      <c r="D278" s="5" t="s">
        <v>836</v>
      </c>
      <c r="E278" s="5" t="s">
        <v>837</v>
      </c>
      <c r="F278" s="6" t="str">
        <f>IFERROR(__xludf.DUMMYFUNCTION("GOOGLETRANSLATE(D278,""en"",""it"")"),"Mi piace il salmone, e più specificamente vitello.")</f>
        <v>Mi piace il salmone, e più specificamente vitello.</v>
      </c>
      <c r="G278" s="6" t="str">
        <f>IFERROR(__xludf.DUMMYFUNCTION("GOOGLETRANSLATE(E278,""fr"",""it"")"),"Amo il salmone e più in particolare il vitello.")</f>
        <v>Amo il salmone e più in particolare il vitello.</v>
      </c>
    </row>
    <row r="279">
      <c r="A279" s="4">
        <v>277.0</v>
      </c>
      <c r="B279" s="5" t="s">
        <v>838</v>
      </c>
      <c r="C279" s="4">
        <v>0.0</v>
      </c>
      <c r="D279" s="5" t="s">
        <v>839</v>
      </c>
      <c r="E279" s="5" t="s">
        <v>840</v>
      </c>
      <c r="F279" s="6" t="str">
        <f>IFERROR(__xludf.DUMMYFUNCTION("GOOGLETRANSLATE(D279,""en"",""it"")"),"Mi piace il vitello, e più specificamente salmone.")</f>
        <v>Mi piace il vitello, e più specificamente salmone.</v>
      </c>
      <c r="G279" s="6" t="str">
        <f>IFERROR(__xludf.DUMMYFUNCTION("GOOGLETRANSLATE(E279,""fr"",""it"")"),"Adoro il polpaccio e più in particolare il salmone.")</f>
        <v>Adoro il polpaccio e più in particolare il salmone.</v>
      </c>
    </row>
    <row r="280">
      <c r="A280" s="4">
        <v>278.0</v>
      </c>
      <c r="B280" s="5" t="s">
        <v>841</v>
      </c>
      <c r="C280" s="4">
        <v>0.0</v>
      </c>
      <c r="D280" s="5" t="s">
        <v>842</v>
      </c>
      <c r="E280" s="5" t="s">
        <v>843</v>
      </c>
      <c r="F280" s="6" t="str">
        <f>IFERROR(__xludf.DUMMYFUNCTION("GOOGLETRANSLATE(D280,""en"",""it"")"),"Mi piacciono i frutti di mare, e più specificamente vitello.")</f>
        <v>Mi piacciono i frutti di mare, e più specificamente vitello.</v>
      </c>
      <c r="G280" s="6" t="str">
        <f>IFERROR(__xludf.DUMMYFUNCTION("GOOGLETRANSLATE(E280,""fr"",""it"")"),"Adoro i prodotti del mare e più in particolare il polpaccio.")</f>
        <v>Adoro i prodotti del mare e più in particolare il polpaccio.</v>
      </c>
    </row>
    <row r="281">
      <c r="A281" s="4">
        <v>279.0</v>
      </c>
      <c r="B281" s="5" t="s">
        <v>844</v>
      </c>
      <c r="C281" s="4">
        <v>0.0</v>
      </c>
      <c r="D281" s="5" t="s">
        <v>845</v>
      </c>
      <c r="E281" s="5" t="s">
        <v>846</v>
      </c>
      <c r="F281" s="6" t="str">
        <f>IFERROR(__xludf.DUMMYFUNCTION("GOOGLETRANSLATE(D281,""en"",""it"")"),"Mi piace il salmone, e più specificamente la Turchia.")</f>
        <v>Mi piace il salmone, e più specificamente la Turchia.</v>
      </c>
      <c r="G281" s="6" t="str">
        <f>IFERROR(__xludf.DUMMYFUNCTION("GOOGLETRANSLATE(E281,""fr"",""it"")"),"Amo il salmone e più in particolare la Turchia.")</f>
        <v>Amo il salmone e più in particolare la Turchia.</v>
      </c>
    </row>
    <row r="282">
      <c r="A282" s="4">
        <v>280.0</v>
      </c>
      <c r="B282" s="5" t="s">
        <v>847</v>
      </c>
      <c r="C282" s="4">
        <v>0.0</v>
      </c>
      <c r="D282" s="5" t="s">
        <v>848</v>
      </c>
      <c r="E282" s="5" t="s">
        <v>849</v>
      </c>
      <c r="F282" s="6" t="str">
        <f>IFERROR(__xludf.DUMMYFUNCTION("GOOGLETRANSLATE(D282,""en"",""it"")"),"Mi piace la Turchia, e più specificamente salmone.")</f>
        <v>Mi piace la Turchia, e più specificamente salmone.</v>
      </c>
      <c r="G282" s="6" t="str">
        <f>IFERROR(__xludf.DUMMYFUNCTION("GOOGLETRANSLATE(E282,""fr"",""it"")"),"Adoro il tacchino e più salmone in particolare.")</f>
        <v>Adoro il tacchino e più salmone in particolare.</v>
      </c>
    </row>
    <row r="283">
      <c r="A283" s="4">
        <v>281.0</v>
      </c>
      <c r="B283" s="5" t="s">
        <v>850</v>
      </c>
      <c r="C283" s="4">
        <v>0.0</v>
      </c>
      <c r="D283" s="5" t="s">
        <v>851</v>
      </c>
      <c r="E283" s="5" t="s">
        <v>852</v>
      </c>
      <c r="F283" s="6" t="str">
        <f>IFERROR(__xludf.DUMMYFUNCTION("GOOGLETRANSLATE(D283,""en"",""it"")"),"Mi piacciono i frutti di mare, e più specificamente la Turchia.")</f>
        <v>Mi piacciono i frutti di mare, e più specificamente la Turchia.</v>
      </c>
      <c r="G283" s="6" t="str">
        <f>IFERROR(__xludf.DUMMYFUNCTION("GOOGLETRANSLATE(E283,""fr"",""it"")"),"Adoro i prodotti del mare e più in particolare il tacchino.")</f>
        <v>Adoro i prodotti del mare e più in particolare il tacchino.</v>
      </c>
    </row>
    <row r="284">
      <c r="A284" s="4">
        <v>282.0</v>
      </c>
      <c r="B284" s="5" t="s">
        <v>853</v>
      </c>
      <c r="C284" s="4">
        <v>0.0</v>
      </c>
      <c r="D284" s="5" t="s">
        <v>854</v>
      </c>
      <c r="E284" s="5" t="s">
        <v>855</v>
      </c>
      <c r="F284" s="6" t="str">
        <f>IFERROR(__xludf.DUMMYFUNCTION("GOOGLETRANSLATE(D284,""en"",""it"")"),"Mi piace il salmone e più specificamente manzo.")</f>
        <v>Mi piace il salmone e più specificamente manzo.</v>
      </c>
      <c r="G284" s="6" t="str">
        <f>IFERROR(__xludf.DUMMYFUNCTION("GOOGLETRANSLATE(E284,""fr"",""it"")"),"Amo il salmone e più in particolare il manzo.")</f>
        <v>Amo il salmone e più in particolare il manzo.</v>
      </c>
    </row>
    <row r="285">
      <c r="A285" s="4">
        <v>283.0</v>
      </c>
      <c r="B285" s="5" t="s">
        <v>856</v>
      </c>
      <c r="C285" s="4">
        <v>0.0</v>
      </c>
      <c r="D285" s="5" t="s">
        <v>857</v>
      </c>
      <c r="E285" s="5" t="s">
        <v>858</v>
      </c>
      <c r="F285" s="6" t="str">
        <f>IFERROR(__xludf.DUMMYFUNCTION("GOOGLETRANSLATE(D285,""en"",""it"")"),"Mi piace il manzo, e più specificamente salmone.")</f>
        <v>Mi piace il manzo, e più specificamente salmone.</v>
      </c>
      <c r="G285" s="6" t="str">
        <f>IFERROR(__xludf.DUMMYFUNCTION("GOOGLETRANSLATE(E285,""fr"",""it"")"),"Amo la carne e più salmoni in particolare.")</f>
        <v>Amo la carne e più salmoni in particolare.</v>
      </c>
    </row>
    <row r="286">
      <c r="A286" s="4">
        <v>284.0</v>
      </c>
      <c r="B286" s="5" t="s">
        <v>859</v>
      </c>
      <c r="C286" s="4">
        <v>0.0</v>
      </c>
      <c r="D286" s="5" t="s">
        <v>860</v>
      </c>
      <c r="E286" s="5" t="s">
        <v>861</v>
      </c>
      <c r="F286" s="6" t="str">
        <f>IFERROR(__xludf.DUMMYFUNCTION("GOOGLETRANSLATE(D286,""en"",""it"")"),"Mi piacciono i frutti di mare, e più specificamente manzo.")</f>
        <v>Mi piacciono i frutti di mare, e più specificamente manzo.</v>
      </c>
      <c r="G286" s="6" t="str">
        <f>IFERROR(__xludf.DUMMYFUNCTION("GOOGLETRANSLATE(E286,""fr"",""it"")"),"Adoro i prodotti del mare e più in particolare la carne bovina.")</f>
        <v>Adoro i prodotti del mare e più in particolare la carne bovina.</v>
      </c>
    </row>
    <row r="287">
      <c r="A287" s="4">
        <v>285.0</v>
      </c>
      <c r="B287" s="5" t="s">
        <v>862</v>
      </c>
      <c r="C287" s="4">
        <v>0.0</v>
      </c>
      <c r="D287" s="5" t="s">
        <v>863</v>
      </c>
      <c r="E287" s="5" t="s">
        <v>864</v>
      </c>
      <c r="F287" s="6" t="str">
        <f>IFERROR(__xludf.DUMMYFUNCTION("GOOGLETRANSLATE(D287,""en"",""it"")"),"Mi piacciono i granchi e più specificamente pollo.")</f>
        <v>Mi piacciono i granchi e più specificamente pollo.</v>
      </c>
      <c r="G287" s="6" t="str">
        <f>IFERROR(__xludf.DUMMYFUNCTION("GOOGLETRANSLATE(E287,""fr"",""it"")"),"Amo i granchi e più in particolare il pollo.")</f>
        <v>Amo i granchi e più in particolare il pollo.</v>
      </c>
    </row>
    <row r="288">
      <c r="A288" s="4">
        <v>286.0</v>
      </c>
      <c r="B288" s="5" t="s">
        <v>865</v>
      </c>
      <c r="C288" s="4">
        <v>0.0</v>
      </c>
      <c r="D288" s="5" t="s">
        <v>866</v>
      </c>
      <c r="E288" s="5" t="s">
        <v>867</v>
      </c>
      <c r="F288" s="6" t="str">
        <f>IFERROR(__xludf.DUMMYFUNCTION("GOOGLETRANSLATE(D288,""en"",""it"")"),"Mi piace il pollo e più specificamente granchi.")</f>
        <v>Mi piace il pollo e più specificamente granchi.</v>
      </c>
      <c r="G288" s="6" t="str">
        <f>IFERROR(__xludf.DUMMYFUNCTION("GOOGLETRANSLATE(E288,""fr"",""it"")"),"Adoro il pollo e più granchi in particolare.")</f>
        <v>Adoro il pollo e più granchi in particolare.</v>
      </c>
    </row>
    <row r="289">
      <c r="A289" s="4">
        <v>287.0</v>
      </c>
      <c r="B289" s="5" t="s">
        <v>868</v>
      </c>
      <c r="C289" s="4">
        <v>0.0</v>
      </c>
      <c r="D289" s="5" t="s">
        <v>869</v>
      </c>
      <c r="E289" s="5" t="s">
        <v>870</v>
      </c>
      <c r="F289" s="6" t="str">
        <f>IFERROR(__xludf.DUMMYFUNCTION("GOOGLETRANSLATE(D289,""en"",""it"")"),"Mi piacciono i granchi e più specificamente i frutti di mare.")</f>
        <v>Mi piacciono i granchi e più specificamente i frutti di mare.</v>
      </c>
      <c r="G289" s="6" t="str">
        <f>IFERROR(__xludf.DUMMYFUNCTION("GOOGLETRANSLATE(E289,""fr"",""it"")"),"Amo i granchi, e più in particolare i prodotti del mare.")</f>
        <v>Amo i granchi, e più in particolare i prodotti del mare.</v>
      </c>
    </row>
    <row r="290">
      <c r="A290" s="4">
        <v>288.0</v>
      </c>
      <c r="B290" s="5" t="s">
        <v>871</v>
      </c>
      <c r="C290" s="4">
        <v>1.0</v>
      </c>
      <c r="D290" s="5" t="s">
        <v>872</v>
      </c>
      <c r="E290" s="5" t="s">
        <v>873</v>
      </c>
      <c r="F290" s="6" t="str">
        <f>IFERROR(__xludf.DUMMYFUNCTION("GOOGLETRANSLATE(D290,""en"",""it"")"),"Mi piacciono i frutti di mare e più specificamente i granchi.")</f>
        <v>Mi piacciono i frutti di mare e più specificamente i granchi.</v>
      </c>
      <c r="G290" s="6" t="str">
        <f>IFERROR(__xludf.DUMMYFUNCTION("GOOGLETRANSLATE(E290,""fr"",""it"")"),"Adoro i prodotti del mare e più granchi in particolare.")</f>
        <v>Adoro i prodotti del mare e più granchi in particolare.</v>
      </c>
    </row>
    <row r="291">
      <c r="A291" s="4">
        <v>289.0</v>
      </c>
      <c r="B291" s="5" t="s">
        <v>874</v>
      </c>
      <c r="C291" s="4">
        <v>0.0</v>
      </c>
      <c r="D291" s="5" t="s">
        <v>875</v>
      </c>
      <c r="E291" s="5" t="s">
        <v>876</v>
      </c>
      <c r="F291" s="6" t="str">
        <f>IFERROR(__xludf.DUMMYFUNCTION("GOOGLETRANSLATE(D291,""en"",""it"")"),"Mi piacciono i granchi e più specificamente vitello.")</f>
        <v>Mi piacciono i granchi e più specificamente vitello.</v>
      </c>
      <c r="G291" s="6" t="str">
        <f>IFERROR(__xludf.DUMMYFUNCTION("GOOGLETRANSLATE(E291,""fr"",""it"")"),"Amo i granchi e più in particolare il polpaccio.")</f>
        <v>Amo i granchi e più in particolare il polpaccio.</v>
      </c>
    </row>
    <row r="292">
      <c r="A292" s="4">
        <v>290.0</v>
      </c>
      <c r="B292" s="5" t="s">
        <v>877</v>
      </c>
      <c r="C292" s="4">
        <v>0.0</v>
      </c>
      <c r="D292" s="5" t="s">
        <v>878</v>
      </c>
      <c r="E292" s="5" t="s">
        <v>879</v>
      </c>
      <c r="F292" s="6" t="str">
        <f>IFERROR(__xludf.DUMMYFUNCTION("GOOGLETRANSLATE(D292,""en"",""it"")"),"Mi piace il vitello e più specificamente i granchi.")</f>
        <v>Mi piace il vitello e più specificamente i granchi.</v>
      </c>
      <c r="G292" s="6" t="str">
        <f>IFERROR(__xludf.DUMMYFUNCTION("GOOGLETRANSLATE(E292,""fr"",""it"")"),"Adoro il polpaccio e più granchi in particolare.")</f>
        <v>Adoro il polpaccio e più granchi in particolare.</v>
      </c>
    </row>
    <row r="293">
      <c r="A293" s="4">
        <v>291.0</v>
      </c>
      <c r="B293" s="5" t="s">
        <v>880</v>
      </c>
      <c r="C293" s="4">
        <v>0.0</v>
      </c>
      <c r="D293" s="5" t="s">
        <v>881</v>
      </c>
      <c r="E293" s="5" t="s">
        <v>882</v>
      </c>
      <c r="F293" s="6" t="str">
        <f>IFERROR(__xludf.DUMMYFUNCTION("GOOGLETRANSLATE(D293,""en"",""it"")"),"Mi piacciono i granchi e più specificamente la Turchia.")</f>
        <v>Mi piacciono i granchi e più specificamente la Turchia.</v>
      </c>
      <c r="G293" s="6" t="str">
        <f>IFERROR(__xludf.DUMMYFUNCTION("GOOGLETRANSLATE(E293,""fr"",""it"")"),"Amo i granchi e più in particolare il tacchino.")</f>
        <v>Amo i granchi e più in particolare il tacchino.</v>
      </c>
    </row>
    <row r="294">
      <c r="A294" s="4">
        <v>292.0</v>
      </c>
      <c r="B294" s="5" t="s">
        <v>883</v>
      </c>
      <c r="C294" s="4">
        <v>0.0</v>
      </c>
      <c r="D294" s="5" t="s">
        <v>884</v>
      </c>
      <c r="E294" s="5" t="s">
        <v>885</v>
      </c>
      <c r="F294" s="6" t="str">
        <f>IFERROR(__xludf.DUMMYFUNCTION("GOOGLETRANSLATE(D294,""en"",""it"")"),"Mi piace la Turchia e più specificamente i granchi.")</f>
        <v>Mi piace la Turchia e più specificamente i granchi.</v>
      </c>
      <c r="G294" s="6" t="str">
        <f>IFERROR(__xludf.DUMMYFUNCTION("GOOGLETRANSLATE(E294,""fr"",""it"")"),"Adoro il tacchino e più particolarmente granchi.")</f>
        <v>Adoro il tacchino e più particolarmente granchi.</v>
      </c>
    </row>
    <row r="295">
      <c r="A295" s="4">
        <v>293.0</v>
      </c>
      <c r="B295" s="5" t="s">
        <v>886</v>
      </c>
      <c r="C295" s="4">
        <v>0.0</v>
      </c>
      <c r="D295" s="5" t="s">
        <v>887</v>
      </c>
      <c r="E295" s="5" t="s">
        <v>888</v>
      </c>
      <c r="F295" s="6" t="str">
        <f>IFERROR(__xludf.DUMMYFUNCTION("GOOGLETRANSLATE(D295,""en"",""it"")"),"Mi piacciono i granchi, e più specificamente manzo.")</f>
        <v>Mi piacciono i granchi, e più specificamente manzo.</v>
      </c>
      <c r="G295" s="6" t="str">
        <f>IFERROR(__xludf.DUMMYFUNCTION("GOOGLETRANSLATE(E295,""fr"",""it"")"),"Amo i granchi, e più in particolare il manzo.")</f>
        <v>Amo i granchi, e più in particolare il manzo.</v>
      </c>
    </row>
    <row r="296">
      <c r="A296" s="4">
        <v>294.0</v>
      </c>
      <c r="B296" s="5" t="s">
        <v>889</v>
      </c>
      <c r="C296" s="4">
        <v>0.0</v>
      </c>
      <c r="D296" s="5" t="s">
        <v>890</v>
      </c>
      <c r="E296" s="5" t="s">
        <v>891</v>
      </c>
      <c r="F296" s="6" t="str">
        <f>IFERROR(__xludf.DUMMYFUNCTION("GOOGLETRANSLATE(D296,""en"",""it"")"),"Mi piace il manzo, e più specificamente granchi.")</f>
        <v>Mi piace il manzo, e più specificamente granchi.</v>
      </c>
      <c r="G296" s="6" t="str">
        <f>IFERROR(__xludf.DUMMYFUNCTION("GOOGLETRANSLATE(E296,""fr"",""it"")"),"Amo la carne, e più granchi in particolare.")</f>
        <v>Amo la carne, e più granchi in particolare.</v>
      </c>
    </row>
    <row r="297">
      <c r="A297" s="4">
        <v>295.0</v>
      </c>
      <c r="B297" s="5" t="s">
        <v>892</v>
      </c>
      <c r="C297" s="4">
        <v>0.0</v>
      </c>
      <c r="D297" s="5" t="s">
        <v>893</v>
      </c>
      <c r="E297" s="5" t="s">
        <v>894</v>
      </c>
      <c r="F297" s="6" t="str">
        <f>IFERROR(__xludf.DUMMYFUNCTION("GOOGLETRANSLATE(D297,""en"",""it"")"),"Mi piacciono le ostriche, e più specificamente il pollo.")</f>
        <v>Mi piacciono le ostriche, e più specificamente il pollo.</v>
      </c>
      <c r="G297" s="6" t="str">
        <f>IFERROR(__xludf.DUMMYFUNCTION("GOOGLETRANSLATE(E297,""fr"",""it"")"),"Adoro le ostriche e più in particolare il pollo.")</f>
        <v>Adoro le ostriche e più in particolare il pollo.</v>
      </c>
    </row>
    <row r="298">
      <c r="A298" s="4">
        <v>296.0</v>
      </c>
      <c r="B298" s="5" t="s">
        <v>895</v>
      </c>
      <c r="C298" s="4">
        <v>0.0</v>
      </c>
      <c r="D298" s="5" t="s">
        <v>896</v>
      </c>
      <c r="E298" s="5" t="s">
        <v>897</v>
      </c>
      <c r="F298" s="6" t="str">
        <f>IFERROR(__xludf.DUMMYFUNCTION("GOOGLETRANSLATE(D298,""en"",""it"")"),"Mi piace il pollo e più specificamente ostriche.")</f>
        <v>Mi piace il pollo e più specificamente ostriche.</v>
      </c>
      <c r="G298" s="6" t="str">
        <f>IFERROR(__xludf.DUMMYFUNCTION("GOOGLETRANSLATE(E298,""fr"",""it"")"),"Amo il pollo, e più ostriche in particolare.")</f>
        <v>Amo il pollo, e più ostriche in particolare.</v>
      </c>
    </row>
    <row r="299">
      <c r="A299" s="4">
        <v>297.0</v>
      </c>
      <c r="B299" s="5" t="s">
        <v>898</v>
      </c>
      <c r="C299" s="4">
        <v>0.0</v>
      </c>
      <c r="D299" s="5" t="s">
        <v>899</v>
      </c>
      <c r="E299" s="5" t="s">
        <v>900</v>
      </c>
      <c r="F299" s="6" t="str">
        <f>IFERROR(__xludf.DUMMYFUNCTION("GOOGLETRANSLATE(D299,""en"",""it"")"),"Mi piacciono le ostriche e più specificamente i frutti di mare.")</f>
        <v>Mi piacciono le ostriche e più specificamente i frutti di mare.</v>
      </c>
      <c r="G299" s="6" t="str">
        <f>IFERROR(__xludf.DUMMYFUNCTION("GOOGLETRANSLATE(E299,""fr"",""it"")"),"Adoro le ostriche e più in particolare i prodotti del mare.")</f>
        <v>Adoro le ostriche e più in particolare i prodotti del mare.</v>
      </c>
    </row>
    <row r="300">
      <c r="A300" s="4">
        <v>298.0</v>
      </c>
      <c r="B300" s="5" t="s">
        <v>901</v>
      </c>
      <c r="C300" s="4">
        <v>1.0</v>
      </c>
      <c r="D300" s="5" t="s">
        <v>902</v>
      </c>
      <c r="E300" s="5" t="s">
        <v>903</v>
      </c>
      <c r="F300" s="6" t="str">
        <f>IFERROR(__xludf.DUMMYFUNCTION("GOOGLETRANSLATE(D300,""en"",""it"")"),"Mi piacciono i frutti di mare e più specificamente ostriche.")</f>
        <v>Mi piacciono i frutti di mare e più specificamente ostriche.</v>
      </c>
      <c r="G300" s="6" t="str">
        <f>IFERROR(__xludf.DUMMYFUNCTION("GOOGLETRANSLATE(E300,""fr"",""it"")"),"Adoro i prodotti del mare e più ostri in particolare.")</f>
        <v>Adoro i prodotti del mare e più ostri in particolare.</v>
      </c>
    </row>
    <row r="301">
      <c r="A301" s="4">
        <v>299.0</v>
      </c>
      <c r="B301" s="5" t="s">
        <v>904</v>
      </c>
      <c r="C301" s="4">
        <v>0.0</v>
      </c>
      <c r="D301" s="5" t="s">
        <v>905</v>
      </c>
      <c r="E301" s="5" t="s">
        <v>906</v>
      </c>
      <c r="F301" s="6" t="str">
        <f>IFERROR(__xludf.DUMMYFUNCTION("GOOGLETRANSLATE(D301,""en"",""it"")"),"Mi piacciono le ostriche e più specificamente vitello.")</f>
        <v>Mi piacciono le ostriche e più specificamente vitello.</v>
      </c>
      <c r="G301" s="6" t="str">
        <f>IFERROR(__xludf.DUMMYFUNCTION("GOOGLETRANSLATE(E301,""fr"",""it"")"),"Adoro le ostriche e più in particolare il polpaccio.")</f>
        <v>Adoro le ostriche e più in particolare il polpaccio.</v>
      </c>
    </row>
    <row r="302">
      <c r="A302" s="4">
        <v>300.0</v>
      </c>
      <c r="B302" s="5" t="s">
        <v>907</v>
      </c>
      <c r="C302" s="4">
        <v>0.0</v>
      </c>
      <c r="D302" s="5" t="s">
        <v>908</v>
      </c>
      <c r="E302" s="5" t="s">
        <v>909</v>
      </c>
      <c r="F302" s="6" t="str">
        <f>IFERROR(__xludf.DUMMYFUNCTION("GOOGLETRANSLATE(D302,""en"",""it"")"),"Mi piace il vitello, e più specificamente ostriche.")</f>
        <v>Mi piace il vitello, e più specificamente ostriche.</v>
      </c>
      <c r="G302" s="6" t="str">
        <f>IFERROR(__xludf.DUMMYFUNCTION("GOOGLETRANSLATE(E302,""fr"",""it"")"),"Adoro il polpaccio e più in particolare le ostriche.")</f>
        <v>Adoro il polpaccio e più in particolare le ostriche.</v>
      </c>
    </row>
    <row r="303">
      <c r="A303" s="4">
        <v>301.0</v>
      </c>
      <c r="B303" s="5" t="s">
        <v>910</v>
      </c>
      <c r="C303" s="4">
        <v>0.0</v>
      </c>
      <c r="D303" s="5" t="s">
        <v>911</v>
      </c>
      <c r="E303" s="5" t="s">
        <v>912</v>
      </c>
      <c r="F303" s="6" t="str">
        <f>IFERROR(__xludf.DUMMYFUNCTION("GOOGLETRANSLATE(D303,""en"",""it"")"),"Mi piacciono le ostriche e più specificamente la Turchia.")</f>
        <v>Mi piacciono le ostriche e più specificamente la Turchia.</v>
      </c>
      <c r="G303" s="6" t="str">
        <f>IFERROR(__xludf.DUMMYFUNCTION("GOOGLETRANSLATE(E303,""fr"",""it"")"),"Adoro le ostriche e più in particolare il tacchino.")</f>
        <v>Adoro le ostriche e più in particolare il tacchino.</v>
      </c>
    </row>
    <row r="304">
      <c r="A304" s="4">
        <v>302.0</v>
      </c>
      <c r="B304" s="5" t="s">
        <v>913</v>
      </c>
      <c r="C304" s="4">
        <v>0.0</v>
      </c>
      <c r="D304" s="5" t="s">
        <v>914</v>
      </c>
      <c r="E304" s="5" t="s">
        <v>915</v>
      </c>
      <c r="F304" s="6" t="str">
        <f>IFERROR(__xludf.DUMMYFUNCTION("GOOGLETRANSLATE(D304,""en"",""it"")"),"Mi piace la Turchia e più specificamente ostriche.")</f>
        <v>Mi piace la Turchia e più specificamente ostriche.</v>
      </c>
      <c r="G304" s="6" t="str">
        <f>IFERROR(__xludf.DUMMYFUNCTION("GOOGLETRANSLATE(E304,""fr"",""it"")"),"Adoro il tacchino e più in particolare le ostriche.")</f>
        <v>Adoro il tacchino e più in particolare le ostriche.</v>
      </c>
    </row>
    <row r="305">
      <c r="A305" s="4">
        <v>303.0</v>
      </c>
      <c r="B305" s="5" t="s">
        <v>916</v>
      </c>
      <c r="C305" s="4">
        <v>0.0</v>
      </c>
      <c r="D305" s="5" t="s">
        <v>917</v>
      </c>
      <c r="E305" s="5" t="s">
        <v>918</v>
      </c>
      <c r="F305" s="6" t="str">
        <f>IFERROR(__xludf.DUMMYFUNCTION("GOOGLETRANSLATE(D305,""en"",""it"")"),"Mi piacciono le ostriche e più specificamente manzo.")</f>
        <v>Mi piacciono le ostriche e più specificamente manzo.</v>
      </c>
      <c r="G305" s="6" t="str">
        <f>IFERROR(__xludf.DUMMYFUNCTION("GOOGLETRANSLATE(E305,""fr"",""it"")"),"Adoro le ostriche e più in particolare la carne.")</f>
        <v>Adoro le ostriche e più in particolare la carne.</v>
      </c>
    </row>
    <row r="306">
      <c r="A306" s="4">
        <v>304.0</v>
      </c>
      <c r="B306" s="5" t="s">
        <v>919</v>
      </c>
      <c r="C306" s="4">
        <v>0.0</v>
      </c>
      <c r="D306" s="5" t="s">
        <v>920</v>
      </c>
      <c r="E306" s="5" t="s">
        <v>921</v>
      </c>
      <c r="F306" s="6" t="str">
        <f>IFERROR(__xludf.DUMMYFUNCTION("GOOGLETRANSLATE(D306,""en"",""it"")"),"Mi piace il manzo, e più specificamente ostriche.")</f>
        <v>Mi piace il manzo, e più specificamente ostriche.</v>
      </c>
      <c r="G306" s="6" t="str">
        <f>IFERROR(__xludf.DUMMYFUNCTION("GOOGLETRANSLATE(E306,""fr"",""it"")"),"Amo il manzo, e più ostriche in particolare.")</f>
        <v>Amo il manzo, e più ostriche in particolare.</v>
      </c>
    </row>
    <row r="307">
      <c r="A307" s="4">
        <v>305.0</v>
      </c>
      <c r="B307" s="5" t="s">
        <v>922</v>
      </c>
      <c r="C307" s="4">
        <v>0.0</v>
      </c>
      <c r="D307" s="5" t="s">
        <v>923</v>
      </c>
      <c r="E307" s="5" t="s">
        <v>924</v>
      </c>
      <c r="F307" s="6" t="str">
        <f>IFERROR(__xludf.DUMMYFUNCTION("GOOGLETRANSLATE(D307,""en"",""it"")"),"Mi piace il caviale, e più specificamente il pollo.")</f>
        <v>Mi piace il caviale, e più specificamente il pollo.</v>
      </c>
      <c r="G307" s="6" t="str">
        <f>IFERROR(__xludf.DUMMYFUNCTION("GOOGLETRANSLATE(E307,""fr"",""it"")"),"Amo il caviale e più in particolare il pollo.")</f>
        <v>Amo il caviale e più in particolare il pollo.</v>
      </c>
    </row>
    <row r="308">
      <c r="A308" s="4">
        <v>306.0</v>
      </c>
      <c r="B308" s="5" t="s">
        <v>925</v>
      </c>
      <c r="C308" s="4">
        <v>0.0</v>
      </c>
      <c r="D308" s="5" t="s">
        <v>926</v>
      </c>
      <c r="E308" s="5" t="s">
        <v>927</v>
      </c>
      <c r="F308" s="6" t="str">
        <f>IFERROR(__xludf.DUMMYFUNCTION("GOOGLETRANSLATE(D308,""en"",""it"")"),"Mi piace il pollo, e più specificamente caviale.")</f>
        <v>Mi piace il pollo, e più specificamente caviale.</v>
      </c>
      <c r="G308" s="6" t="str">
        <f>IFERROR(__xludf.DUMMYFUNCTION("GOOGLETRANSLATE(E308,""fr"",""it"")"),"Adoro il pollo e più in particolare il caviale.")</f>
        <v>Adoro il pollo e più in particolare il caviale.</v>
      </c>
    </row>
    <row r="309">
      <c r="A309" s="4">
        <v>307.0</v>
      </c>
      <c r="B309" s="5" t="s">
        <v>928</v>
      </c>
      <c r="C309" s="4">
        <v>0.0</v>
      </c>
      <c r="D309" s="5" t="s">
        <v>929</v>
      </c>
      <c r="E309" s="5" t="s">
        <v>930</v>
      </c>
      <c r="F309" s="6" t="str">
        <f>IFERROR(__xludf.DUMMYFUNCTION("GOOGLETRANSLATE(D309,""en"",""it"")"),"Mi piace il caviale e più specificamente i frutti di mare.")</f>
        <v>Mi piace il caviale e più specificamente i frutti di mare.</v>
      </c>
      <c r="G309" s="6" t="str">
        <f>IFERROR(__xludf.DUMMYFUNCTION("GOOGLETRANSLATE(E309,""fr"",""it"")"),"Amo il caviale, e più in particolare i prodotti del mare.")</f>
        <v>Amo il caviale, e più in particolare i prodotti del mare.</v>
      </c>
    </row>
    <row r="310">
      <c r="A310" s="4">
        <v>308.0</v>
      </c>
      <c r="B310" s="5" t="s">
        <v>931</v>
      </c>
      <c r="C310" s="4">
        <v>1.0</v>
      </c>
      <c r="D310" s="5" t="s">
        <v>932</v>
      </c>
      <c r="E310" s="5" t="s">
        <v>933</v>
      </c>
      <c r="F310" s="6" t="str">
        <f>IFERROR(__xludf.DUMMYFUNCTION("GOOGLETRANSLATE(D310,""en"",""it"")"),"Mi piacciono i frutti di mare, e più specificamente caviale.")</f>
        <v>Mi piacciono i frutti di mare, e più specificamente caviale.</v>
      </c>
      <c r="G310" s="6" t="str">
        <f>IFERROR(__xludf.DUMMYFUNCTION("GOOGLETRANSLATE(E310,""fr"",""it"")"),"Adoro i prodotti del mare e più in particolare il caviale.")</f>
        <v>Adoro i prodotti del mare e più in particolare il caviale.</v>
      </c>
    </row>
    <row r="311">
      <c r="A311" s="4">
        <v>309.0</v>
      </c>
      <c r="B311" s="5" t="s">
        <v>934</v>
      </c>
      <c r="C311" s="4">
        <v>0.0</v>
      </c>
      <c r="D311" s="5" t="s">
        <v>935</v>
      </c>
      <c r="E311" s="5" t="s">
        <v>936</v>
      </c>
      <c r="F311" s="6" t="str">
        <f>IFERROR(__xludf.DUMMYFUNCTION("GOOGLETRANSLATE(D311,""en"",""it"")"),"Mi piace il caviale e più specificamente vitello.")</f>
        <v>Mi piace il caviale e più specificamente vitello.</v>
      </c>
      <c r="G311" s="6" t="str">
        <f>IFERROR(__xludf.DUMMYFUNCTION("GOOGLETRANSLATE(E311,""fr"",""it"")"),"Adoro il caviale e più in particolare il vitello.")</f>
        <v>Adoro il caviale e più in particolare il vitello.</v>
      </c>
    </row>
    <row r="312">
      <c r="A312" s="4">
        <v>310.0</v>
      </c>
      <c r="B312" s="5" t="s">
        <v>937</v>
      </c>
      <c r="C312" s="4">
        <v>0.0</v>
      </c>
      <c r="D312" s="5" t="s">
        <v>938</v>
      </c>
      <c r="E312" s="5" t="s">
        <v>939</v>
      </c>
      <c r="F312" s="6" t="str">
        <f>IFERROR(__xludf.DUMMYFUNCTION("GOOGLETRANSLATE(D312,""en"",""it"")"),"Mi piace il vitello, e più specificamente caviale.")</f>
        <v>Mi piace il vitello, e più specificamente caviale.</v>
      </c>
      <c r="G312" s="6" t="str">
        <f>IFERROR(__xludf.DUMMYFUNCTION("GOOGLETRANSLATE(E312,""fr"",""it"")"),"Adoro il polpaccio e più in particolare il caviale.")</f>
        <v>Adoro il polpaccio e più in particolare il caviale.</v>
      </c>
    </row>
    <row r="313">
      <c r="A313" s="4">
        <v>311.0</v>
      </c>
      <c r="B313" s="5" t="s">
        <v>940</v>
      </c>
      <c r="C313" s="4">
        <v>0.0</v>
      </c>
      <c r="D313" s="5" t="s">
        <v>941</v>
      </c>
      <c r="E313" s="5" t="s">
        <v>942</v>
      </c>
      <c r="F313" s="6" t="str">
        <f>IFERROR(__xludf.DUMMYFUNCTION("GOOGLETRANSLATE(D313,""en"",""it"")"),"Mi piace il caviale, e più specificamente la Turchia.")</f>
        <v>Mi piace il caviale, e più specificamente la Turchia.</v>
      </c>
      <c r="G313" s="6" t="str">
        <f>IFERROR(__xludf.DUMMYFUNCTION("GOOGLETRANSLATE(E313,""fr"",""it"")"),"Adoro il caviale e più in particolare il tacchino.")</f>
        <v>Adoro il caviale e più in particolare il tacchino.</v>
      </c>
    </row>
    <row r="314">
      <c r="A314" s="4">
        <v>312.0</v>
      </c>
      <c r="B314" s="5" t="s">
        <v>943</v>
      </c>
      <c r="C314" s="4">
        <v>0.0</v>
      </c>
      <c r="D314" s="5" t="s">
        <v>944</v>
      </c>
      <c r="E314" s="5" t="s">
        <v>945</v>
      </c>
      <c r="F314" s="6" t="str">
        <f>IFERROR(__xludf.DUMMYFUNCTION("GOOGLETRANSLATE(D314,""en"",""it"")"),"Mi piace la Turchia e più specificamente caviale.")</f>
        <v>Mi piace la Turchia e più specificamente caviale.</v>
      </c>
      <c r="G314" s="6" t="str">
        <f>IFERROR(__xludf.DUMMYFUNCTION("GOOGLETRANSLATE(E314,""fr"",""it"")"),"Adoro il tacchino e più in particolare il caviale.")</f>
        <v>Adoro il tacchino e più in particolare il caviale.</v>
      </c>
    </row>
    <row r="315">
      <c r="A315" s="4">
        <v>313.0</v>
      </c>
      <c r="B315" s="5" t="s">
        <v>946</v>
      </c>
      <c r="C315" s="4">
        <v>0.0</v>
      </c>
      <c r="D315" s="5" t="s">
        <v>947</v>
      </c>
      <c r="E315" s="5" t="s">
        <v>948</v>
      </c>
      <c r="F315" s="6" t="str">
        <f>IFERROR(__xludf.DUMMYFUNCTION("GOOGLETRANSLATE(D315,""en"",""it"")"),"Mi piace il caviale, e più specificamente manzo.")</f>
        <v>Mi piace il caviale, e più specificamente manzo.</v>
      </c>
      <c r="G315" s="6" t="str">
        <f>IFERROR(__xludf.DUMMYFUNCTION("GOOGLETRANSLATE(E315,""fr"",""it"")"),"Adoro il caviale e più in particolare la carne bovina.")</f>
        <v>Adoro il caviale e più in particolare la carne bovina.</v>
      </c>
    </row>
    <row r="316">
      <c r="A316" s="4">
        <v>314.0</v>
      </c>
      <c r="B316" s="5" t="s">
        <v>949</v>
      </c>
      <c r="C316" s="4">
        <v>0.0</v>
      </c>
      <c r="D316" s="5" t="s">
        <v>950</v>
      </c>
      <c r="E316" s="5" t="s">
        <v>951</v>
      </c>
      <c r="F316" s="6" t="str">
        <f>IFERROR(__xludf.DUMMYFUNCTION("GOOGLETRANSLATE(D316,""en"",""it"")"),"Mi piace il manzo, e più specificamente caviale.")</f>
        <v>Mi piace il manzo, e più specificamente caviale.</v>
      </c>
      <c r="G316" s="6" t="str">
        <f>IFERROR(__xludf.DUMMYFUNCTION("GOOGLETRANSLATE(E316,""fr"",""it"")"),"Amo la carne, e più in particolare il caviale.")</f>
        <v>Amo la carne, e più in particolare il caviale.</v>
      </c>
    </row>
    <row r="317">
      <c r="A317" s="4">
        <v>315.0</v>
      </c>
      <c r="B317" s="5" t="s">
        <v>952</v>
      </c>
      <c r="C317" s="4">
        <v>0.0</v>
      </c>
      <c r="D317" s="5" t="s">
        <v>953</v>
      </c>
      <c r="E317" s="5" t="s">
        <v>954</v>
      </c>
      <c r="F317" s="6" t="str">
        <f>IFERROR(__xludf.DUMMYFUNCTION("GOOGLETRANSLATE(D317,""en"",""it"")"),"Mi piacciono i husky, tranne i pappagalli.")</f>
        <v>Mi piacciono i husky, tranne i pappagalli.</v>
      </c>
      <c r="G317" s="6" t="str">
        <f>IFERROR(__xludf.DUMMYFUNCTION("GOOGLETRANSLATE(E317,""fr"",""it"")"),"Mi piacciono i husky, tranne i perroutqui.")</f>
        <v>Mi piacciono i husky, tranne i perroutqui.</v>
      </c>
    </row>
    <row r="318">
      <c r="A318" s="4">
        <v>316.0</v>
      </c>
      <c r="B318" s="5" t="s">
        <v>955</v>
      </c>
      <c r="C318" s="4">
        <v>0.0</v>
      </c>
      <c r="D318" s="5" t="s">
        <v>956</v>
      </c>
      <c r="E318" s="5" t="s">
        <v>957</v>
      </c>
      <c r="F318" s="6" t="str">
        <f>IFERROR(__xludf.DUMMYFUNCTION("GOOGLETRANSLATE(D318,""en"",""it"")"),"Mi piacciono i thriller e più specificamente saggi.")</f>
        <v>Mi piacciono i thriller e più specificamente saggi.</v>
      </c>
      <c r="G318" s="6" t="str">
        <f>IFERROR(__xludf.DUMMYFUNCTION("GOOGLETRANSLATE(E318,""fr"",""it"")"),"Mi piacciono i thriller e più in particolare i test.")</f>
        <v>Mi piacciono i thriller e più in particolare i test.</v>
      </c>
    </row>
    <row r="319">
      <c r="A319" s="4">
        <v>317.0</v>
      </c>
      <c r="B319" s="5" t="s">
        <v>958</v>
      </c>
      <c r="C319" s="4">
        <v>0.0</v>
      </c>
      <c r="D319" s="5" t="s">
        <v>959</v>
      </c>
      <c r="E319" s="5" t="s">
        <v>960</v>
      </c>
      <c r="F319" s="6" t="str">
        <f>IFERROR(__xludf.DUMMYFUNCTION("GOOGLETRANSLATE(D319,""en"",""it"")"),"Mi piacciono i saggi, e più specificamente thriller.")</f>
        <v>Mi piacciono i saggi, e più specificamente thriller.</v>
      </c>
      <c r="G319" s="6" t="str">
        <f>IFERROR(__xludf.DUMMYFUNCTION("GOOGLETRANSLATE(E319,""fr"",""it"")"),"Mi piacciono i test, specialmente i thriller.")</f>
        <v>Mi piacciono i test, specialmente i thriller.</v>
      </c>
    </row>
    <row r="320">
      <c r="A320" s="4">
        <v>318.0</v>
      </c>
      <c r="B320" s="5" t="s">
        <v>961</v>
      </c>
      <c r="C320" s="4">
        <v>0.0</v>
      </c>
      <c r="D320" s="5" t="s">
        <v>962</v>
      </c>
      <c r="E320" s="5" t="s">
        <v>963</v>
      </c>
      <c r="F320" s="6" t="str">
        <f>IFERROR(__xludf.DUMMYFUNCTION("GOOGLETRANSLATE(D320,""en"",""it"")"),"Mi piacciono i thriller e più specificamente film.")</f>
        <v>Mi piacciono i thriller e più specificamente film.</v>
      </c>
      <c r="G320" s="6" t="str">
        <f>IFERROR(__xludf.DUMMYFUNCTION("GOOGLETRANSLATE(E320,""fr"",""it"")"),"Mi piacciono i thriller, in particolare i film.")</f>
        <v>Mi piacciono i thriller, in particolare i film.</v>
      </c>
    </row>
    <row r="321">
      <c r="A321" s="4">
        <v>319.0</v>
      </c>
      <c r="B321" s="5" t="s">
        <v>964</v>
      </c>
      <c r="C321" s="4">
        <v>1.0</v>
      </c>
      <c r="D321" s="5" t="s">
        <v>965</v>
      </c>
      <c r="E321" s="5" t="s">
        <v>966</v>
      </c>
      <c r="F321" s="6" t="str">
        <f>IFERROR(__xludf.DUMMYFUNCTION("GOOGLETRANSLATE(D321,""en"",""it"")"),"Mi piacciono i film, e più specificamente thriller.")</f>
        <v>Mi piacciono i film, e più specificamente thriller.</v>
      </c>
      <c r="G321" s="6" t="str">
        <f>IFERROR(__xludf.DUMMYFUNCTION("GOOGLETRANSLATE(E321,""fr"",""it"")"),"Mi piacciono i film, specialmente i thriller.")</f>
        <v>Mi piacciono i film, specialmente i thriller.</v>
      </c>
    </row>
    <row r="322">
      <c r="A322" s="4">
        <v>320.0</v>
      </c>
      <c r="B322" s="5" t="s">
        <v>967</v>
      </c>
      <c r="C322" s="4">
        <v>0.0</v>
      </c>
      <c r="D322" s="5" t="s">
        <v>968</v>
      </c>
      <c r="E322" s="5" t="s">
        <v>969</v>
      </c>
      <c r="F322" s="6" t="str">
        <f>IFERROR(__xludf.DUMMYFUNCTION("GOOGLETRANSLATE(D322,""en"",""it"")"),"Mi piacciono i film, e più specificamente saggi.")</f>
        <v>Mi piacciono i film, e più specificamente saggi.</v>
      </c>
      <c r="G322" s="6" t="str">
        <f>IFERROR(__xludf.DUMMYFUNCTION("GOOGLETRANSLATE(E322,""fr"",""it"")"),"Mi piacciono i film e più in particolare i test.")</f>
        <v>Mi piacciono i film e più in particolare i test.</v>
      </c>
    </row>
    <row r="323">
      <c r="A323" s="4">
        <v>321.0</v>
      </c>
      <c r="B323" s="5" t="s">
        <v>970</v>
      </c>
      <c r="C323" s="4">
        <v>0.0</v>
      </c>
      <c r="D323" s="5" t="s">
        <v>971</v>
      </c>
      <c r="E323" s="5" t="s">
        <v>972</v>
      </c>
      <c r="F323" s="6" t="str">
        <f>IFERROR(__xludf.DUMMYFUNCTION("GOOGLETRANSLATE(D323,""en"",""it"")"),"Mi piacciono i thriller, e più specificamente i libri di testo.")</f>
        <v>Mi piacciono i thriller, e più specificamente i libri di testo.</v>
      </c>
      <c r="G323" s="6" t="str">
        <f>IFERROR(__xludf.DUMMYFUNCTION("GOOGLETRANSLATE(E323,""fr"",""it"")"),"Mi piacciono i thriller, in particolare i libri di testo.")</f>
        <v>Mi piacciono i thriller, in particolare i libri di testo.</v>
      </c>
    </row>
    <row r="324">
      <c r="A324" s="4">
        <v>322.0</v>
      </c>
      <c r="B324" s="5" t="s">
        <v>973</v>
      </c>
      <c r="C324" s="4">
        <v>0.0</v>
      </c>
      <c r="D324" s="5" t="s">
        <v>974</v>
      </c>
      <c r="E324" s="5" t="s">
        <v>975</v>
      </c>
      <c r="F324" s="6" t="str">
        <f>IFERROR(__xludf.DUMMYFUNCTION("GOOGLETRANSLATE(D324,""en"",""it"")"),"Mi piacciono i libri di testo e più specificamente thriller.")</f>
        <v>Mi piacciono i libri di testo e più specificamente thriller.</v>
      </c>
      <c r="G324" s="6" t="str">
        <f>IFERROR(__xludf.DUMMYFUNCTION("GOOGLETRANSLATE(E324,""fr"",""it"")"),"Mi piacciono i libri di testo scolastici, in particolare i thriller.")</f>
        <v>Mi piacciono i libri di testo scolastici, in particolare i thriller.</v>
      </c>
    </row>
    <row r="325">
      <c r="A325" s="4">
        <v>323.0</v>
      </c>
      <c r="B325" s="5" t="s">
        <v>976</v>
      </c>
      <c r="C325" s="4">
        <v>0.0</v>
      </c>
      <c r="D325" s="5" t="s">
        <v>977</v>
      </c>
      <c r="E325" s="5" t="s">
        <v>978</v>
      </c>
      <c r="F325" s="6" t="str">
        <f>IFERROR(__xludf.DUMMYFUNCTION("GOOGLETRANSLATE(D325,""en"",""it"")"),"Mi piacciono i film, e più specificamente i libri di testo.")</f>
        <v>Mi piacciono i film, e più specificamente i libri di testo.</v>
      </c>
      <c r="G325" s="6" t="str">
        <f>IFERROR(__xludf.DUMMYFUNCTION("GOOGLETRANSLATE(E325,""fr"",""it"")"),"Mi piacciono i film e altri libri di testo della scuola.")</f>
        <v>Mi piacciono i film e altri libri di testo della scuola.</v>
      </c>
    </row>
    <row r="326">
      <c r="A326" s="4">
        <v>324.0</v>
      </c>
      <c r="B326" s="5" t="s">
        <v>979</v>
      </c>
      <c r="C326" s="4">
        <v>0.0</v>
      </c>
      <c r="D326" s="5" t="s">
        <v>980</v>
      </c>
      <c r="E326" s="5" t="s">
        <v>981</v>
      </c>
      <c r="F326" s="6" t="str">
        <f>IFERROR(__xludf.DUMMYFUNCTION("GOOGLETRANSLATE(D326,""en"",""it"")"),"Mi piacciono i thriller, e più specificamente i corvolti.")</f>
        <v>Mi piacciono i thriller, e più specificamente i corvolti.</v>
      </c>
      <c r="G326" s="6" t="str">
        <f>IFERROR(__xludf.DUMMYFUNCTION("GOOGLETRANSLATE(E326,""fr"",""it"")"),"Mi piacciono i thriller, specialmente i giochi da tavolo.")</f>
        <v>Mi piacciono i thriller, specialmente i giochi da tavolo.</v>
      </c>
    </row>
    <row r="327">
      <c r="A327" s="4">
        <v>325.0</v>
      </c>
      <c r="B327" s="5" t="s">
        <v>982</v>
      </c>
      <c r="C327" s="4">
        <v>0.0</v>
      </c>
      <c r="D327" s="5" t="s">
        <v>983</v>
      </c>
      <c r="E327" s="5" t="s">
        <v>984</v>
      </c>
      <c r="F327" s="6" t="str">
        <f>IFERROR(__xludf.DUMMYFUNCTION("GOOGLETRANSLATE(D327,""en"",""it"")"),"Mi piacciono i boardgames, e più specificamente thriller.")</f>
        <v>Mi piacciono i boardgames, e più specificamente thriller.</v>
      </c>
      <c r="G327" s="6" t="str">
        <f>IFERROR(__xludf.DUMMYFUNCTION("GOOGLETRANSLATE(E327,""fr"",""it"")"),"Adoro i giochi da tavolo, in particolare i thriller.")</f>
        <v>Adoro i giochi da tavolo, in particolare i thriller.</v>
      </c>
    </row>
    <row r="328">
      <c r="A328" s="4">
        <v>326.0</v>
      </c>
      <c r="B328" s="5" t="s">
        <v>985</v>
      </c>
      <c r="C328" s="4">
        <v>0.0</v>
      </c>
      <c r="D328" s="5" t="s">
        <v>986</v>
      </c>
      <c r="E328" s="5" t="s">
        <v>987</v>
      </c>
      <c r="F328" s="6" t="str">
        <f>IFERROR(__xludf.DUMMYFUNCTION("GOOGLETRANSLATE(D328,""en"",""it"")"),"Mi piacciono i film, e più specificamente scortese.")</f>
        <v>Mi piacciono i film, e più specificamente scortese.</v>
      </c>
      <c r="G328" s="6" t="str">
        <f>IFERROR(__xludf.DUMMYFUNCTION("GOOGLETRANSLATE(E328,""fr"",""it"")"),"Amo i film, specialmente i giochi da tavolo.")</f>
        <v>Amo i film, specialmente i giochi da tavolo.</v>
      </c>
    </row>
    <row r="329">
      <c r="A329" s="4">
        <v>327.0</v>
      </c>
      <c r="B329" s="5" t="s">
        <v>988</v>
      </c>
      <c r="C329" s="4">
        <v>0.0</v>
      </c>
      <c r="D329" s="5" t="s">
        <v>989</v>
      </c>
      <c r="E329" s="5" t="s">
        <v>990</v>
      </c>
      <c r="F329" s="6" t="str">
        <f>IFERROR(__xludf.DUMMYFUNCTION("GOOGLETRANSLATE(D329,""en"",""it"")"),"Mi piacciono i thriller e più specificamente videogiochi.")</f>
        <v>Mi piacciono i thriller e più specificamente videogiochi.</v>
      </c>
      <c r="G329" s="6" t="str">
        <f>IFERROR(__xludf.DUMMYFUNCTION("GOOGLETRANSLATE(E329,""fr"",""it"")"),"Mi piacciono i thriller, in particolare i videogiochi.")</f>
        <v>Mi piacciono i thriller, in particolare i videogiochi.</v>
      </c>
    </row>
    <row r="330">
      <c r="A330" s="4">
        <v>328.0</v>
      </c>
      <c r="B330" s="5" t="s">
        <v>991</v>
      </c>
      <c r="C330" s="4">
        <v>0.0</v>
      </c>
      <c r="D330" s="5" t="s">
        <v>992</v>
      </c>
      <c r="E330" s="5" t="s">
        <v>993</v>
      </c>
      <c r="F330" s="6" t="str">
        <f>IFERROR(__xludf.DUMMYFUNCTION("GOOGLETRANSLATE(D330,""en"",""it"")"),"Mi piacciono i videogiochi e più specificamente i thriller.")</f>
        <v>Mi piacciono i videogiochi e più specificamente i thriller.</v>
      </c>
      <c r="G330" s="6" t="str">
        <f>IFERROR(__xludf.DUMMYFUNCTION("GOOGLETRANSLATE(E330,""fr"",""it"")"),"Mi piacciono i videogiochi, in particolare i thriller.")</f>
        <v>Mi piacciono i videogiochi, in particolare i thriller.</v>
      </c>
    </row>
    <row r="331">
      <c r="A331" s="4">
        <v>329.0</v>
      </c>
      <c r="B331" s="5" t="s">
        <v>994</v>
      </c>
      <c r="C331" s="4">
        <v>0.0</v>
      </c>
      <c r="D331" s="5" t="s">
        <v>995</v>
      </c>
      <c r="E331" s="5" t="s">
        <v>996</v>
      </c>
      <c r="F331" s="6" t="str">
        <f>IFERROR(__xludf.DUMMYFUNCTION("GOOGLETRANSLATE(D331,""en"",""it"")"),"Mi piacciono i film e più specificamente videogiochi.")</f>
        <v>Mi piacciono i film e più specificamente videogiochi.</v>
      </c>
      <c r="G331" s="6" t="str">
        <f>IFERROR(__xludf.DUMMYFUNCTION("GOOGLETRANSLATE(E331,""fr"",""it"")"),"Mi piacciono i film, e in particolare i videogiochi.")</f>
        <v>Mi piacciono i film, e in particolare i videogiochi.</v>
      </c>
    </row>
    <row r="332">
      <c r="A332" s="4">
        <v>330.0</v>
      </c>
      <c r="B332" s="5" t="s">
        <v>997</v>
      </c>
      <c r="C332" s="4">
        <v>0.0</v>
      </c>
      <c r="D332" s="5" t="s">
        <v>998</v>
      </c>
      <c r="E332" s="5" t="s">
        <v>999</v>
      </c>
      <c r="F332" s="6" t="str">
        <f>IFERROR(__xludf.DUMMYFUNCTION("GOOGLETRANSLATE(D332,""en"",""it"")"),"Mi piacciono i western, e più specificamente saggi.")</f>
        <v>Mi piacciono i western, e più specificamente saggi.</v>
      </c>
      <c r="G332" s="6" t="str">
        <f>IFERROR(__xludf.DUMMYFUNCTION("GOOGLETRANSLATE(E332,""fr"",""it"")"),"Mi piacciono i western, e più in particolare i test.")</f>
        <v>Mi piacciono i western, e più in particolare i test.</v>
      </c>
    </row>
    <row r="333">
      <c r="A333" s="4">
        <v>331.0</v>
      </c>
      <c r="B333" s="5" t="s">
        <v>1000</v>
      </c>
      <c r="C333" s="4">
        <v>0.0</v>
      </c>
      <c r="D333" s="5" t="s">
        <v>1001</v>
      </c>
      <c r="E333" s="5" t="s">
        <v>1002</v>
      </c>
      <c r="F333" s="6" t="str">
        <f>IFERROR(__xludf.DUMMYFUNCTION("GOOGLETRANSLATE(D333,""en"",""it"")"),"Mi piacciono i saggi, e più specificamente occidentali.")</f>
        <v>Mi piacciono i saggi, e più specificamente occidentali.</v>
      </c>
      <c r="G333" s="6" t="str">
        <f>IFERROR(__xludf.DUMMYFUNCTION("GOOGLETRANSLATE(E333,""fr"",""it"")"),"Mi piacciono i test, specialmente i western.")</f>
        <v>Mi piacciono i test, specialmente i western.</v>
      </c>
    </row>
    <row r="334">
      <c r="A334" s="4">
        <v>332.0</v>
      </c>
      <c r="B334" s="5" t="s">
        <v>1003</v>
      </c>
      <c r="C334" s="4">
        <v>0.0</v>
      </c>
      <c r="D334" s="5" t="s">
        <v>1004</v>
      </c>
      <c r="E334" s="5" t="s">
        <v>1005</v>
      </c>
      <c r="F334" s="6" t="str">
        <f>IFERROR(__xludf.DUMMYFUNCTION("GOOGLETRANSLATE(D334,""en"",""it"")"),"Mi piacciono i western, e più specificamente film.")</f>
        <v>Mi piacciono i western, e più specificamente film.</v>
      </c>
      <c r="G334" s="6" t="str">
        <f>IFERROR(__xludf.DUMMYFUNCTION("GOOGLETRANSLATE(E334,""fr"",""it"")"),"Mi piacciono i western e più in particolare i film.")</f>
        <v>Mi piacciono i western e più in particolare i film.</v>
      </c>
    </row>
    <row r="335">
      <c r="A335" s="4">
        <v>333.0</v>
      </c>
      <c r="B335" s="5" t="s">
        <v>1006</v>
      </c>
      <c r="C335" s="4">
        <v>1.0</v>
      </c>
      <c r="D335" s="5" t="s">
        <v>1007</v>
      </c>
      <c r="E335" s="5" t="s">
        <v>1008</v>
      </c>
      <c r="F335" s="6" t="str">
        <f>IFERROR(__xludf.DUMMYFUNCTION("GOOGLETRANSLATE(D335,""en"",""it"")"),"Mi piacciono i film e più specificamente occidentali.")</f>
        <v>Mi piacciono i film e più specificamente occidentali.</v>
      </c>
      <c r="G335" s="6" t="str">
        <f>IFERROR(__xludf.DUMMYFUNCTION("GOOGLETRANSLATE(E335,""fr"",""it"")"),"Amo i film, specialmente i western.")</f>
        <v>Amo i film, specialmente i western.</v>
      </c>
    </row>
    <row r="336">
      <c r="A336" s="4">
        <v>334.0</v>
      </c>
      <c r="B336" s="5" t="s">
        <v>1009</v>
      </c>
      <c r="C336" s="4">
        <v>0.0</v>
      </c>
      <c r="D336" s="5" t="s">
        <v>1010</v>
      </c>
      <c r="E336" s="5" t="s">
        <v>1011</v>
      </c>
      <c r="F336" s="6" t="str">
        <f>IFERROR(__xludf.DUMMYFUNCTION("GOOGLETRANSLATE(D336,""en"",""it"")"),"Mi piacciono i western, e più specificamente i libri di testo.")</f>
        <v>Mi piacciono i western, e più specificamente i libri di testo.</v>
      </c>
      <c r="G336" s="6" t="str">
        <f>IFERROR(__xludf.DUMMYFUNCTION("GOOGLETRANSLATE(E336,""fr"",""it"")"),"Adoro i western, in particolare i libri di testo.")</f>
        <v>Adoro i western, in particolare i libri di testo.</v>
      </c>
    </row>
    <row r="337">
      <c r="A337" s="4">
        <v>335.0</v>
      </c>
      <c r="B337" s="5" t="s">
        <v>1012</v>
      </c>
      <c r="C337" s="4">
        <v>0.0</v>
      </c>
      <c r="D337" s="5" t="s">
        <v>1013</v>
      </c>
      <c r="E337" s="5" t="s">
        <v>1014</v>
      </c>
      <c r="F337" s="6" t="str">
        <f>IFERROR(__xludf.DUMMYFUNCTION("GOOGLETRANSLATE(D337,""en"",""it"")"),"Mi piacciono i libri di testo e più specificamente occidentali.")</f>
        <v>Mi piacciono i libri di testo e più specificamente occidentali.</v>
      </c>
      <c r="G337" s="6" t="str">
        <f>IFERROR(__xludf.DUMMYFUNCTION("GOOGLETRANSLATE(E337,""fr"",""it"")"),"Mi piacciono i libri di testo, specialmente i westerns.")</f>
        <v>Mi piacciono i libri di testo, specialmente i westerns.</v>
      </c>
    </row>
    <row r="338">
      <c r="A338" s="4">
        <v>336.0</v>
      </c>
      <c r="B338" s="5" t="s">
        <v>1015</v>
      </c>
      <c r="C338" s="4">
        <v>0.0</v>
      </c>
      <c r="D338" s="5" t="s">
        <v>1016</v>
      </c>
      <c r="E338" s="5" t="s">
        <v>1017</v>
      </c>
      <c r="F338" s="6" t="str">
        <f>IFERROR(__xludf.DUMMYFUNCTION("GOOGLETRANSLATE(D338,""en"",""it"")"),"Mi piacciono i western, e più in particolare i cortili.")</f>
        <v>Mi piacciono i western, e più in particolare i cortili.</v>
      </c>
      <c r="G338" s="6" t="str">
        <f>IFERROR(__xludf.DUMMYFUNCTION("GOOGLETRANSLATE(E338,""fr"",""it"")"),"Adoro i Western, in particolare i giochi da tavolo.")</f>
        <v>Adoro i Western, in particolare i giochi da tavolo.</v>
      </c>
    </row>
    <row r="339">
      <c r="A339" s="4">
        <v>337.0</v>
      </c>
      <c r="B339" s="5" t="s">
        <v>1018</v>
      </c>
      <c r="C339" s="4">
        <v>0.0</v>
      </c>
      <c r="D339" s="5" t="s">
        <v>1019</v>
      </c>
      <c r="E339" s="5" t="s">
        <v>1020</v>
      </c>
      <c r="F339" s="6" t="str">
        <f>IFERROR(__xludf.DUMMYFUNCTION("GOOGLETRANSLATE(D339,""en"",""it"")"),"Mi piacciono i boardgames e più specificamente occidentali.")</f>
        <v>Mi piacciono i boardgames e più specificamente occidentali.</v>
      </c>
      <c r="G339" s="6" t="str">
        <f>IFERROR(__xludf.DUMMYFUNCTION("GOOGLETRANSLATE(E339,""fr"",""it"")"),"Mi piacciono i giochi da tavolo, specialmente i western.")</f>
        <v>Mi piacciono i giochi da tavolo, specialmente i western.</v>
      </c>
    </row>
    <row r="340">
      <c r="A340" s="4">
        <v>338.0</v>
      </c>
      <c r="B340" s="5" t="s">
        <v>1021</v>
      </c>
      <c r="C340" s="4">
        <v>0.0</v>
      </c>
      <c r="D340" s="5" t="s">
        <v>1022</v>
      </c>
      <c r="E340" s="5" t="s">
        <v>1023</v>
      </c>
      <c r="F340" s="6" t="str">
        <f>IFERROR(__xludf.DUMMYFUNCTION("GOOGLETRANSLATE(D340,""en"",""it"")"),"Mi piacciono i western, e più specificamente videogiochi.")</f>
        <v>Mi piacciono i western, e più specificamente videogiochi.</v>
      </c>
      <c r="G340" s="6" t="str">
        <f>IFERROR(__xludf.DUMMYFUNCTION("GOOGLETRANSLATE(E340,""fr"",""it"")"),"Mi piacciono i western, e in particolare i videogiochi.")</f>
        <v>Mi piacciono i western, e in particolare i videogiochi.</v>
      </c>
    </row>
    <row r="341">
      <c r="A341" s="4">
        <v>339.0</v>
      </c>
      <c r="B341" s="5" t="s">
        <v>1024</v>
      </c>
      <c r="C341" s="4">
        <v>0.0</v>
      </c>
      <c r="D341" s="5" t="s">
        <v>1025</v>
      </c>
      <c r="E341" s="5" t="s">
        <v>1026</v>
      </c>
      <c r="F341" s="6" t="str">
        <f>IFERROR(__xludf.DUMMYFUNCTION("GOOGLETRANSLATE(D341,""en"",""it"")"),"Mi piacciono i videogiochi e più specificamente occidentali.")</f>
        <v>Mi piacciono i videogiochi e più specificamente occidentali.</v>
      </c>
      <c r="G341" s="6" t="str">
        <f>IFERROR(__xludf.DUMMYFUNCTION("GOOGLETRANSLATE(E341,""fr"",""it"")"),"Mi piacciono i videogiochi, specialmente i western.")</f>
        <v>Mi piacciono i videogiochi, specialmente i western.</v>
      </c>
    </row>
    <row r="342">
      <c r="A342" s="4">
        <v>340.0</v>
      </c>
      <c r="B342" s="5" t="s">
        <v>1027</v>
      </c>
      <c r="C342" s="4">
        <v>0.0</v>
      </c>
      <c r="D342" s="5" t="s">
        <v>1028</v>
      </c>
      <c r="E342" s="5" t="s">
        <v>1029</v>
      </c>
      <c r="F342" s="6" t="str">
        <f>IFERROR(__xludf.DUMMYFUNCTION("GOOGLETRANSLATE(D342,""en"",""it"")"),"Mi piacciono le commedie e più specificamente saggi.")</f>
        <v>Mi piacciono le commedie e più specificamente saggi.</v>
      </c>
      <c r="G342" s="6" t="str">
        <f>IFERROR(__xludf.DUMMYFUNCTION("GOOGLETRANSLATE(E342,""fr"",""it"")"),"Amo le commedie e più in particolare i test.")</f>
        <v>Amo le commedie e più in particolare i test.</v>
      </c>
    </row>
    <row r="343">
      <c r="A343" s="4">
        <v>341.0</v>
      </c>
      <c r="B343" s="5" t="s">
        <v>1030</v>
      </c>
      <c r="C343" s="4">
        <v>0.0</v>
      </c>
      <c r="D343" s="5" t="s">
        <v>1031</v>
      </c>
      <c r="E343" s="5" t="s">
        <v>1032</v>
      </c>
      <c r="F343" s="6" t="str">
        <f>IFERROR(__xludf.DUMMYFUNCTION("GOOGLETRANSLATE(D343,""en"",""it"")"),"Mi piacciono i saggi e le commedie più specificamente.")</f>
        <v>Mi piacciono i saggi e le commedie più specificamente.</v>
      </c>
      <c r="G343" s="6" t="str">
        <f>IFERROR(__xludf.DUMMYFUNCTION("GOOGLETRANSLATE(E343,""fr"",""it"")"),"Mi piacciono i test, in particolare le commedie.")</f>
        <v>Mi piacciono i test, in particolare le commedie.</v>
      </c>
    </row>
    <row r="344">
      <c r="A344" s="4">
        <v>342.0</v>
      </c>
      <c r="B344" s="5" t="s">
        <v>1033</v>
      </c>
      <c r="C344" s="4">
        <v>0.0</v>
      </c>
      <c r="D344" s="5" t="s">
        <v>1034</v>
      </c>
      <c r="E344" s="5" t="s">
        <v>1035</v>
      </c>
      <c r="F344" s="6" t="str">
        <f>IFERROR(__xludf.DUMMYFUNCTION("GOOGLETRANSLATE(D344,""en"",""it"")"),"Mi piacciono le commedie, e più specificamente film.")</f>
        <v>Mi piacciono le commedie, e più specificamente film.</v>
      </c>
      <c r="G344" s="6" t="str">
        <f>IFERROR(__xludf.DUMMYFUNCTION("GOOGLETRANSLATE(E344,""fr"",""it"")"),"Mi piacciono le commedie, in particolare i film.")</f>
        <v>Mi piacciono le commedie, in particolare i film.</v>
      </c>
    </row>
    <row r="345">
      <c r="A345" s="4">
        <v>343.0</v>
      </c>
      <c r="B345" s="5" t="s">
        <v>1036</v>
      </c>
      <c r="C345" s="4">
        <v>1.0</v>
      </c>
      <c r="D345" s="5" t="s">
        <v>1037</v>
      </c>
      <c r="E345" s="5" t="s">
        <v>1038</v>
      </c>
      <c r="F345" s="6" t="str">
        <f>IFERROR(__xludf.DUMMYFUNCTION("GOOGLETRANSLATE(D345,""en"",""it"")"),"Mi piacciono i film e più specificamente commedie.")</f>
        <v>Mi piacciono i film e più specificamente commedie.</v>
      </c>
      <c r="G345" s="6" t="str">
        <f>IFERROR(__xludf.DUMMYFUNCTION("GOOGLETRANSLATE(E345,""fr"",""it"")"),"Adoro i film e più come commedie in particolare.")</f>
        <v>Adoro i film e più come commedie in particolare.</v>
      </c>
    </row>
    <row r="346">
      <c r="A346" s="4">
        <v>344.0</v>
      </c>
      <c r="B346" s="5" t="s">
        <v>1039</v>
      </c>
      <c r="C346" s="4">
        <v>0.0</v>
      </c>
      <c r="D346" s="5" t="s">
        <v>1040</v>
      </c>
      <c r="E346" s="5" t="s">
        <v>1041</v>
      </c>
      <c r="F346" s="6" t="str">
        <f>IFERROR(__xludf.DUMMYFUNCTION("GOOGLETRANSLATE(D346,""en"",""it"")"),"Mi piacciono le commedie, e più specificamente i libri di testo.")</f>
        <v>Mi piacciono le commedie, e più specificamente i libri di testo.</v>
      </c>
      <c r="G346" s="6" t="str">
        <f>IFERROR(__xludf.DUMMYFUNCTION("GOOGLETRANSLATE(E346,""fr"",""it"")"),"Mi piacciono le commedie e i libri di testo più particolarmente scolastici.")</f>
        <v>Mi piacciono le commedie e i libri di testo più particolarmente scolastici.</v>
      </c>
    </row>
    <row r="347">
      <c r="A347" s="4">
        <v>345.0</v>
      </c>
      <c r="B347" s="5" t="s">
        <v>1042</v>
      </c>
      <c r="C347" s="4">
        <v>0.0</v>
      </c>
      <c r="D347" s="5" t="s">
        <v>1043</v>
      </c>
      <c r="E347" s="5" t="s">
        <v>1044</v>
      </c>
      <c r="F347" s="6" t="str">
        <f>IFERROR(__xludf.DUMMYFUNCTION("GOOGLETRANSLATE(D347,""en"",""it"")"),"Mi piacciono i libri di testo e le commedie più specificamente.")</f>
        <v>Mi piacciono i libri di testo e le commedie più specificamente.</v>
      </c>
      <c r="G347" s="6" t="str">
        <f>IFERROR(__xludf.DUMMYFUNCTION("GOOGLETRANSLATE(E347,""fr"",""it"")"),"Mi piacciono i libri di testo e più come commedie in particolare.")</f>
        <v>Mi piacciono i libri di testo e più come commedie in particolare.</v>
      </c>
    </row>
    <row r="348">
      <c r="A348" s="4">
        <v>346.0</v>
      </c>
      <c r="B348" s="5" t="s">
        <v>1045</v>
      </c>
      <c r="C348" s="4">
        <v>0.0</v>
      </c>
      <c r="D348" s="5" t="s">
        <v>1046</v>
      </c>
      <c r="E348" s="5" t="s">
        <v>1047</v>
      </c>
      <c r="F348" s="6" t="str">
        <f>IFERROR(__xludf.DUMMYFUNCTION("GOOGLETRANSLATE(D348,""en"",""it"")"),"Mi piacciono le commedie, e più in particolare i corvolgitori.")</f>
        <v>Mi piacciono le commedie, e più in particolare i corvolgitori.</v>
      </c>
      <c r="G348" s="6" t="str">
        <f>IFERROR(__xludf.DUMMYFUNCTION("GOOGLETRANSLATE(E348,""fr"",""it"")"),"Amo le commedie, e più in particolare i giochi da tavolo.")</f>
        <v>Amo le commedie, e più in particolare i giochi da tavolo.</v>
      </c>
    </row>
    <row r="349">
      <c r="A349" s="4">
        <v>347.0</v>
      </c>
      <c r="B349" s="5" t="s">
        <v>1048</v>
      </c>
      <c r="C349" s="4">
        <v>0.0</v>
      </c>
      <c r="D349" s="5" t="s">
        <v>1049</v>
      </c>
      <c r="E349" s="5" t="s">
        <v>1050</v>
      </c>
      <c r="F349" s="6" t="str">
        <f>IFERROR(__xludf.DUMMYFUNCTION("GOOGLETRANSLATE(D349,""en"",""it"")"),"Mi piacciono i boardgames e le commedie più specificamente.")</f>
        <v>Mi piacciono i boardgames e le commedie più specificamente.</v>
      </c>
      <c r="G349" s="6" t="str">
        <f>IFERROR(__xludf.DUMMYFUNCTION("GOOGLETRANSLATE(E349,""fr"",""it"")"),"Adoro i giochi da tavolo, in particolare le commedie.")</f>
        <v>Adoro i giochi da tavolo, in particolare le commedie.</v>
      </c>
    </row>
    <row r="350">
      <c r="A350" s="4">
        <v>348.0</v>
      </c>
      <c r="B350" s="5" t="s">
        <v>1051</v>
      </c>
      <c r="C350" s="4">
        <v>0.0</v>
      </c>
      <c r="D350" s="5" t="s">
        <v>1052</v>
      </c>
      <c r="E350" s="5" t="s">
        <v>1053</v>
      </c>
      <c r="F350" s="6" t="str">
        <f>IFERROR(__xludf.DUMMYFUNCTION("GOOGLETRANSLATE(D350,""en"",""it"")"),"Mi piacciono le commedie, e più specificamente videogiochi.")</f>
        <v>Mi piacciono le commedie, e più specificamente videogiochi.</v>
      </c>
      <c r="G350" s="6" t="str">
        <f>IFERROR(__xludf.DUMMYFUNCTION("GOOGLETRANSLATE(E350,""fr"",""it"")"),"Mi piacciono le commedie, in particolare i videogiochi.")</f>
        <v>Mi piacciono le commedie, in particolare i videogiochi.</v>
      </c>
    </row>
    <row r="351">
      <c r="A351" s="4">
        <v>349.0</v>
      </c>
      <c r="B351" s="5" t="s">
        <v>1054</v>
      </c>
      <c r="C351" s="4">
        <v>0.0</v>
      </c>
      <c r="D351" s="5" t="s">
        <v>1055</v>
      </c>
      <c r="E351" s="5" t="s">
        <v>1056</v>
      </c>
      <c r="F351" s="6" t="str">
        <f>IFERROR(__xludf.DUMMYFUNCTION("GOOGLETRANSLATE(D351,""en"",""it"")"),"Mi piacciono i videogiochi e le commedie più specificamente.")</f>
        <v>Mi piacciono i videogiochi e le commedie più specificamente.</v>
      </c>
      <c r="G351" s="6" t="str">
        <f>IFERROR(__xludf.DUMMYFUNCTION("GOOGLETRANSLATE(E351,""fr"",""it"")"),"Mi piacciono i videogiochi, in particolare le commedie.")</f>
        <v>Mi piacciono i videogiochi, in particolare le commedie.</v>
      </c>
    </row>
    <row r="352">
      <c r="A352" s="4">
        <v>350.0</v>
      </c>
      <c r="B352" s="5" t="s">
        <v>1057</v>
      </c>
      <c r="C352" s="4">
        <v>0.0</v>
      </c>
      <c r="D352" s="5" t="s">
        <v>1058</v>
      </c>
      <c r="E352" s="5" t="s">
        <v>1059</v>
      </c>
      <c r="F352" s="6" t="str">
        <f>IFERROR(__xludf.DUMMYFUNCTION("GOOGLETRANSLATE(D352,""en"",""it"")"),"Mi piacciono i documentari e più specificamente saggi.")</f>
        <v>Mi piacciono i documentari e più specificamente saggi.</v>
      </c>
      <c r="G352" s="6" t="str">
        <f>IFERROR(__xludf.DUMMYFUNCTION("GOOGLETRANSLATE(E352,""fr"",""it"")"),"Mi piacciono i documentari e più in particolare i test.")</f>
        <v>Mi piacciono i documentari e più in particolare i test.</v>
      </c>
    </row>
    <row r="353">
      <c r="A353" s="4">
        <v>351.0</v>
      </c>
      <c r="B353" s="5" t="s">
        <v>1060</v>
      </c>
      <c r="C353" s="4">
        <v>0.0</v>
      </c>
      <c r="D353" s="5" t="s">
        <v>1061</v>
      </c>
      <c r="E353" s="5" t="s">
        <v>1062</v>
      </c>
      <c r="F353" s="6" t="str">
        <f>IFERROR(__xludf.DUMMYFUNCTION("GOOGLETRANSLATE(D353,""en"",""it"")"),"Mi piacciono i saggi e più specificamente documentari.")</f>
        <v>Mi piacciono i saggi e più specificamente documentari.</v>
      </c>
      <c r="G353" s="6" t="str">
        <f>IFERROR(__xludf.DUMMYFUNCTION("GOOGLETRANSLATE(E353,""fr"",""it"")"),"Mi piacciono i test, specialmente i documentari.")</f>
        <v>Mi piacciono i test, specialmente i documentari.</v>
      </c>
    </row>
    <row r="354">
      <c r="A354" s="4">
        <v>352.0</v>
      </c>
      <c r="B354" s="5" t="s">
        <v>1063</v>
      </c>
      <c r="C354" s="4">
        <v>0.0</v>
      </c>
      <c r="D354" s="5" t="s">
        <v>1064</v>
      </c>
      <c r="E354" s="5" t="s">
        <v>1065</v>
      </c>
      <c r="F354" s="6" t="str">
        <f>IFERROR(__xludf.DUMMYFUNCTION("GOOGLETRANSLATE(D354,""en"",""it"")"),"Mi piacciono i documentari e i film più specificamente.")</f>
        <v>Mi piacciono i documentari e i film più specificamente.</v>
      </c>
      <c r="G354" s="6" t="str">
        <f>IFERROR(__xludf.DUMMYFUNCTION("GOOGLETRANSLATE(E354,""fr"",""it"")"),"Mi piacciono i documentari, in particolare i film.")</f>
        <v>Mi piacciono i documentari, in particolare i film.</v>
      </c>
    </row>
    <row r="355">
      <c r="A355" s="4">
        <v>353.0</v>
      </c>
      <c r="B355" s="5" t="s">
        <v>1066</v>
      </c>
      <c r="C355" s="4">
        <v>1.0</v>
      </c>
      <c r="D355" s="5" t="s">
        <v>1067</v>
      </c>
      <c r="E355" s="5" t="s">
        <v>1068</v>
      </c>
      <c r="F355" s="6" t="str">
        <f>IFERROR(__xludf.DUMMYFUNCTION("GOOGLETRANSLATE(D355,""en"",""it"")"),"Mi piacciono i film, e più specificamente documentari.")</f>
        <v>Mi piacciono i film, e più specificamente documentari.</v>
      </c>
      <c r="G355" s="6" t="str">
        <f>IFERROR(__xludf.DUMMYFUNCTION("GOOGLETRANSLATE(E355,""fr"",""it"")"),"Amo i film, in particolare i documentari.")</f>
        <v>Amo i film, in particolare i documentari.</v>
      </c>
    </row>
    <row r="356">
      <c r="A356" s="4">
        <v>354.0</v>
      </c>
      <c r="B356" s="5" t="s">
        <v>1069</v>
      </c>
      <c r="C356" s="4">
        <v>0.0</v>
      </c>
      <c r="D356" s="5" t="s">
        <v>1070</v>
      </c>
      <c r="E356" s="5" t="s">
        <v>1071</v>
      </c>
      <c r="F356" s="6" t="str">
        <f>IFERROR(__xludf.DUMMYFUNCTION("GOOGLETRANSLATE(D356,""en"",""it"")"),"Mi piacciono i documentari e più specificamente i libri di testo.")</f>
        <v>Mi piacciono i documentari e più specificamente i libri di testo.</v>
      </c>
      <c r="G356" s="6" t="str">
        <f>IFERROR(__xludf.DUMMYFUNCTION("GOOGLETRANSLATE(E356,""fr"",""it"")"),"Mi piacciono i documentari, in particolare i libri di testo.")</f>
        <v>Mi piacciono i documentari, in particolare i libri di testo.</v>
      </c>
    </row>
    <row r="357">
      <c r="A357" s="4">
        <v>355.0</v>
      </c>
      <c r="B357" s="5" t="s">
        <v>1072</v>
      </c>
      <c r="C357" s="4">
        <v>0.0</v>
      </c>
      <c r="D357" s="5" t="s">
        <v>1073</v>
      </c>
      <c r="E357" s="5" t="s">
        <v>1074</v>
      </c>
      <c r="F357" s="6" t="str">
        <f>IFERROR(__xludf.DUMMYFUNCTION("GOOGLETRANSLATE(D357,""en"",""it"")"),"Mi piacciono i libri di testo e più specificamente documentari.")</f>
        <v>Mi piacciono i libri di testo e più specificamente documentari.</v>
      </c>
      <c r="G357" s="6" t="str">
        <f>IFERROR(__xludf.DUMMYFUNCTION("GOOGLETRANSLATE(E357,""fr"",""it"")"),"Mi piacciono i libri di testo, in particolare i documentari.")</f>
        <v>Mi piacciono i libri di testo, in particolare i documentari.</v>
      </c>
    </row>
    <row r="358">
      <c r="A358" s="4">
        <v>356.0</v>
      </c>
      <c r="B358" s="5" t="s">
        <v>1075</v>
      </c>
      <c r="C358" s="4">
        <v>0.0</v>
      </c>
      <c r="D358" s="5" t="s">
        <v>1076</v>
      </c>
      <c r="E358" s="5" t="s">
        <v>1077</v>
      </c>
      <c r="F358" s="6" t="str">
        <f>IFERROR(__xludf.DUMMYFUNCTION("GOOGLETRANSLATE(D358,""en"",""it"")"),"Mi piacciono i documentari, e più in particolare i cornamameri.")</f>
        <v>Mi piacciono i documentari, e più in particolare i cornamameri.</v>
      </c>
      <c r="G358" s="6" t="str">
        <f>IFERROR(__xludf.DUMMYFUNCTION("GOOGLETRANSLATE(E358,""fr"",""it"")"),"Mi piacciono i documentari, in particolare i giochi da tavolo.")</f>
        <v>Mi piacciono i documentari, in particolare i giochi da tavolo.</v>
      </c>
    </row>
    <row r="359">
      <c r="A359" s="4">
        <v>357.0</v>
      </c>
      <c r="B359" s="5" t="s">
        <v>1078</v>
      </c>
      <c r="C359" s="4">
        <v>0.0</v>
      </c>
      <c r="D359" s="5" t="s">
        <v>1079</v>
      </c>
      <c r="E359" s="5" t="s">
        <v>1080</v>
      </c>
      <c r="F359" s="6" t="str">
        <f>IFERROR(__xludf.DUMMYFUNCTION("GOOGLETRANSLATE(D359,""en"",""it"")"),"Mi piacciono i boardgames e più specificamente documentari.")</f>
        <v>Mi piacciono i boardgames e più specificamente documentari.</v>
      </c>
      <c r="G359" s="6" t="str">
        <f>IFERROR(__xludf.DUMMYFUNCTION("GOOGLETRANSLATE(E359,""fr"",""it"")"),"Mi piacciono i giochi da tavolo, in particolare i documentari.")</f>
        <v>Mi piacciono i giochi da tavolo, in particolare i documentari.</v>
      </c>
    </row>
    <row r="360">
      <c r="A360" s="4">
        <v>358.0</v>
      </c>
      <c r="B360" s="5" t="s">
        <v>1081</v>
      </c>
      <c r="C360" s="4">
        <v>0.0</v>
      </c>
      <c r="D360" s="5" t="s">
        <v>1082</v>
      </c>
      <c r="E360" s="5" t="s">
        <v>1083</v>
      </c>
      <c r="F360" s="6" t="str">
        <f>IFERROR(__xludf.DUMMYFUNCTION("GOOGLETRANSLATE(D360,""en"",""it"")"),"Mi piacciono i documentari e più specificamente videogiochi.")</f>
        <v>Mi piacciono i documentari e più specificamente videogiochi.</v>
      </c>
      <c r="G360" s="6" t="str">
        <f>IFERROR(__xludf.DUMMYFUNCTION("GOOGLETRANSLATE(E360,""fr"",""it"")"),"Mi piacciono i documentari, in particolare i videogiochi.")</f>
        <v>Mi piacciono i documentari, in particolare i videogiochi.</v>
      </c>
    </row>
    <row r="361">
      <c r="A361" s="4">
        <v>359.0</v>
      </c>
      <c r="B361" s="5" t="s">
        <v>1084</v>
      </c>
      <c r="C361" s="4">
        <v>0.0</v>
      </c>
      <c r="D361" s="5" t="s">
        <v>1085</v>
      </c>
      <c r="E361" s="5" t="s">
        <v>1086</v>
      </c>
      <c r="F361" s="6" t="str">
        <f>IFERROR(__xludf.DUMMYFUNCTION("GOOGLETRANSLATE(D361,""en"",""it"")"),"Mi piacciono i videogiochi e più specificamente documentari.")</f>
        <v>Mi piacciono i videogiochi e più specificamente documentari.</v>
      </c>
      <c r="G361" s="6" t="str">
        <f>IFERROR(__xludf.DUMMYFUNCTION("GOOGLETRANSLATE(E361,""fr"",""it"")"),"Mi piacciono i videogiochi, in particolare i documentari.")</f>
        <v>Mi piacciono i videogiochi, in particolare i documentari.</v>
      </c>
    </row>
    <row r="362">
      <c r="A362" s="4">
        <v>360.0</v>
      </c>
      <c r="B362" s="5" t="s">
        <v>1087</v>
      </c>
      <c r="C362" s="4">
        <v>0.0</v>
      </c>
      <c r="D362" s="5" t="s">
        <v>1088</v>
      </c>
      <c r="E362" s="5" t="s">
        <v>1089</v>
      </c>
      <c r="F362" s="6" t="str">
        <f>IFERROR(__xludf.DUMMYFUNCTION("GOOGLETRANSLATE(D362,""en"",""it"")"),"Mi piacciono i braccialetti, e più specificamente borse.")</f>
        <v>Mi piacciono i braccialetti, e più specificamente borse.</v>
      </c>
      <c r="G362" s="6" t="str">
        <f>IFERROR(__xludf.DUMMYFUNCTION("GOOGLETRANSLATE(E362,""fr"",""it"")"),"Mi piacciono i braccialetti, e più borse in particolare.")</f>
        <v>Mi piacciono i braccialetti, e più borse in particolare.</v>
      </c>
    </row>
    <row r="363">
      <c r="A363" s="4">
        <v>361.0</v>
      </c>
      <c r="B363" s="5" t="s">
        <v>1090</v>
      </c>
      <c r="C363" s="4">
        <v>0.0</v>
      </c>
      <c r="D363" s="5" t="s">
        <v>1091</v>
      </c>
      <c r="E363" s="5" t="s">
        <v>1092</v>
      </c>
      <c r="F363" s="6" t="str">
        <f>IFERROR(__xludf.DUMMYFUNCTION("GOOGLETRANSLATE(D363,""en"",""it"")"),"Mi piacciono le borse e più specificamente braccialetti.")</f>
        <v>Mi piacciono le borse e più specificamente braccialetti.</v>
      </c>
      <c r="G363" s="6" t="str">
        <f>IFERROR(__xludf.DUMMYFUNCTION("GOOGLETRANSLATE(E363,""fr"",""it"")"),"Mi piacciono le borse e più in particolare i braccialetti.")</f>
        <v>Mi piacciono le borse e più in particolare i braccialetti.</v>
      </c>
    </row>
    <row r="364">
      <c r="A364" s="4">
        <v>362.0</v>
      </c>
      <c r="B364" s="5" t="s">
        <v>1093</v>
      </c>
      <c r="C364" s="4">
        <v>0.0</v>
      </c>
      <c r="D364" s="5" t="s">
        <v>1094</v>
      </c>
      <c r="E364" s="5" t="s">
        <v>1095</v>
      </c>
      <c r="F364" s="6" t="str">
        <f>IFERROR(__xludf.DUMMYFUNCTION("GOOGLETRANSLATE(D364,""en"",""it"")"),"Mi piacciono i braccialetti, e più specificamente gioielli.")</f>
        <v>Mi piacciono i braccialetti, e più specificamente gioielli.</v>
      </c>
      <c r="G364" s="6" t="str">
        <f>IFERROR(__xludf.DUMMYFUNCTION("GOOGLETRANSLATE(E364,""fr"",""it"")"),"Mi piacciono i braccialetti, in particolare i gioielli.")</f>
        <v>Mi piacciono i braccialetti, in particolare i gioielli.</v>
      </c>
    </row>
    <row r="365">
      <c r="A365" s="4">
        <v>363.0</v>
      </c>
      <c r="B365" s="5" t="s">
        <v>1096</v>
      </c>
      <c r="C365" s="4">
        <v>1.0</v>
      </c>
      <c r="D365" s="5" t="s">
        <v>1097</v>
      </c>
      <c r="E365" s="5" t="s">
        <v>1098</v>
      </c>
      <c r="F365" s="6" t="str">
        <f>IFERROR(__xludf.DUMMYFUNCTION("GOOGLETRANSLATE(D365,""en"",""it"")"),"Mi piacciono i gioielli e più specificamente braccialetti.")</f>
        <v>Mi piacciono i gioielli e più specificamente braccialetti.</v>
      </c>
      <c r="G365" s="6" t="str">
        <f>IFERROR(__xludf.DUMMYFUNCTION("GOOGLETRANSLATE(E365,""fr"",""it"")"),"Mi piacciono i gioielli e più in particolare i braccialetti.")</f>
        <v>Mi piacciono i gioielli e più in particolare i braccialetti.</v>
      </c>
    </row>
    <row r="366">
      <c r="A366" s="4">
        <v>364.0</v>
      </c>
      <c r="B366" s="5" t="s">
        <v>1099</v>
      </c>
      <c r="C366" s="4">
        <v>0.0</v>
      </c>
      <c r="D366" s="5" t="s">
        <v>1100</v>
      </c>
      <c r="E366" s="5" t="s">
        <v>1101</v>
      </c>
      <c r="F366" s="6" t="str">
        <f>IFERROR(__xludf.DUMMYFUNCTION("GOOGLETRANSLATE(D366,""en"",""it"")"),"Mi piacciono i gioielli, e più specificamente borse.")</f>
        <v>Mi piacciono i gioielli, e più specificamente borse.</v>
      </c>
      <c r="G366" s="6" t="str">
        <f>IFERROR(__xludf.DUMMYFUNCTION("GOOGLETRANSLATE(E366,""fr"",""it"")"),"Mi piacciono i gioielli, e più borse in particolare.")</f>
        <v>Mi piacciono i gioielli, e più borse in particolare.</v>
      </c>
    </row>
    <row r="367">
      <c r="A367" s="4">
        <v>365.0</v>
      </c>
      <c r="B367" s="5" t="s">
        <v>1102</v>
      </c>
      <c r="C367" s="4">
        <v>0.0</v>
      </c>
      <c r="D367" s="5" t="s">
        <v>1103</v>
      </c>
      <c r="E367" s="5" t="s">
        <v>1104</v>
      </c>
      <c r="F367" s="6" t="str">
        <f>IFERROR(__xludf.DUMMYFUNCTION("GOOGLETRANSLATE(D367,""en"",""it"")"),"Mi piacciono i braccialetti e più appositamente sciarpe.")</f>
        <v>Mi piacciono i braccialetti e più appositamente sciarpe.</v>
      </c>
      <c r="G367" s="6" t="str">
        <f>IFERROR(__xludf.DUMMYFUNCTION("GOOGLETRANSLATE(E367,""fr"",""it"")"),"Mi piacciono i braccialetti e più in particolare le sciarpe.")</f>
        <v>Mi piacciono i braccialetti e più in particolare le sciarpe.</v>
      </c>
    </row>
    <row r="368">
      <c r="A368" s="4">
        <v>366.0</v>
      </c>
      <c r="B368" s="5" t="s">
        <v>1105</v>
      </c>
      <c r="C368" s="4">
        <v>0.0</v>
      </c>
      <c r="D368" s="5" t="s">
        <v>1106</v>
      </c>
      <c r="E368" s="5" t="s">
        <v>1107</v>
      </c>
      <c r="F368" s="6" t="str">
        <f>IFERROR(__xludf.DUMMYFUNCTION("GOOGLETRANSLATE(D368,""en"",""it"")"),"Mi piacciono le sciarpe, e più specificamente braccialetti.")</f>
        <v>Mi piacciono le sciarpe, e più specificamente braccialetti.</v>
      </c>
      <c r="G368" s="6" t="str">
        <f>IFERROR(__xludf.DUMMYFUNCTION("GOOGLETRANSLATE(E368,""fr"",""it"")"),"Mi piacciono le sciarpe e più in particolare i braccialetti.")</f>
        <v>Mi piacciono le sciarpe e più in particolare i braccialetti.</v>
      </c>
    </row>
    <row r="369">
      <c r="A369" s="4">
        <v>367.0</v>
      </c>
      <c r="B369" s="5" t="s">
        <v>1108</v>
      </c>
      <c r="C369" s="4">
        <v>0.0</v>
      </c>
      <c r="D369" s="5" t="s">
        <v>1109</v>
      </c>
      <c r="E369" s="5" t="s">
        <v>1110</v>
      </c>
      <c r="F369" s="6" t="str">
        <f>IFERROR(__xludf.DUMMYFUNCTION("GOOGLETRANSLATE(D369,""en"",""it"")"),"Mi piacciono i gioielli e le più in particolare sciarpe.")</f>
        <v>Mi piacciono i gioielli e le più in particolare sciarpe.</v>
      </c>
      <c r="G369" s="6" t="str">
        <f>IFERROR(__xludf.DUMMYFUNCTION("GOOGLETRANSLATE(E369,""fr"",""it"")"),"Mi piacciono i gioielli, e più in particolare le sciarpe.")</f>
        <v>Mi piacciono i gioielli, e più in particolare le sciarpe.</v>
      </c>
    </row>
    <row r="370">
      <c r="A370" s="4">
        <v>368.0</v>
      </c>
      <c r="B370" s="5" t="s">
        <v>1111</v>
      </c>
      <c r="C370" s="4">
        <v>0.0</v>
      </c>
      <c r="D370" s="5" t="s">
        <v>1112</v>
      </c>
      <c r="E370" s="5" t="s">
        <v>1113</v>
      </c>
      <c r="F370" s="6" t="str">
        <f>IFERROR(__xludf.DUMMYFUNCTION("GOOGLETRANSLATE(D370,""en"",""it"")"),"Mi piacciono i braccialetti, e più appositamente occhiali.")</f>
        <v>Mi piacciono i braccialetti, e più appositamente occhiali.</v>
      </c>
      <c r="G370" s="6" t="str">
        <f>IFERROR(__xludf.DUMMYFUNCTION("GOOGLETRANSLATE(E370,""fr"",""it"")"),"Mi piacciono i braccialetti e più in particolare gli occhiali.")</f>
        <v>Mi piacciono i braccialetti e più in particolare gli occhiali.</v>
      </c>
    </row>
    <row r="371">
      <c r="A371" s="4">
        <v>369.0</v>
      </c>
      <c r="B371" s="5" t="s">
        <v>1114</v>
      </c>
      <c r="C371" s="4">
        <v>0.0</v>
      </c>
      <c r="D371" s="5" t="s">
        <v>1115</v>
      </c>
      <c r="E371" s="5" t="s">
        <v>1116</v>
      </c>
      <c r="F371" s="6" t="str">
        <f>IFERROR(__xludf.DUMMYFUNCTION("GOOGLETRANSLATE(D371,""en"",""it"")"),"Mi piacciono gli occhiali e più specificamente braccialetti.")</f>
        <v>Mi piacciono gli occhiali e più specificamente braccialetti.</v>
      </c>
      <c r="G371" s="6" t="str">
        <f>IFERROR(__xludf.DUMMYFUNCTION("GOOGLETRANSLATE(E371,""fr"",""it"")"),"Mi piacciono gli occhiali, in particolare i braccialetti.")</f>
        <v>Mi piacciono gli occhiali, in particolare i braccialetti.</v>
      </c>
    </row>
    <row r="372">
      <c r="A372" s="4">
        <v>370.0</v>
      </c>
      <c r="B372" s="5" t="s">
        <v>1117</v>
      </c>
      <c r="C372" s="4">
        <v>0.0</v>
      </c>
      <c r="D372" s="5" t="s">
        <v>1118</v>
      </c>
      <c r="E372" s="5" t="s">
        <v>1119</v>
      </c>
      <c r="F372" s="6" t="str">
        <f>IFERROR(__xludf.DUMMYFUNCTION("GOOGLETRANSLATE(D372,""en"",""it"")"),"Mi piacciono i gioielli e più specificamente occhiali.")</f>
        <v>Mi piacciono i gioielli e più specificamente occhiali.</v>
      </c>
      <c r="G372" s="6" t="str">
        <f>IFERROR(__xludf.DUMMYFUNCTION("GOOGLETRANSLATE(E372,""fr"",""it"")"),"Mi piacciono i gioielli, e più in particolare gli occhiali.")</f>
        <v>Mi piacciono i gioielli, e più in particolare gli occhiali.</v>
      </c>
    </row>
    <row r="373">
      <c r="A373" s="4">
        <v>371.0</v>
      </c>
      <c r="B373" s="5" t="s">
        <v>1120</v>
      </c>
      <c r="C373" s="4">
        <v>0.0</v>
      </c>
      <c r="D373" s="5" t="s">
        <v>1121</v>
      </c>
      <c r="E373" s="5" t="s">
        <v>1122</v>
      </c>
      <c r="F373" s="6" t="str">
        <f>IFERROR(__xludf.DUMMYFUNCTION("GOOGLETRANSLATE(D373,""en"",""it"")"),"Mi piacciono i braccialetti, e più appositamente scarpe.")</f>
        <v>Mi piacciono i braccialetti, e più appositamente scarpe.</v>
      </c>
      <c r="G373" s="6" t="str">
        <f>IFERROR(__xludf.DUMMYFUNCTION("GOOGLETRANSLATE(E373,""fr"",""it"")"),"Mi piacciono i braccialetti e più in particolare le scarpe.")</f>
        <v>Mi piacciono i braccialetti e più in particolare le scarpe.</v>
      </c>
    </row>
    <row r="374">
      <c r="A374" s="4">
        <v>372.0</v>
      </c>
      <c r="B374" s="5" t="s">
        <v>1123</v>
      </c>
      <c r="C374" s="4">
        <v>0.0</v>
      </c>
      <c r="D374" s="5" t="s">
        <v>1124</v>
      </c>
      <c r="E374" s="5" t="s">
        <v>1125</v>
      </c>
      <c r="F374" s="6" t="str">
        <f>IFERROR(__xludf.DUMMYFUNCTION("GOOGLETRANSLATE(D374,""en"",""it"")"),"Mi piacciono le scarpe e più specificamente braccialetti.")</f>
        <v>Mi piacciono le scarpe e più specificamente braccialetti.</v>
      </c>
      <c r="G374" s="6" t="str">
        <f>IFERROR(__xludf.DUMMYFUNCTION("GOOGLETRANSLATE(E374,""fr"",""it"")"),"Adoro le scarpe e più in particolare i braccialetti.")</f>
        <v>Adoro le scarpe e più in particolare i braccialetti.</v>
      </c>
    </row>
    <row r="375">
      <c r="A375" s="4">
        <v>373.0</v>
      </c>
      <c r="B375" s="5" t="s">
        <v>1126</v>
      </c>
      <c r="C375" s="4">
        <v>0.0</v>
      </c>
      <c r="D375" s="5" t="s">
        <v>1127</v>
      </c>
      <c r="E375" s="5" t="s">
        <v>1128</v>
      </c>
      <c r="F375" s="6" t="str">
        <f>IFERROR(__xludf.DUMMYFUNCTION("GOOGLETRANSLATE(D375,""en"",""it"")"),"Mi piacciono i Beagles, tranne i gatti.")</f>
        <v>Mi piacciono i Beagles, tranne i gatti.</v>
      </c>
      <c r="G375" s="6" t="str">
        <f>IFERROR(__xludf.DUMMYFUNCTION("GOOGLETRANSLATE(E375,""fr"",""it"")"),"Mi piacciono i Beagles, tranne i gatti.")</f>
        <v>Mi piacciono i Beagles, tranne i gatti.</v>
      </c>
    </row>
    <row r="376">
      <c r="A376" s="4">
        <v>374.0</v>
      </c>
      <c r="B376" s="5" t="s">
        <v>1129</v>
      </c>
      <c r="C376" s="4">
        <v>0.0</v>
      </c>
      <c r="D376" s="5" t="s">
        <v>1130</v>
      </c>
      <c r="E376" s="5" t="s">
        <v>1131</v>
      </c>
      <c r="F376" s="6" t="str">
        <f>IFERROR(__xludf.DUMMYFUNCTION("GOOGLETRANSLATE(D376,""en"",""it"")"),"Mi piacciono i gioielli, e più appositamente scarpe.")</f>
        <v>Mi piacciono i gioielli, e più appositamente scarpe.</v>
      </c>
      <c r="G376" s="6" t="str">
        <f>IFERROR(__xludf.DUMMYFUNCTION("GOOGLETRANSLATE(E376,""fr"",""it"")"),"Mi piacciono i gioielli, e più in particolare le scarpe.")</f>
        <v>Mi piacciono i gioielli, e più in particolare le scarpe.</v>
      </c>
    </row>
    <row r="377">
      <c r="A377" s="4">
        <v>375.0</v>
      </c>
      <c r="B377" s="5" t="s">
        <v>1132</v>
      </c>
      <c r="C377" s="4">
        <v>0.0</v>
      </c>
      <c r="D377" s="5" t="s">
        <v>1133</v>
      </c>
      <c r="E377" s="5" t="s">
        <v>1134</v>
      </c>
      <c r="F377" s="6" t="str">
        <f>IFERROR(__xludf.DUMMYFUNCTION("GOOGLETRANSLATE(D377,""en"",""it"")"),"Mi piacciono le collane e più specificamente borse.")</f>
        <v>Mi piacciono le collane e più specificamente borse.</v>
      </c>
      <c r="G377" s="6" t="str">
        <f>IFERROR(__xludf.DUMMYFUNCTION("GOOGLETRANSLATE(E377,""fr"",""it"")"),"Mi piacciono le collane e più borse in particolare.")</f>
        <v>Mi piacciono le collane e più borse in particolare.</v>
      </c>
    </row>
    <row r="378">
      <c r="A378" s="4">
        <v>376.0</v>
      </c>
      <c r="B378" s="5" t="s">
        <v>1135</v>
      </c>
      <c r="C378" s="4">
        <v>0.0</v>
      </c>
      <c r="D378" s="5" t="s">
        <v>1136</v>
      </c>
      <c r="E378" s="5" t="s">
        <v>1137</v>
      </c>
      <c r="F378" s="6" t="str">
        <f>IFERROR(__xludf.DUMMYFUNCTION("GOOGLETRANSLATE(D378,""en"",""it"")"),"Mi piacciono le borse e più specificamente collane.")</f>
        <v>Mi piacciono le borse e più specificamente collane.</v>
      </c>
      <c r="G378" s="6" t="str">
        <f>IFERROR(__xludf.DUMMYFUNCTION("GOOGLETRANSLATE(E378,""fr"",""it"")"),"Mi piacciono le borse e più in particolare le collane.")</f>
        <v>Mi piacciono le borse e più in particolare le collane.</v>
      </c>
    </row>
    <row r="379">
      <c r="A379" s="4">
        <v>377.0</v>
      </c>
      <c r="B379" s="5" t="s">
        <v>1138</v>
      </c>
      <c r="C379" s="4">
        <v>0.0</v>
      </c>
      <c r="D379" s="5" t="s">
        <v>1139</v>
      </c>
      <c r="E379" s="5" t="s">
        <v>1140</v>
      </c>
      <c r="F379" s="6" t="str">
        <f>IFERROR(__xludf.DUMMYFUNCTION("GOOGLETRANSLATE(D379,""en"",""it"")"),"Mi piacciono le collane e più specificamente gioielli.")</f>
        <v>Mi piacciono le collane e più specificamente gioielli.</v>
      </c>
      <c r="G379" s="6" t="str">
        <f>IFERROR(__xludf.DUMMYFUNCTION("GOOGLETRANSLATE(E379,""fr"",""it"")"),"Mi piacciono le collane, in particolare i gioielli.")</f>
        <v>Mi piacciono le collane, in particolare i gioielli.</v>
      </c>
    </row>
    <row r="380">
      <c r="A380" s="4">
        <v>378.0</v>
      </c>
      <c r="B380" s="5" t="s">
        <v>1141</v>
      </c>
      <c r="C380" s="4">
        <v>1.0</v>
      </c>
      <c r="D380" s="5" t="s">
        <v>1142</v>
      </c>
      <c r="E380" s="5" t="s">
        <v>1143</v>
      </c>
      <c r="F380" s="6" t="str">
        <f>IFERROR(__xludf.DUMMYFUNCTION("GOOGLETRANSLATE(D380,""en"",""it"")"),"Mi piacciono i gioielli, e più specificamente collane.")</f>
        <v>Mi piacciono i gioielli, e più specificamente collane.</v>
      </c>
      <c r="G380" s="6" t="str">
        <f>IFERROR(__xludf.DUMMYFUNCTION("GOOGLETRANSLATE(E380,""fr"",""it"")"),"Mi piacciono i gioielli e più in particolare le collane.")</f>
        <v>Mi piacciono i gioielli e più in particolare le collane.</v>
      </c>
    </row>
    <row r="381">
      <c r="A381" s="4">
        <v>379.0</v>
      </c>
      <c r="B381" s="5" t="s">
        <v>1144</v>
      </c>
      <c r="C381" s="4">
        <v>0.0</v>
      </c>
      <c r="D381" s="5" t="s">
        <v>1145</v>
      </c>
      <c r="E381" s="5" t="s">
        <v>1146</v>
      </c>
      <c r="F381" s="6" t="str">
        <f>IFERROR(__xludf.DUMMYFUNCTION("GOOGLETRANSLATE(D381,""en"",""it"")"),"Mi piacciono le collane e più appositamente sciarpe.")</f>
        <v>Mi piacciono le collane e più appositamente sciarpe.</v>
      </c>
      <c r="G381" s="6" t="str">
        <f>IFERROR(__xludf.DUMMYFUNCTION("GOOGLETRANSLATE(E381,""fr"",""it"")"),"Adoro le collane e più in particolare le sciarpe.")</f>
        <v>Adoro le collane e più in particolare le sciarpe.</v>
      </c>
    </row>
    <row r="382">
      <c r="A382" s="4">
        <v>380.0</v>
      </c>
      <c r="B382" s="5" t="s">
        <v>1147</v>
      </c>
      <c r="C382" s="4">
        <v>0.0</v>
      </c>
      <c r="D382" s="5" t="s">
        <v>1148</v>
      </c>
      <c r="E382" s="5" t="s">
        <v>1149</v>
      </c>
      <c r="F382" s="6" t="str">
        <f>IFERROR(__xludf.DUMMYFUNCTION("GOOGLETRANSLATE(D382,""en"",""it"")"),"Mi piacciono le sciarpe, e più specificamente collane.")</f>
        <v>Mi piacciono le sciarpe, e più specificamente collane.</v>
      </c>
      <c r="G382" s="6" t="str">
        <f>IFERROR(__xludf.DUMMYFUNCTION("GOOGLETRANSLATE(E382,""fr"",""it"")"),"Mi piacciono le sciarpe e più in particolare le collane.")</f>
        <v>Mi piacciono le sciarpe e più in particolare le collane.</v>
      </c>
    </row>
    <row r="383">
      <c r="A383" s="4">
        <v>381.0</v>
      </c>
      <c r="B383" s="5" t="s">
        <v>1150</v>
      </c>
      <c r="C383" s="4">
        <v>0.0</v>
      </c>
      <c r="D383" s="5" t="s">
        <v>1151</v>
      </c>
      <c r="E383" s="5" t="s">
        <v>1152</v>
      </c>
      <c r="F383" s="6" t="str">
        <f>IFERROR(__xludf.DUMMYFUNCTION("GOOGLETRANSLATE(D383,""en"",""it"")"),"Mi piacciono le collane e più appositamente occhiali.")</f>
        <v>Mi piacciono le collane e più appositamente occhiali.</v>
      </c>
      <c r="G383" s="6" t="str">
        <f>IFERROR(__xludf.DUMMYFUNCTION("GOOGLETRANSLATE(E383,""fr"",""it"")"),"Adoro le collane, specialmente gli occhiali.")</f>
        <v>Adoro le collane, specialmente gli occhiali.</v>
      </c>
    </row>
    <row r="384">
      <c r="A384" s="4">
        <v>382.0</v>
      </c>
      <c r="B384" s="5" t="s">
        <v>1153</v>
      </c>
      <c r="C384" s="4">
        <v>0.0</v>
      </c>
      <c r="D384" s="5" t="s">
        <v>1154</v>
      </c>
      <c r="E384" s="5" t="s">
        <v>1155</v>
      </c>
      <c r="F384" s="6" t="str">
        <f>IFERROR(__xludf.DUMMYFUNCTION("GOOGLETRANSLATE(D384,""en"",""it"")"),"Mi piacciono gli occhiali, e più specificamente collane.")</f>
        <v>Mi piacciono gli occhiali, e più specificamente collane.</v>
      </c>
      <c r="G384" s="6" t="str">
        <f>IFERROR(__xludf.DUMMYFUNCTION("GOOGLETRANSLATE(E384,""fr"",""it"")"),"Mi piacciono gli occhiali e più in particolare le collane.")</f>
        <v>Mi piacciono gli occhiali e più in particolare le collane.</v>
      </c>
    </row>
    <row r="385">
      <c r="A385" s="4">
        <v>383.0</v>
      </c>
      <c r="B385" s="5" t="s">
        <v>1156</v>
      </c>
      <c r="C385" s="4">
        <v>0.0</v>
      </c>
      <c r="D385" s="5" t="s">
        <v>1157</v>
      </c>
      <c r="E385" s="5" t="s">
        <v>1158</v>
      </c>
      <c r="F385" s="6" t="str">
        <f>IFERROR(__xludf.DUMMYFUNCTION("GOOGLETRANSLATE(D385,""en"",""it"")"),"Mi piacciono le collane e più appositamente scarpe.")</f>
        <v>Mi piacciono le collane e più appositamente scarpe.</v>
      </c>
      <c r="G385" s="6" t="str">
        <f>IFERROR(__xludf.DUMMYFUNCTION("GOOGLETRANSLATE(E385,""fr"",""it"")"),"Adoro le collane e più in particolare le scarpe.")</f>
        <v>Adoro le collane e più in particolare le scarpe.</v>
      </c>
    </row>
    <row r="386">
      <c r="A386" s="4">
        <v>384.0</v>
      </c>
      <c r="B386" s="5" t="s">
        <v>1159</v>
      </c>
      <c r="C386" s="4">
        <v>0.0</v>
      </c>
      <c r="D386" s="5" t="s">
        <v>1160</v>
      </c>
      <c r="E386" s="5" t="s">
        <v>1161</v>
      </c>
      <c r="F386" s="6" t="str">
        <f>IFERROR(__xludf.DUMMYFUNCTION("GOOGLETRANSLATE(D386,""en"",""it"")"),"Mi piacciono le scarpe e più specificamente collane.")</f>
        <v>Mi piacciono le scarpe e più specificamente collane.</v>
      </c>
      <c r="G386" s="6" t="str">
        <f>IFERROR(__xludf.DUMMYFUNCTION("GOOGLETRANSLATE(E386,""fr"",""it"")"),"Mi piacciono le scarpe e più in particolare le collane.")</f>
        <v>Mi piacciono le scarpe e più in particolare le collane.</v>
      </c>
    </row>
    <row r="387">
      <c r="A387" s="4">
        <v>385.0</v>
      </c>
      <c r="B387" s="5" t="s">
        <v>1162</v>
      </c>
      <c r="C387" s="4">
        <v>0.0</v>
      </c>
      <c r="D387" s="5" t="s">
        <v>1163</v>
      </c>
      <c r="E387" s="5" t="s">
        <v>1164</v>
      </c>
      <c r="F387" s="6" t="str">
        <f>IFERROR(__xludf.DUMMYFUNCTION("GOOGLETRANSLATE(D387,""en"",""it"")"),"Mi piacciono gli orecchini e più specificamente borse.")</f>
        <v>Mi piacciono gli orecchini e più specificamente borse.</v>
      </c>
      <c r="G387" s="6" t="str">
        <f>IFERROR(__xludf.DUMMYFUNCTION("GOOGLETRANSLATE(E387,""fr"",""it"")"),"Mi piacciono gli orecchini e più borse in particolare.")</f>
        <v>Mi piacciono gli orecchini e più borse in particolare.</v>
      </c>
    </row>
    <row r="388">
      <c r="A388" s="4">
        <v>386.0</v>
      </c>
      <c r="B388" s="5" t="s">
        <v>1165</v>
      </c>
      <c r="C388" s="4">
        <v>0.0</v>
      </c>
      <c r="D388" s="5" t="s">
        <v>1166</v>
      </c>
      <c r="E388" s="5" t="s">
        <v>1167</v>
      </c>
      <c r="F388" s="6" t="str">
        <f>IFERROR(__xludf.DUMMYFUNCTION("GOOGLETRANSLATE(D388,""en"",""it"")"),"Mi piacciono le borse e più specificamente orecchini.")</f>
        <v>Mi piacciono le borse e più specificamente orecchini.</v>
      </c>
      <c r="G388" s="6" t="str">
        <f>IFERROR(__xludf.DUMMYFUNCTION("GOOGLETRANSLATE(E388,""fr"",""it"")"),"Mi piacciono le borse e più particolarmente gli orecchini.")</f>
        <v>Mi piacciono le borse e più particolarmente gli orecchini.</v>
      </c>
    </row>
    <row r="389">
      <c r="A389" s="4">
        <v>387.0</v>
      </c>
      <c r="B389" s="5" t="s">
        <v>1168</v>
      </c>
      <c r="C389" s="4">
        <v>0.0</v>
      </c>
      <c r="D389" s="5" t="s">
        <v>1169</v>
      </c>
      <c r="E389" s="5" t="s">
        <v>1170</v>
      </c>
      <c r="F389" s="6" t="str">
        <f>IFERROR(__xludf.DUMMYFUNCTION("GOOGLETRANSLATE(D389,""en"",""it"")"),"Mi piacciono gli orecchini, e più specificamente gioielli.")</f>
        <v>Mi piacciono gli orecchini, e più specificamente gioielli.</v>
      </c>
      <c r="G389" s="6" t="str">
        <f>IFERROR(__xludf.DUMMYFUNCTION("GOOGLETRANSLATE(E389,""fr"",""it"")"),"Mi piacciono gli orecchini, in particolare i gioielli.")</f>
        <v>Mi piacciono gli orecchini, in particolare i gioielli.</v>
      </c>
    </row>
    <row r="390">
      <c r="A390" s="4">
        <v>388.0</v>
      </c>
      <c r="B390" s="5" t="s">
        <v>1171</v>
      </c>
      <c r="C390" s="4">
        <v>1.0</v>
      </c>
      <c r="D390" s="5" t="s">
        <v>1172</v>
      </c>
      <c r="E390" s="5" t="s">
        <v>1173</v>
      </c>
      <c r="F390" s="6" t="str">
        <f>IFERROR(__xludf.DUMMYFUNCTION("GOOGLETRANSLATE(D390,""en"",""it"")"),"Mi piacciono i gioielli e gli orecchini più specificamente.")</f>
        <v>Mi piacciono i gioielli e gli orecchini più specificamente.</v>
      </c>
      <c r="G390" s="6" t="str">
        <f>IFERROR(__xludf.DUMMYFUNCTION("GOOGLETRANSLATE(E390,""fr"",""it"")"),"Mi piacciono i gioielli e più in particolare gli orecchini.")</f>
        <v>Mi piacciono i gioielli e più in particolare gli orecchini.</v>
      </c>
    </row>
    <row r="391">
      <c r="A391" s="4">
        <v>389.0</v>
      </c>
      <c r="B391" s="5" t="s">
        <v>1174</v>
      </c>
      <c r="C391" s="4">
        <v>0.0</v>
      </c>
      <c r="D391" s="5" t="s">
        <v>1175</v>
      </c>
      <c r="E391" s="5" t="s">
        <v>1176</v>
      </c>
      <c r="F391" s="6" t="str">
        <f>IFERROR(__xludf.DUMMYFUNCTION("GOOGLETRANSLATE(D391,""en"",""it"")"),"Mi piacciono gli orecchini, e più appositamente sciarpe.")</f>
        <v>Mi piacciono gli orecchini, e più appositamente sciarpe.</v>
      </c>
      <c r="G391" s="6" t="str">
        <f>IFERROR(__xludf.DUMMYFUNCTION("GOOGLETRANSLATE(E391,""fr"",""it"")"),"Mi piacciono gli orecchini e più in particolare le sciarpe.")</f>
        <v>Mi piacciono gli orecchini e più in particolare le sciarpe.</v>
      </c>
    </row>
    <row r="392">
      <c r="A392" s="4">
        <v>390.0</v>
      </c>
      <c r="B392" s="5" t="s">
        <v>1177</v>
      </c>
      <c r="C392" s="4">
        <v>0.0</v>
      </c>
      <c r="D392" s="5" t="s">
        <v>1178</v>
      </c>
      <c r="E392" s="5" t="s">
        <v>1179</v>
      </c>
      <c r="F392" s="6" t="str">
        <f>IFERROR(__xludf.DUMMYFUNCTION("GOOGLETRANSLATE(D392,""en"",""it"")"),"Mi piacciono le sciarpe e gli orecchini più specificamente.")</f>
        <v>Mi piacciono le sciarpe e gli orecchini più specificamente.</v>
      </c>
      <c r="G392" s="6" t="str">
        <f>IFERROR(__xludf.DUMMYFUNCTION("GOOGLETRANSLATE(E392,""fr"",""it"")"),"Adoro sciarpe e più in particolare gli orecchini.")</f>
        <v>Adoro sciarpe e più in particolare gli orecchini.</v>
      </c>
    </row>
    <row r="393">
      <c r="A393" s="4">
        <v>391.0</v>
      </c>
      <c r="B393" s="5" t="s">
        <v>1180</v>
      </c>
      <c r="C393" s="4">
        <v>0.0</v>
      </c>
      <c r="D393" s="5" t="s">
        <v>1181</v>
      </c>
      <c r="E393" s="5" t="s">
        <v>1182</v>
      </c>
      <c r="F393" s="6" t="str">
        <f>IFERROR(__xludf.DUMMYFUNCTION("GOOGLETRANSLATE(D393,""en"",""it"")"),"Mi piacciono gli orecchini e più appositamente occhiali.")</f>
        <v>Mi piacciono gli orecchini e più appositamente occhiali.</v>
      </c>
      <c r="G393" s="6" t="str">
        <f>IFERROR(__xludf.DUMMYFUNCTION("GOOGLETRANSLATE(E393,""fr"",""it"")"),"Mi piacciono gli orecchini, e più particolarmente gli occhiali.")</f>
        <v>Mi piacciono gli orecchini, e più particolarmente gli occhiali.</v>
      </c>
    </row>
    <row r="394">
      <c r="A394" s="4">
        <v>392.0</v>
      </c>
      <c r="B394" s="5" t="s">
        <v>1183</v>
      </c>
      <c r="C394" s="4">
        <v>0.0</v>
      </c>
      <c r="D394" s="5" t="s">
        <v>1184</v>
      </c>
      <c r="E394" s="5" t="s">
        <v>1185</v>
      </c>
      <c r="F394" s="6" t="str">
        <f>IFERROR(__xludf.DUMMYFUNCTION("GOOGLETRANSLATE(D394,""en"",""it"")"),"Mi piacciono gli occhiali e più precisamente orecchini.")</f>
        <v>Mi piacciono gli occhiali e più precisamente orecchini.</v>
      </c>
      <c r="G394" s="6" t="str">
        <f>IFERROR(__xludf.DUMMYFUNCTION("GOOGLETRANSLATE(E394,""fr"",""it"")"),"Mi piacciono gli occhiali e più in particolare gli orecchini.")</f>
        <v>Mi piacciono gli occhiali e più in particolare gli orecchini.</v>
      </c>
    </row>
    <row r="395">
      <c r="A395" s="4">
        <v>393.0</v>
      </c>
      <c r="B395" s="5" t="s">
        <v>1186</v>
      </c>
      <c r="C395" s="4">
        <v>0.0</v>
      </c>
      <c r="D395" s="5" t="s">
        <v>1187</v>
      </c>
      <c r="E395" s="5" t="s">
        <v>1188</v>
      </c>
      <c r="F395" s="6" t="str">
        <f>IFERROR(__xludf.DUMMYFUNCTION("GOOGLETRANSLATE(D395,""en"",""it"")"),"Mi piacciono gli orecchini e più appositamente scarpe.")</f>
        <v>Mi piacciono gli orecchini e più appositamente scarpe.</v>
      </c>
      <c r="G395" s="6" t="str">
        <f>IFERROR(__xludf.DUMMYFUNCTION("GOOGLETRANSLATE(E395,""fr"",""it"")"),"Mi piacciono gli orecchini e più in particolare le scarpe.")</f>
        <v>Mi piacciono gli orecchini e più in particolare le scarpe.</v>
      </c>
    </row>
    <row r="396">
      <c r="A396" s="4">
        <v>394.0</v>
      </c>
      <c r="B396" s="5" t="s">
        <v>1189</v>
      </c>
      <c r="C396" s="4">
        <v>0.0</v>
      </c>
      <c r="D396" s="5" t="s">
        <v>1190</v>
      </c>
      <c r="E396" s="5" t="s">
        <v>1191</v>
      </c>
      <c r="F396" s="6" t="str">
        <f>IFERROR(__xludf.DUMMYFUNCTION("GOOGLETRANSLATE(D396,""en"",""it"")"),"Mi piacciono le scarpe, e più specificamente orecchini.")</f>
        <v>Mi piacciono le scarpe, e più specificamente orecchini.</v>
      </c>
      <c r="G396" s="6" t="str">
        <f>IFERROR(__xludf.DUMMYFUNCTION("GOOGLETRANSLATE(E396,""fr"",""it"")"),"Adoro le scarpe e più in particolare gli orecchini.")</f>
        <v>Adoro le scarpe e più in particolare gli orecchini.</v>
      </c>
    </row>
    <row r="397">
      <c r="A397" s="4">
        <v>395.0</v>
      </c>
      <c r="B397" s="5" t="s">
        <v>1192</v>
      </c>
      <c r="C397" s="4">
        <v>0.0</v>
      </c>
      <c r="D397" s="5" t="s">
        <v>1193</v>
      </c>
      <c r="E397" s="5" t="s">
        <v>1194</v>
      </c>
      <c r="F397" s="6" t="str">
        <f>IFERROR(__xludf.DUMMYFUNCTION("GOOGLETRANSLATE(D397,""en"",""it"")"),"Mi piacciono i gatti, tranne Beagles.")</f>
        <v>Mi piacciono i gatti, tranne Beagles.</v>
      </c>
      <c r="G397" s="6" t="str">
        <f>IFERROR(__xludf.DUMMYFUNCTION("GOOGLETRANSLATE(E397,""fr"",""it"")"),"Mi piacciono i gatti, tranne i Beagles.")</f>
        <v>Mi piacciono i gatti, tranne i Beagles.</v>
      </c>
    </row>
    <row r="398">
      <c r="A398" s="4">
        <v>396.0</v>
      </c>
      <c r="B398" s="5" t="s">
        <v>1195</v>
      </c>
      <c r="C398" s="4">
        <v>0.0</v>
      </c>
      <c r="D398" s="5" t="s">
        <v>1196</v>
      </c>
      <c r="E398" s="5" t="s">
        <v>1197</v>
      </c>
      <c r="F398" s="6" t="str">
        <f>IFERROR(__xludf.DUMMYFUNCTION("GOOGLETRANSLATE(D398,""en"",""it"")"),"Mi piacciono gli anelli e le borse più specificamente.")</f>
        <v>Mi piacciono gli anelli e le borse più specificamente.</v>
      </c>
      <c r="G398" s="6" t="str">
        <f>IFERROR(__xludf.DUMMYFUNCTION("GOOGLETRANSLATE(E398,""fr"",""it"")"),"Amo gli anelli, e più borse in particolare.")</f>
        <v>Amo gli anelli, e più borse in particolare.</v>
      </c>
    </row>
    <row r="399">
      <c r="A399" s="4">
        <v>397.0</v>
      </c>
      <c r="B399" s="5" t="s">
        <v>1198</v>
      </c>
      <c r="C399" s="4">
        <v>0.0</v>
      </c>
      <c r="D399" s="5" t="s">
        <v>1199</v>
      </c>
      <c r="E399" s="5" t="s">
        <v>1200</v>
      </c>
      <c r="F399" s="6" t="str">
        <f>IFERROR(__xludf.DUMMYFUNCTION("GOOGLETRANSLATE(D399,""en"",""it"")"),"Mi piacciono le borse e più specificamente anelli.")</f>
        <v>Mi piacciono le borse e più specificamente anelli.</v>
      </c>
      <c r="G399" s="6" t="str">
        <f>IFERROR(__xludf.DUMMYFUNCTION("GOOGLETRANSLATE(E399,""fr"",""it"")"),"Mi piacciono le borse e più in particolare gli anelli.")</f>
        <v>Mi piacciono le borse e più in particolare gli anelli.</v>
      </c>
    </row>
    <row r="400">
      <c r="A400" s="4">
        <v>398.0</v>
      </c>
      <c r="B400" s="5" t="s">
        <v>1201</v>
      </c>
      <c r="C400" s="4">
        <v>0.0</v>
      </c>
      <c r="D400" s="5" t="s">
        <v>1202</v>
      </c>
      <c r="E400" s="5" t="s">
        <v>1203</v>
      </c>
      <c r="F400" s="6" t="str">
        <f>IFERROR(__xludf.DUMMYFUNCTION("GOOGLETRANSLATE(D400,""en"",""it"")"),"Mi piacciono gli anelli, e più specificamente gioielli.")</f>
        <v>Mi piacciono gli anelli, e più specificamente gioielli.</v>
      </c>
      <c r="G400" s="6" t="str">
        <f>IFERROR(__xludf.DUMMYFUNCTION("GOOGLETRANSLATE(E400,""fr"",""it"")"),"Amo gli anelli, in particolare i gioielli.")</f>
        <v>Amo gli anelli, in particolare i gioielli.</v>
      </c>
    </row>
    <row r="401">
      <c r="A401" s="4">
        <v>399.0</v>
      </c>
      <c r="B401" s="5" t="s">
        <v>1204</v>
      </c>
      <c r="C401" s="4">
        <v>1.0</v>
      </c>
      <c r="D401" s="5" t="s">
        <v>1205</v>
      </c>
      <c r="E401" s="5" t="s">
        <v>1206</v>
      </c>
      <c r="F401" s="6" t="str">
        <f>IFERROR(__xludf.DUMMYFUNCTION("GOOGLETRANSLATE(D401,""en"",""it"")"),"Mi piacciono i gioielli e più specificamente anelli.")</f>
        <v>Mi piacciono i gioielli e più specificamente anelli.</v>
      </c>
      <c r="G401" s="6" t="str">
        <f>IFERROR(__xludf.DUMMYFUNCTION("GOOGLETRANSLATE(E401,""fr"",""it"")"),"Mi piacciono i gioielli e più in particolare gli anelli.")</f>
        <v>Mi piacciono i gioielli e più in particolare gli anelli.</v>
      </c>
    </row>
    <row r="402">
      <c r="A402" s="4">
        <v>400.0</v>
      </c>
      <c r="B402" s="5" t="s">
        <v>1207</v>
      </c>
      <c r="C402" s="4">
        <v>0.0</v>
      </c>
      <c r="D402" s="5" t="s">
        <v>1208</v>
      </c>
      <c r="E402" s="5" t="s">
        <v>1209</v>
      </c>
      <c r="F402" s="6" t="str">
        <f>IFERROR(__xludf.DUMMYFUNCTION("GOOGLETRANSLATE(D402,""en"",""it"")"),"Mi piacciono gli anelli e le più in particolare sciarpe.")</f>
        <v>Mi piacciono gli anelli e le più in particolare sciarpe.</v>
      </c>
      <c r="G402" s="6" t="str">
        <f>IFERROR(__xludf.DUMMYFUNCTION("GOOGLETRANSLATE(E402,""fr"",""it"")"),"Amo gli anelli e più in particolare le sciarpe.")</f>
        <v>Amo gli anelli e più in particolare le sciarpe.</v>
      </c>
    </row>
    <row r="403">
      <c r="A403" s="4">
        <v>401.0</v>
      </c>
      <c r="B403" s="5" t="s">
        <v>1210</v>
      </c>
      <c r="C403" s="4">
        <v>0.0</v>
      </c>
      <c r="D403" s="5" t="s">
        <v>1211</v>
      </c>
      <c r="E403" s="5" t="s">
        <v>1212</v>
      </c>
      <c r="F403" s="6" t="str">
        <f>IFERROR(__xludf.DUMMYFUNCTION("GOOGLETRANSLATE(D403,""en"",""it"")"),"Mi piacciono le sciarpe, e più specificamente anelli.")</f>
        <v>Mi piacciono le sciarpe, e più specificamente anelli.</v>
      </c>
      <c r="G403" s="6" t="str">
        <f>IFERROR(__xludf.DUMMYFUNCTION("GOOGLETRANSLATE(E403,""fr"",""it"")"),"Mi piacciono le sciarpe e più in particolare gli anelli.")</f>
        <v>Mi piacciono le sciarpe e più in particolare gli anelli.</v>
      </c>
    </row>
    <row r="404">
      <c r="A404" s="4">
        <v>402.0</v>
      </c>
      <c r="B404" s="5" t="s">
        <v>1213</v>
      </c>
      <c r="C404" s="4">
        <v>0.0</v>
      </c>
      <c r="D404" s="5" t="s">
        <v>1214</v>
      </c>
      <c r="E404" s="5" t="s">
        <v>1215</v>
      </c>
      <c r="F404" s="6" t="str">
        <f>IFERROR(__xludf.DUMMYFUNCTION("GOOGLETRANSLATE(D404,""en"",""it"")"),"Mi piacciono gli anelli e più specificamente occhiali.")</f>
        <v>Mi piacciono gli anelli e più specificamente occhiali.</v>
      </c>
      <c r="G404" s="6" t="str">
        <f>IFERROR(__xludf.DUMMYFUNCTION("GOOGLETRANSLATE(E404,""fr"",""it"")"),"Adoro gli anelli, e più in particolare gli occhiali.")</f>
        <v>Adoro gli anelli, e più in particolare gli occhiali.</v>
      </c>
    </row>
    <row r="405">
      <c r="A405" s="4">
        <v>403.0</v>
      </c>
      <c r="B405" s="5" t="s">
        <v>1216</v>
      </c>
      <c r="C405" s="4">
        <v>0.0</v>
      </c>
      <c r="D405" s="5" t="s">
        <v>1217</v>
      </c>
      <c r="E405" s="5" t="s">
        <v>1218</v>
      </c>
      <c r="F405" s="6" t="str">
        <f>IFERROR(__xludf.DUMMYFUNCTION("GOOGLETRANSLATE(D405,""en"",""it"")"),"Mi piacciono gli occhiali e più specificamente anelli.")</f>
        <v>Mi piacciono gli occhiali e più specificamente anelli.</v>
      </c>
      <c r="G405" s="6" t="str">
        <f>IFERROR(__xludf.DUMMYFUNCTION("GOOGLETRANSLATE(E405,""fr"",""it"")"),"Mi piacciono gli occhiali e più in particolare gli anelli.")</f>
        <v>Mi piacciono gli occhiali e più in particolare gli anelli.</v>
      </c>
    </row>
    <row r="406">
      <c r="A406" s="4">
        <v>404.0</v>
      </c>
      <c r="B406" s="5" t="s">
        <v>1219</v>
      </c>
      <c r="C406" s="4">
        <v>0.0</v>
      </c>
      <c r="D406" s="5" t="s">
        <v>1220</v>
      </c>
      <c r="E406" s="5" t="s">
        <v>1221</v>
      </c>
      <c r="F406" s="6" t="str">
        <f>IFERROR(__xludf.DUMMYFUNCTION("GOOGLETRANSLATE(D406,""en"",""it"")"),"Mi piacciono gli anelli, e più appositamente scarpe.")</f>
        <v>Mi piacciono gli anelli, e più appositamente scarpe.</v>
      </c>
      <c r="G406" s="6" t="str">
        <f>IFERROR(__xludf.DUMMYFUNCTION("GOOGLETRANSLATE(E406,""fr"",""it"")"),"Amo gli anelli e più in particolare le scarpe.")</f>
        <v>Amo gli anelli e più in particolare le scarpe.</v>
      </c>
    </row>
    <row r="407">
      <c r="A407" s="4">
        <v>405.0</v>
      </c>
      <c r="B407" s="5" t="s">
        <v>1222</v>
      </c>
      <c r="C407" s="4">
        <v>0.0</v>
      </c>
      <c r="D407" s="5" t="s">
        <v>1223</v>
      </c>
      <c r="E407" s="5" t="s">
        <v>1224</v>
      </c>
      <c r="F407" s="6" t="str">
        <f>IFERROR(__xludf.DUMMYFUNCTION("GOOGLETRANSLATE(D407,""en"",""it"")"),"Mi piacciono le scarpe e più specificamente anelli.")</f>
        <v>Mi piacciono le scarpe e più specificamente anelli.</v>
      </c>
      <c r="G407" s="6" t="str">
        <f>IFERROR(__xludf.DUMMYFUNCTION("GOOGLETRANSLATE(E407,""fr"",""it"")"),"Adoro le scarpe e più in particolare gli anelli.")</f>
        <v>Adoro le scarpe e più in particolare gli anelli.</v>
      </c>
    </row>
    <row r="408">
      <c r="A408" s="4">
        <v>406.0</v>
      </c>
      <c r="B408" s="5" t="s">
        <v>1225</v>
      </c>
      <c r="C408" s="4">
        <v>0.0</v>
      </c>
      <c r="D408" s="5" t="s">
        <v>1226</v>
      </c>
      <c r="E408" s="5" t="s">
        <v>1227</v>
      </c>
      <c r="F408" s="6" t="str">
        <f>IFERROR(__xludf.DUMMYFUNCTION("GOOGLETRANSLATE(D408,""en"",""it"")"),"Mi piacciono i gatti, e più specificamente le giraffe.")</f>
        <v>Mi piacciono i gatti, e più specificamente le giraffe.</v>
      </c>
      <c r="G408" s="6" t="str">
        <f>IFERROR(__xludf.DUMMYFUNCTION("GOOGLETRANSLATE(E408,""fr"",""it"")"),"Mi piacciono i gatti e più in particolare le giraffe.")</f>
        <v>Mi piacciono i gatti e più in particolare le giraffe.</v>
      </c>
    </row>
    <row r="409">
      <c r="A409" s="4">
        <v>407.0</v>
      </c>
      <c r="B409" s="5" t="s">
        <v>1228</v>
      </c>
      <c r="C409" s="4">
        <v>0.0</v>
      </c>
      <c r="D409" s="5" t="s">
        <v>1229</v>
      </c>
      <c r="E409" s="5" t="s">
        <v>1230</v>
      </c>
      <c r="F409" s="6" t="str">
        <f>IFERROR(__xludf.DUMMYFUNCTION("GOOGLETRANSLATE(D409,""en"",""it"")"),"Mi piacciono le giraffe, e più specificamente gatti.")</f>
        <v>Mi piacciono le giraffe, e più specificamente gatti.</v>
      </c>
      <c r="G409" s="6" t="str">
        <f>IFERROR(__xludf.DUMMYFUNCTION("GOOGLETRANSLATE(E409,""fr"",""it"")"),"Amo le giraffe, in particolare i gatti.")</f>
        <v>Amo le giraffe, in particolare i gatti.</v>
      </c>
    </row>
    <row r="410">
      <c r="A410" s="4">
        <v>408.0</v>
      </c>
      <c r="B410" s="5" t="s">
        <v>1231</v>
      </c>
      <c r="C410" s="4">
        <v>0.0</v>
      </c>
      <c r="D410" s="5" t="s">
        <v>1232</v>
      </c>
      <c r="E410" s="5" t="s">
        <v>1233</v>
      </c>
      <c r="F410" s="6" t="str">
        <f>IFERROR(__xludf.DUMMYFUNCTION("GOOGLETRANSLATE(D410,""en"",""it"")"),"Mi piacciono i gatti, e più specificamente animali domestici.")</f>
        <v>Mi piacciono i gatti, e più specificamente animali domestici.</v>
      </c>
      <c r="G410" s="6" t="str">
        <f>IFERROR(__xludf.DUMMYFUNCTION("GOOGLETRANSLATE(E410,""fr"",""it"")"),"Mi piacciono i gatti, specialmente animali domestici.")</f>
        <v>Mi piacciono i gatti, specialmente animali domestici.</v>
      </c>
    </row>
    <row r="411">
      <c r="A411" s="4">
        <v>409.0</v>
      </c>
      <c r="B411" s="5" t="s">
        <v>1234</v>
      </c>
      <c r="C411" s="4">
        <v>1.0</v>
      </c>
      <c r="D411" s="5" t="s">
        <v>1235</v>
      </c>
      <c r="E411" s="5" t="s">
        <v>1236</v>
      </c>
      <c r="F411" s="6" t="str">
        <f>IFERROR(__xludf.DUMMYFUNCTION("GOOGLETRANSLATE(D411,""en"",""it"")"),"Mi piacciono gli animali domestici e più specificamente gatti.")</f>
        <v>Mi piacciono gli animali domestici e più specificamente gatti.</v>
      </c>
      <c r="G411" s="6" t="str">
        <f>IFERROR(__xludf.DUMMYFUNCTION("GOOGLETRANSLATE(E411,""fr"",""it"")"),"Amo gli animali domestici, in particolare i gatti.")</f>
        <v>Amo gli animali domestici, in particolare i gatti.</v>
      </c>
    </row>
    <row r="412">
      <c r="A412" s="4">
        <v>410.0</v>
      </c>
      <c r="B412" s="5" t="s">
        <v>1237</v>
      </c>
      <c r="C412" s="4">
        <v>0.0</v>
      </c>
      <c r="D412" s="5" t="s">
        <v>1238</v>
      </c>
      <c r="E412" s="5" t="s">
        <v>1239</v>
      </c>
      <c r="F412" s="6" t="str">
        <f>IFERROR(__xludf.DUMMYFUNCTION("GOOGLETRANSLATE(D412,""en"",""it"")"),"Mi piacciono gli animali domestici e più specificamente le giraffe.")</f>
        <v>Mi piacciono gli animali domestici e più specificamente le giraffe.</v>
      </c>
      <c r="G412" s="6" t="str">
        <f>IFERROR(__xludf.DUMMYFUNCTION("GOOGLETRANSLATE(E412,""fr"",""it"")"),"Amo gli animali domestici, specialmente le giraffe.")</f>
        <v>Amo gli animali domestici, specialmente le giraffe.</v>
      </c>
    </row>
    <row r="413">
      <c r="A413" s="4">
        <v>411.0</v>
      </c>
      <c r="B413" s="5" t="s">
        <v>1240</v>
      </c>
      <c r="C413" s="4">
        <v>0.0</v>
      </c>
      <c r="D413" s="5" t="s">
        <v>1241</v>
      </c>
      <c r="E413" s="5" t="s">
        <v>1242</v>
      </c>
      <c r="F413" s="6" t="str">
        <f>IFERROR(__xludf.DUMMYFUNCTION("GOOGLETRANSLATE(D413,""en"",""it"")"),"Mi piacciono i gatti e più specificamente orsi.")</f>
        <v>Mi piacciono i gatti e più specificamente orsi.</v>
      </c>
      <c r="G413" s="6" t="str">
        <f>IFERROR(__xludf.DUMMYFUNCTION("GOOGLETRANSLATE(E413,""fr"",""it"")"),"Mi piacciono i gatti, specialmente gli orsi.")</f>
        <v>Mi piacciono i gatti, specialmente gli orsi.</v>
      </c>
    </row>
    <row r="414">
      <c r="A414" s="4">
        <v>412.0</v>
      </c>
      <c r="B414" s="5" t="s">
        <v>1243</v>
      </c>
      <c r="C414" s="4">
        <v>0.0</v>
      </c>
      <c r="D414" s="5" t="s">
        <v>1244</v>
      </c>
      <c r="E414" s="5" t="s">
        <v>1245</v>
      </c>
      <c r="F414" s="6" t="str">
        <f>IFERROR(__xludf.DUMMYFUNCTION("GOOGLETRANSLATE(D414,""en"",""it"")"),"Mi piacciono gli orsi e più specificamente gatti.")</f>
        <v>Mi piacciono gli orsi e più specificamente gatti.</v>
      </c>
      <c r="G414" s="6" t="str">
        <f>IFERROR(__xludf.DUMMYFUNCTION("GOOGLETRANSLATE(E414,""fr"",""it"")"),"Amo gli orsi, in particolare i gatti.")</f>
        <v>Amo gli orsi, in particolare i gatti.</v>
      </c>
    </row>
    <row r="415">
      <c r="A415" s="4">
        <v>413.0</v>
      </c>
      <c r="B415" s="5" t="s">
        <v>1246</v>
      </c>
      <c r="C415" s="4">
        <v>0.0</v>
      </c>
      <c r="D415" s="5" t="s">
        <v>1247</v>
      </c>
      <c r="E415" s="5" t="s">
        <v>1248</v>
      </c>
      <c r="F415" s="6" t="str">
        <f>IFERROR(__xludf.DUMMYFUNCTION("GOOGLETRANSLATE(D415,""en"",""it"")"),"Mi piacciono gli animali domestici e più specificamente orsi.")</f>
        <v>Mi piacciono gli animali domestici e più specificamente orsi.</v>
      </c>
      <c r="G415" s="6" t="str">
        <f>IFERROR(__xludf.DUMMYFUNCTION("GOOGLETRANSLATE(E415,""fr"",""it"")"),"Amo gli animali domestici, in particolare gli orsi.")</f>
        <v>Amo gli animali domestici, in particolare gli orsi.</v>
      </c>
    </row>
    <row r="416">
      <c r="A416" s="4">
        <v>414.0</v>
      </c>
      <c r="B416" s="5" t="s">
        <v>1249</v>
      </c>
      <c r="C416" s="4">
        <v>0.0</v>
      </c>
      <c r="D416" s="5" t="s">
        <v>1250</v>
      </c>
      <c r="E416" s="5" t="s">
        <v>1251</v>
      </c>
      <c r="F416" s="6" t="str">
        <f>IFERROR(__xludf.DUMMYFUNCTION("GOOGLETRANSLATE(D416,""en"",""it"")"),"Mi piacciono i gatti e più specificamente meduse.")</f>
        <v>Mi piacciono i gatti e più specificamente meduse.</v>
      </c>
      <c r="G416" s="6" t="str">
        <f>IFERROR(__xludf.DUMMYFUNCTION("GOOGLETRANSLATE(E416,""fr"",""it"")"),"Mi piacciono i gatti e più in particolare la medusa.")</f>
        <v>Mi piacciono i gatti e più in particolare la medusa.</v>
      </c>
    </row>
    <row r="417">
      <c r="A417" s="4">
        <v>415.0</v>
      </c>
      <c r="B417" s="5" t="s">
        <v>1252</v>
      </c>
      <c r="C417" s="4">
        <v>0.0</v>
      </c>
      <c r="D417" s="5" t="s">
        <v>1253</v>
      </c>
      <c r="E417" s="5" t="s">
        <v>1254</v>
      </c>
      <c r="F417" s="6" t="str">
        <f>IFERROR(__xludf.DUMMYFUNCTION("GOOGLETRANSLATE(D417,""en"",""it"")"),"Mi piacciono le meduse e più specificamente gatti.")</f>
        <v>Mi piacciono le meduse e più specificamente gatti.</v>
      </c>
      <c r="G417" s="6" t="str">
        <f>IFERROR(__xludf.DUMMYFUNCTION("GOOGLETRANSLATE(E417,""fr"",""it"")"),"Amo la medusa e più gatti in particolare.")</f>
        <v>Amo la medusa e più gatti in particolare.</v>
      </c>
    </row>
    <row r="418">
      <c r="A418" s="4">
        <v>416.0</v>
      </c>
      <c r="B418" s="5" t="s">
        <v>1255</v>
      </c>
      <c r="C418" s="4">
        <v>0.0</v>
      </c>
      <c r="D418" s="5" t="s">
        <v>1256</v>
      </c>
      <c r="E418" s="5" t="s">
        <v>1257</v>
      </c>
      <c r="F418" s="6" t="str">
        <f>IFERROR(__xludf.DUMMYFUNCTION("GOOGLETRANSLATE(D418,""en"",""it"")"),"Mi piacciono gli animali domestici, e più specificamente meduse.")</f>
        <v>Mi piacciono gli animali domestici, e più specificamente meduse.</v>
      </c>
      <c r="G418" s="6" t="str">
        <f>IFERROR(__xludf.DUMMYFUNCTION("GOOGLETRANSLATE(E418,""fr"",""it"")"),"Amo gli animali domestici, specialmente la medusa.")</f>
        <v>Amo gli animali domestici, specialmente la medusa.</v>
      </c>
    </row>
    <row r="419">
      <c r="A419" s="4">
        <v>417.0</v>
      </c>
      <c r="B419" s="5" t="s">
        <v>1258</v>
      </c>
      <c r="C419" s="4">
        <v>0.0</v>
      </c>
      <c r="D419" s="5" t="s">
        <v>1259</v>
      </c>
      <c r="E419" s="5" t="s">
        <v>1260</v>
      </c>
      <c r="F419" s="6" t="str">
        <f>IFERROR(__xludf.DUMMYFUNCTION("GOOGLETRANSLATE(D419,""en"",""it"")"),"Mi piacciono i gatti e più specificamente balene.")</f>
        <v>Mi piacciono i gatti e più specificamente balene.</v>
      </c>
      <c r="G419" s="6" t="str">
        <f>IFERROR(__xludf.DUMMYFUNCTION("GOOGLETRANSLATE(E419,""fr"",""it"")"),"Mi piacciono i gatti, specialmente le balene.")</f>
        <v>Mi piacciono i gatti, specialmente le balene.</v>
      </c>
    </row>
    <row r="420">
      <c r="A420" s="4">
        <v>418.0</v>
      </c>
      <c r="B420" s="5" t="s">
        <v>1261</v>
      </c>
      <c r="C420" s="4">
        <v>0.0</v>
      </c>
      <c r="D420" s="5" t="s">
        <v>1262</v>
      </c>
      <c r="E420" s="5" t="s">
        <v>1263</v>
      </c>
      <c r="F420" s="6" t="str">
        <f>IFERROR(__xludf.DUMMYFUNCTION("GOOGLETRANSLATE(D420,""en"",""it"")"),"Mi piacciono le balene e più specificamente gatti.")</f>
        <v>Mi piacciono le balene e più specificamente gatti.</v>
      </c>
      <c r="G420" s="6" t="str">
        <f>IFERROR(__xludf.DUMMYFUNCTION("GOOGLETRANSLATE(E420,""fr"",""it"")"),"Mi piacciono le balene e più gatti in particolare.")</f>
        <v>Mi piacciono le balene e più gatti in particolare.</v>
      </c>
    </row>
    <row r="421">
      <c r="A421" s="4">
        <v>419.0</v>
      </c>
      <c r="B421" s="5" t="s">
        <v>1264</v>
      </c>
      <c r="C421" s="4">
        <v>0.0</v>
      </c>
      <c r="D421" s="5" t="s">
        <v>1265</v>
      </c>
      <c r="E421" s="5" t="s">
        <v>1266</v>
      </c>
      <c r="F421" s="6" t="str">
        <f>IFERROR(__xludf.DUMMYFUNCTION("GOOGLETRANSLATE(D421,""en"",""it"")"),"Mi piacciono gli animali domestici e più specificamente balene.")</f>
        <v>Mi piacciono gli animali domestici e più specificamente balene.</v>
      </c>
      <c r="G421" s="6" t="str">
        <f>IFERROR(__xludf.DUMMYFUNCTION("GOOGLETRANSLATE(E421,""fr"",""it"")"),"Mi piacciono gli animali domestici, specialmente le balene.")</f>
        <v>Mi piacciono gli animali domestici, specialmente le balene.</v>
      </c>
    </row>
    <row r="422">
      <c r="A422" s="4">
        <v>420.0</v>
      </c>
      <c r="B422" s="5" t="s">
        <v>1267</v>
      </c>
      <c r="C422" s="4">
        <v>0.0</v>
      </c>
      <c r="D422" s="5" t="s">
        <v>1268</v>
      </c>
      <c r="E422" s="5" t="s">
        <v>1269</v>
      </c>
      <c r="F422" s="6" t="str">
        <f>IFERROR(__xludf.DUMMYFUNCTION("GOOGLETRANSLATE(D422,""en"",""it"")"),"Mi piacciono i cani e più specificamente le giraffe.")</f>
        <v>Mi piacciono i cani e più specificamente le giraffe.</v>
      </c>
      <c r="G422" s="6" t="str">
        <f>IFERROR(__xludf.DUMMYFUNCTION("GOOGLETRANSLATE(E422,""fr"",""it"")"),"Amo i cani, specialmente le giraffe.")</f>
        <v>Amo i cani, specialmente le giraffe.</v>
      </c>
    </row>
    <row r="423">
      <c r="A423" s="4">
        <v>421.0</v>
      </c>
      <c r="B423" s="5" t="s">
        <v>1270</v>
      </c>
      <c r="C423" s="4">
        <v>0.0</v>
      </c>
      <c r="D423" s="5" t="s">
        <v>1271</v>
      </c>
      <c r="E423" s="5" t="s">
        <v>1272</v>
      </c>
      <c r="F423" s="6" t="str">
        <f>IFERROR(__xludf.DUMMYFUNCTION("GOOGLETRANSLATE(D423,""en"",""it"")"),"Mi piacciono le giraffe e più specificamente i cani.")</f>
        <v>Mi piacciono le giraffe e più specificamente i cani.</v>
      </c>
      <c r="G423" s="6" t="str">
        <f>IFERROR(__xludf.DUMMYFUNCTION("GOOGLETRANSLATE(E423,""fr"",""it"")"),"Mi piacciono le giraffe, e in particolare i cani.")</f>
        <v>Mi piacciono le giraffe, e in particolare i cani.</v>
      </c>
    </row>
    <row r="424">
      <c r="A424" s="4">
        <v>422.0</v>
      </c>
      <c r="B424" s="5" t="s">
        <v>1273</v>
      </c>
      <c r="C424" s="4">
        <v>0.0</v>
      </c>
      <c r="D424" s="5" t="s">
        <v>1274</v>
      </c>
      <c r="E424" s="5" t="s">
        <v>1275</v>
      </c>
      <c r="F424" s="6" t="str">
        <f>IFERROR(__xludf.DUMMYFUNCTION("GOOGLETRANSLATE(D424,""en"",""it"")"),"Mi piacciono i cani e più specificamente animali domestici.")</f>
        <v>Mi piacciono i cani e più specificamente animali domestici.</v>
      </c>
      <c r="G424" s="6" t="str">
        <f>IFERROR(__xludf.DUMMYFUNCTION("GOOGLETRANSLATE(E424,""fr"",""it"")"),"Amo i cani, specialmente gli animali domestici.")</f>
        <v>Amo i cani, specialmente gli animali domestici.</v>
      </c>
    </row>
    <row r="425">
      <c r="A425" s="4">
        <v>423.0</v>
      </c>
      <c r="B425" s="5" t="s">
        <v>1276</v>
      </c>
      <c r="C425" s="4">
        <v>1.0</v>
      </c>
      <c r="D425" s="5" t="s">
        <v>1277</v>
      </c>
      <c r="E425" s="5" t="s">
        <v>1278</v>
      </c>
      <c r="F425" s="6" t="str">
        <f>IFERROR(__xludf.DUMMYFUNCTION("GOOGLETRANSLATE(D425,""en"",""it"")"),"Mi piacciono gli animali domestici e più specificamente i cani.")</f>
        <v>Mi piacciono gli animali domestici e più specificamente i cani.</v>
      </c>
      <c r="G425" s="6" t="str">
        <f>IFERROR(__xludf.DUMMYFUNCTION("GOOGLETRANSLATE(E425,""fr"",""it"")"),"Amo gli animali domestici, in particolare i cani.")</f>
        <v>Amo gli animali domestici, in particolare i cani.</v>
      </c>
    </row>
    <row r="426">
      <c r="A426" s="4">
        <v>424.0</v>
      </c>
      <c r="B426" s="5" t="s">
        <v>1279</v>
      </c>
      <c r="C426" s="4">
        <v>0.0</v>
      </c>
      <c r="D426" s="5" t="s">
        <v>1280</v>
      </c>
      <c r="E426" s="5" t="s">
        <v>1281</v>
      </c>
      <c r="F426" s="6" t="str">
        <f>IFERROR(__xludf.DUMMYFUNCTION("GOOGLETRANSLATE(D426,""en"",""it"")"),"Mi piacciono i cani e più specificamente orsi.")</f>
        <v>Mi piacciono i cani e più specificamente orsi.</v>
      </c>
      <c r="G426" s="6" t="str">
        <f>IFERROR(__xludf.DUMMYFUNCTION("GOOGLETRANSLATE(E426,""fr"",""it"")"),"Amo i cani, specialmente gli orsi.")</f>
        <v>Amo i cani, specialmente gli orsi.</v>
      </c>
    </row>
    <row r="427">
      <c r="A427" s="4">
        <v>425.0</v>
      </c>
      <c r="B427" s="5" t="s">
        <v>1282</v>
      </c>
      <c r="C427" s="4">
        <v>0.0</v>
      </c>
      <c r="D427" s="5" t="s">
        <v>1283</v>
      </c>
      <c r="E427" s="5" t="s">
        <v>1284</v>
      </c>
      <c r="F427" s="6" t="str">
        <f>IFERROR(__xludf.DUMMYFUNCTION("GOOGLETRANSLATE(D427,""en"",""it"")"),"Mi piacciono gli orsi e più specificamente i cani.")</f>
        <v>Mi piacciono gli orsi e più specificamente i cani.</v>
      </c>
      <c r="G427" s="6" t="str">
        <f>IFERROR(__xludf.DUMMYFUNCTION("GOOGLETRANSLATE(E427,""fr"",""it"")"),"Mi piacciono gli orsi, in particolare i cani.")</f>
        <v>Mi piacciono gli orsi, in particolare i cani.</v>
      </c>
    </row>
    <row r="428">
      <c r="A428" s="4">
        <v>426.0</v>
      </c>
      <c r="B428" s="5" t="s">
        <v>1285</v>
      </c>
      <c r="C428" s="4">
        <v>0.0</v>
      </c>
      <c r="D428" s="5" t="s">
        <v>1286</v>
      </c>
      <c r="E428" s="5" t="s">
        <v>1287</v>
      </c>
      <c r="F428" s="6" t="str">
        <f>IFERROR(__xludf.DUMMYFUNCTION("GOOGLETRANSLATE(D428,""en"",""it"")"),"Mi piacciono i cani e più specificamente meduse.")</f>
        <v>Mi piacciono i cani e più specificamente meduse.</v>
      </c>
      <c r="G428" s="6" t="str">
        <f>IFERROR(__xludf.DUMMYFUNCTION("GOOGLETRANSLATE(E428,""fr"",""it"")"),"Mi piacciono i cani, specialmente la medusa.")</f>
        <v>Mi piacciono i cani, specialmente la medusa.</v>
      </c>
    </row>
    <row r="429">
      <c r="A429" s="4">
        <v>427.0</v>
      </c>
      <c r="B429" s="5" t="s">
        <v>1288</v>
      </c>
      <c r="C429" s="4">
        <v>0.0</v>
      </c>
      <c r="D429" s="5" t="s">
        <v>1289</v>
      </c>
      <c r="E429" s="5" t="s">
        <v>1290</v>
      </c>
      <c r="F429" s="6" t="str">
        <f>IFERROR(__xludf.DUMMYFUNCTION("GOOGLETRANSLATE(D429,""en"",""it"")"),"Mi piacciono le meduse e più specificamente i cani.")</f>
        <v>Mi piacciono le meduse e più specificamente i cani.</v>
      </c>
      <c r="G429" s="6" t="str">
        <f>IFERROR(__xludf.DUMMYFUNCTION("GOOGLETRANSLATE(E429,""fr"",""it"")"),"Amo la medusa, e più in particolare i cani.")</f>
        <v>Amo la medusa, e più in particolare i cani.</v>
      </c>
    </row>
    <row r="430">
      <c r="A430" s="4">
        <v>428.0</v>
      </c>
      <c r="B430" s="5" t="s">
        <v>1291</v>
      </c>
      <c r="C430" s="4">
        <v>0.0</v>
      </c>
      <c r="D430" s="5" t="s">
        <v>1292</v>
      </c>
      <c r="E430" s="5" t="s">
        <v>1293</v>
      </c>
      <c r="F430" s="6" t="str">
        <f>IFERROR(__xludf.DUMMYFUNCTION("GOOGLETRANSLATE(D430,""en"",""it"")"),"Mi piacciono i cani e più specificamente balene.")</f>
        <v>Mi piacciono i cani e più specificamente balene.</v>
      </c>
      <c r="G430" s="6" t="str">
        <f>IFERROR(__xludf.DUMMYFUNCTION("GOOGLETRANSLATE(E430,""fr"",""it"")"),"Mi piacciono i cani, specialmente le balene.")</f>
        <v>Mi piacciono i cani, specialmente le balene.</v>
      </c>
    </row>
    <row r="431">
      <c r="A431" s="4">
        <v>429.0</v>
      </c>
      <c r="B431" s="5" t="s">
        <v>1294</v>
      </c>
      <c r="C431" s="4">
        <v>0.0</v>
      </c>
      <c r="D431" s="5" t="s">
        <v>1295</v>
      </c>
      <c r="E431" s="5" t="s">
        <v>1296</v>
      </c>
      <c r="F431" s="6" t="str">
        <f>IFERROR(__xludf.DUMMYFUNCTION("GOOGLETRANSLATE(D431,""en"",""it"")"),"Mi piacciono le balene e più specificamente i cani.")</f>
        <v>Mi piacciono le balene e più specificamente i cani.</v>
      </c>
      <c r="G431" s="6" t="str">
        <f>IFERROR(__xludf.DUMMYFUNCTION("GOOGLETRANSLATE(E431,""fr"",""it"")"),"Mi piacciono le balene, in particolare i cani.")</f>
        <v>Mi piacciono le balene, in particolare i cani.</v>
      </c>
    </row>
    <row r="432">
      <c r="A432" s="4">
        <v>430.0</v>
      </c>
      <c r="B432" s="5" t="s">
        <v>1297</v>
      </c>
      <c r="C432" s="4">
        <v>0.0</v>
      </c>
      <c r="D432" s="5" t="s">
        <v>1298</v>
      </c>
      <c r="E432" s="5" t="s">
        <v>1299</v>
      </c>
      <c r="F432" s="6" t="str">
        <f>IFERROR(__xludf.DUMMYFUNCTION("GOOGLETRANSLATE(D432,""en"",""it"")"),"Mi piacciono i Beagles, tranne i cani.")</f>
        <v>Mi piacciono i Beagles, tranne i cani.</v>
      </c>
      <c r="G432" s="6" t="str">
        <f>IFERROR(__xludf.DUMMYFUNCTION("GOOGLETRANSLATE(E432,""fr"",""it"")"),"Amo Beagles, tranne i cani.")</f>
        <v>Amo Beagles, tranne i cani.</v>
      </c>
    </row>
    <row r="433">
      <c r="A433" s="4">
        <v>431.0</v>
      </c>
      <c r="B433" s="5" t="s">
        <v>1300</v>
      </c>
      <c r="C433" s="4">
        <v>0.0</v>
      </c>
      <c r="D433" s="5" t="s">
        <v>1301</v>
      </c>
      <c r="E433" s="5" t="s">
        <v>1302</v>
      </c>
      <c r="F433" s="6" t="str">
        <f>IFERROR(__xludf.DUMMYFUNCTION("GOOGLETRANSLATE(D433,""en"",""it"")"),"Mi piacciono i conigli, e più specificamente le giraffe.")</f>
        <v>Mi piacciono i conigli, e più specificamente le giraffe.</v>
      </c>
      <c r="G433" s="6" t="str">
        <f>IFERROR(__xludf.DUMMYFUNCTION("GOOGLETRANSLATE(E433,""fr"",""it"")"),"Amo i conigli e più in particolare le giraffe.")</f>
        <v>Amo i conigli e più in particolare le giraffe.</v>
      </c>
    </row>
    <row r="434">
      <c r="A434" s="4">
        <v>432.0</v>
      </c>
      <c r="B434" s="5" t="s">
        <v>1303</v>
      </c>
      <c r="C434" s="4">
        <v>0.0</v>
      </c>
      <c r="D434" s="5" t="s">
        <v>1304</v>
      </c>
      <c r="E434" s="5" t="s">
        <v>1305</v>
      </c>
      <c r="F434" s="6" t="str">
        <f>IFERROR(__xludf.DUMMYFUNCTION("GOOGLETRANSLATE(D434,""en"",""it"")"),"Mi piacciono le giraffe, e più specificamente conigli.")</f>
        <v>Mi piacciono le giraffe, e più specificamente conigli.</v>
      </c>
      <c r="G434" s="6" t="str">
        <f>IFERROR(__xludf.DUMMYFUNCTION("GOOGLETRANSLATE(E434,""fr"",""it"")"),"Amo le giraffe, in particolare i conigli.")</f>
        <v>Amo le giraffe, in particolare i conigli.</v>
      </c>
    </row>
    <row r="435">
      <c r="A435" s="4">
        <v>433.0</v>
      </c>
      <c r="B435" s="5" t="s">
        <v>1306</v>
      </c>
      <c r="C435" s="4">
        <v>0.0</v>
      </c>
      <c r="D435" s="5" t="s">
        <v>1307</v>
      </c>
      <c r="E435" s="5" t="s">
        <v>1308</v>
      </c>
      <c r="F435" s="6" t="str">
        <f>IFERROR(__xludf.DUMMYFUNCTION("GOOGLETRANSLATE(D435,""en"",""it"")"),"Mi piacciono i conigli, e più specificamente animali domestici.")</f>
        <v>Mi piacciono i conigli, e più specificamente animali domestici.</v>
      </c>
      <c r="G435" s="6" t="str">
        <f>IFERROR(__xludf.DUMMYFUNCTION("GOOGLETRANSLATE(E435,""fr"",""it"")"),"Amo i conigli, specialmente animali domestici.")</f>
        <v>Amo i conigli, specialmente animali domestici.</v>
      </c>
    </row>
    <row r="436">
      <c r="A436" s="4">
        <v>434.0</v>
      </c>
      <c r="B436" s="5" t="s">
        <v>1309</v>
      </c>
      <c r="C436" s="4">
        <v>1.0</v>
      </c>
      <c r="D436" s="5" t="s">
        <v>1310</v>
      </c>
      <c r="E436" s="5" t="s">
        <v>1311</v>
      </c>
      <c r="F436" s="6" t="str">
        <f>IFERROR(__xludf.DUMMYFUNCTION("GOOGLETRANSLATE(D436,""en"",""it"")"),"Mi piacciono gli animali domestici e più specificamente conigli.")</f>
        <v>Mi piacciono gli animali domestici e più specificamente conigli.</v>
      </c>
      <c r="G436" s="6" t="str">
        <f>IFERROR(__xludf.DUMMYFUNCTION("GOOGLETRANSLATE(E436,""fr"",""it"")"),"Mi piacciono gli animali domestici, in particolare i conigli.")</f>
        <v>Mi piacciono gli animali domestici, in particolare i conigli.</v>
      </c>
    </row>
    <row r="437">
      <c r="A437" s="4">
        <v>435.0</v>
      </c>
      <c r="B437" s="5" t="s">
        <v>1312</v>
      </c>
      <c r="C437" s="4">
        <v>0.0</v>
      </c>
      <c r="D437" s="5" t="s">
        <v>1313</v>
      </c>
      <c r="E437" s="5" t="s">
        <v>1314</v>
      </c>
      <c r="F437" s="6" t="str">
        <f>IFERROR(__xludf.DUMMYFUNCTION("GOOGLETRANSLATE(D437,""en"",""it"")"),"Mi piacciono i conigli e più specificamente orsi.")</f>
        <v>Mi piacciono i conigli e più specificamente orsi.</v>
      </c>
      <c r="G437" s="6" t="str">
        <f>IFERROR(__xludf.DUMMYFUNCTION("GOOGLETRANSLATE(E437,""fr"",""it"")"),"Amo i conigli, specialmente gli orsi.")</f>
        <v>Amo i conigli, specialmente gli orsi.</v>
      </c>
    </row>
    <row r="438">
      <c r="A438" s="4">
        <v>436.0</v>
      </c>
      <c r="B438" s="5" t="s">
        <v>1315</v>
      </c>
      <c r="C438" s="4">
        <v>0.0</v>
      </c>
      <c r="D438" s="5" t="s">
        <v>1316</v>
      </c>
      <c r="E438" s="5" t="s">
        <v>1317</v>
      </c>
      <c r="F438" s="6" t="str">
        <f>IFERROR(__xludf.DUMMYFUNCTION("GOOGLETRANSLATE(D438,""en"",""it"")"),"Mi piacciono gli orsi, e più specificamente conigli.")</f>
        <v>Mi piacciono gli orsi, e più specificamente conigli.</v>
      </c>
      <c r="G438" s="6" t="str">
        <f>IFERROR(__xludf.DUMMYFUNCTION("GOOGLETRANSLATE(E438,""fr"",""it"")"),"Amo gli orsi, in particolare i conigli.")</f>
        <v>Amo gli orsi, in particolare i conigli.</v>
      </c>
    </row>
    <row r="439">
      <c r="A439" s="4">
        <v>437.0</v>
      </c>
      <c r="B439" s="5" t="s">
        <v>1318</v>
      </c>
      <c r="C439" s="4">
        <v>0.0</v>
      </c>
      <c r="D439" s="5" t="s">
        <v>1319</v>
      </c>
      <c r="E439" s="5" t="s">
        <v>1320</v>
      </c>
      <c r="F439" s="6" t="str">
        <f>IFERROR(__xludf.DUMMYFUNCTION("GOOGLETRANSLATE(D439,""en"",""it"")"),"Mi piacciono i conigli e più specificamente meduse.")</f>
        <v>Mi piacciono i conigli e più specificamente meduse.</v>
      </c>
      <c r="G439" s="6" t="str">
        <f>IFERROR(__xludf.DUMMYFUNCTION("GOOGLETRANSLATE(E439,""fr"",""it"")"),"Amo i conigli, specialmente la medusa.")</f>
        <v>Amo i conigli, specialmente la medusa.</v>
      </c>
    </row>
    <row r="440">
      <c r="A440" s="4">
        <v>438.0</v>
      </c>
      <c r="B440" s="5" t="s">
        <v>1321</v>
      </c>
      <c r="C440" s="4">
        <v>0.0</v>
      </c>
      <c r="D440" s="5" t="s">
        <v>1322</v>
      </c>
      <c r="E440" s="5" t="s">
        <v>1323</v>
      </c>
      <c r="F440" s="6" t="str">
        <f>IFERROR(__xludf.DUMMYFUNCTION("GOOGLETRANSLATE(D440,""en"",""it"")"),"Mi piacciono le meduse e più specificamente conigli.")</f>
        <v>Mi piacciono le meduse e più specificamente conigli.</v>
      </c>
      <c r="G440" s="6" t="str">
        <f>IFERROR(__xludf.DUMMYFUNCTION("GOOGLETRANSLATE(E440,""fr"",""it"")"),"Adoro le meduse e più in particolare i conigli.")</f>
        <v>Adoro le meduse e più in particolare i conigli.</v>
      </c>
    </row>
    <row r="441">
      <c r="A441" s="4">
        <v>439.0</v>
      </c>
      <c r="B441" s="5" t="s">
        <v>1324</v>
      </c>
      <c r="C441" s="4">
        <v>0.0</v>
      </c>
      <c r="D441" s="5" t="s">
        <v>1325</v>
      </c>
      <c r="E441" s="5" t="s">
        <v>1326</v>
      </c>
      <c r="F441" s="6" t="str">
        <f>IFERROR(__xludf.DUMMYFUNCTION("GOOGLETRANSLATE(D441,""en"",""it"")"),"Mi piacciono i conigli e le balene più specificamente.")</f>
        <v>Mi piacciono i conigli e le balene più specificamente.</v>
      </c>
      <c r="G441" s="6" t="str">
        <f>IFERROR(__xludf.DUMMYFUNCTION("GOOGLETRANSLATE(E441,""fr"",""it"")"),"Amo i conigli, specialmente le balene.")</f>
        <v>Amo i conigli, specialmente le balene.</v>
      </c>
    </row>
    <row r="442">
      <c r="A442" s="4">
        <v>440.0</v>
      </c>
      <c r="B442" s="5" t="s">
        <v>1327</v>
      </c>
      <c r="C442" s="4">
        <v>0.0</v>
      </c>
      <c r="D442" s="5" t="s">
        <v>1328</v>
      </c>
      <c r="E442" s="5" t="s">
        <v>1329</v>
      </c>
      <c r="F442" s="6" t="str">
        <f>IFERROR(__xludf.DUMMYFUNCTION("GOOGLETRANSLATE(D442,""en"",""it"")"),"Mi piacciono le balene e più specificamente conigli.")</f>
        <v>Mi piacciono le balene e più specificamente conigli.</v>
      </c>
      <c r="G442" s="6" t="str">
        <f>IFERROR(__xludf.DUMMYFUNCTION("GOOGLETRANSLATE(E442,""fr"",""it"")"),"Mi piacciono le balene e più in particolare i conigli.")</f>
        <v>Mi piacciono le balene e più in particolare i conigli.</v>
      </c>
    </row>
    <row r="443">
      <c r="A443" s="4">
        <v>441.0</v>
      </c>
      <c r="B443" s="5" t="s">
        <v>1330</v>
      </c>
      <c r="C443" s="4">
        <v>0.0</v>
      </c>
      <c r="D443" s="5" t="s">
        <v>1331</v>
      </c>
      <c r="E443" s="5" t="s">
        <v>1332</v>
      </c>
      <c r="F443" s="6" t="str">
        <f>IFERROR(__xludf.DUMMYFUNCTION("GOOGLETRANSLATE(D443,""en"",""it"")"),"Mi piacciono i criceti e più specificamente le giraffe.")</f>
        <v>Mi piacciono i criceti e più specificamente le giraffe.</v>
      </c>
      <c r="G443" s="6" t="str">
        <f>IFERROR(__xludf.DUMMYFUNCTION("GOOGLETRANSLATE(E443,""fr"",""it"")"),"Mi piacciono i criceti, specialmente le giraffe.")</f>
        <v>Mi piacciono i criceti, specialmente le giraffe.</v>
      </c>
    </row>
    <row r="444">
      <c r="A444" s="4">
        <v>442.0</v>
      </c>
      <c r="B444" s="5" t="s">
        <v>1333</v>
      </c>
      <c r="C444" s="4">
        <v>0.0</v>
      </c>
      <c r="D444" s="5" t="s">
        <v>1334</v>
      </c>
      <c r="E444" s="5" t="s">
        <v>1335</v>
      </c>
      <c r="F444" s="6" t="str">
        <f>IFERROR(__xludf.DUMMYFUNCTION("GOOGLETRANSLATE(D444,""en"",""it"")"),"Mi piacciono le giraffe, e più specificamente criceti.")</f>
        <v>Mi piacciono le giraffe, e più specificamente criceti.</v>
      </c>
      <c r="G444" s="6" t="str">
        <f>IFERROR(__xludf.DUMMYFUNCTION("GOOGLETRANSLATE(E444,""fr"",""it"")"),"Amo le giraffe, in particolare i criceti.")</f>
        <v>Amo le giraffe, in particolare i criceti.</v>
      </c>
    </row>
    <row r="445">
      <c r="A445" s="4">
        <v>443.0</v>
      </c>
      <c r="B445" s="5" t="s">
        <v>1336</v>
      </c>
      <c r="C445" s="4">
        <v>0.0</v>
      </c>
      <c r="D445" s="5" t="s">
        <v>1337</v>
      </c>
      <c r="E445" s="5" t="s">
        <v>1338</v>
      </c>
      <c r="F445" s="6" t="str">
        <f>IFERROR(__xludf.DUMMYFUNCTION("GOOGLETRANSLATE(D445,""en"",""it"")"),"Mi piacciono i criceti e più specificamente animali domestici.")</f>
        <v>Mi piacciono i criceti e più specificamente animali domestici.</v>
      </c>
      <c r="G445" s="6" t="str">
        <f>IFERROR(__xludf.DUMMYFUNCTION("GOOGLETRANSLATE(E445,""fr"",""it"")"),"Amo i criceti, specialmente animali domestici.")</f>
        <v>Amo i criceti, specialmente animali domestici.</v>
      </c>
    </row>
    <row r="446">
      <c r="A446" s="4">
        <v>444.0</v>
      </c>
      <c r="B446" s="5" t="s">
        <v>1339</v>
      </c>
      <c r="C446" s="4">
        <v>1.0</v>
      </c>
      <c r="D446" s="5" t="s">
        <v>1340</v>
      </c>
      <c r="E446" s="5" t="s">
        <v>1341</v>
      </c>
      <c r="F446" s="6" t="str">
        <f>IFERROR(__xludf.DUMMYFUNCTION("GOOGLETRANSLATE(D446,""en"",""it"")"),"Mi piacciono gli animali domestici, e più specificamente criceti.")</f>
        <v>Mi piacciono gli animali domestici, e più specificamente criceti.</v>
      </c>
      <c r="G446" s="6" t="str">
        <f>IFERROR(__xludf.DUMMYFUNCTION("GOOGLETRANSLATE(E446,""fr"",""it"")"),"Mi piacciono gli animali domestici, in particolare i criceti.")</f>
        <v>Mi piacciono gli animali domestici, in particolare i criceti.</v>
      </c>
    </row>
    <row r="447">
      <c r="A447" s="4">
        <v>445.0</v>
      </c>
      <c r="B447" s="5" t="s">
        <v>1342</v>
      </c>
      <c r="C447" s="4">
        <v>0.0</v>
      </c>
      <c r="D447" s="5" t="s">
        <v>1343</v>
      </c>
      <c r="E447" s="5" t="s">
        <v>1344</v>
      </c>
      <c r="F447" s="6" t="str">
        <f>IFERROR(__xludf.DUMMYFUNCTION("GOOGLETRANSLATE(D447,""en"",""it"")"),"Mi piacciono i criceti e più specificamente orsi.")</f>
        <v>Mi piacciono i criceti e più specificamente orsi.</v>
      </c>
      <c r="G447" s="6" t="str">
        <f>IFERROR(__xludf.DUMMYFUNCTION("GOOGLETRANSLATE(E447,""fr"",""it"")"),"Amo i criceti, in particolare gli orsi.")</f>
        <v>Amo i criceti, in particolare gli orsi.</v>
      </c>
    </row>
    <row r="448">
      <c r="A448" s="4">
        <v>446.0</v>
      </c>
      <c r="B448" s="5" t="s">
        <v>1345</v>
      </c>
      <c r="C448" s="4">
        <v>0.0</v>
      </c>
      <c r="D448" s="5" t="s">
        <v>1346</v>
      </c>
      <c r="E448" s="5" t="s">
        <v>1347</v>
      </c>
      <c r="F448" s="6" t="str">
        <f>IFERROR(__xludf.DUMMYFUNCTION("GOOGLETRANSLATE(D448,""en"",""it"")"),"Mi piacciono gli orsi e più specificamente criceti.")</f>
        <v>Mi piacciono gli orsi e più specificamente criceti.</v>
      </c>
      <c r="G448" s="6" t="str">
        <f>IFERROR(__xludf.DUMMYFUNCTION("GOOGLETRANSLATE(E448,""fr"",""it"")"),"Amo gli orsi, in particolare i criceti.")</f>
        <v>Amo gli orsi, in particolare i criceti.</v>
      </c>
    </row>
    <row r="449">
      <c r="A449" s="4">
        <v>447.0</v>
      </c>
      <c r="B449" s="5" t="s">
        <v>1348</v>
      </c>
      <c r="C449" s="4">
        <v>0.0</v>
      </c>
      <c r="D449" s="5" t="s">
        <v>1349</v>
      </c>
      <c r="E449" s="5" t="s">
        <v>1350</v>
      </c>
      <c r="F449" s="6" t="str">
        <f>IFERROR(__xludf.DUMMYFUNCTION("GOOGLETRANSLATE(D449,""en"",""it"")"),"Mi piacciono i criceti e più specificamente meduse.")</f>
        <v>Mi piacciono i criceti e più specificamente meduse.</v>
      </c>
      <c r="G449" s="6" t="str">
        <f>IFERROR(__xludf.DUMMYFUNCTION("GOOGLETRANSLATE(E449,""fr"",""it"")"),"Mi piacciono i criceti, specialmente la medusa.")</f>
        <v>Mi piacciono i criceti, specialmente la medusa.</v>
      </c>
    </row>
    <row r="450">
      <c r="A450" s="4">
        <v>448.0</v>
      </c>
      <c r="B450" s="5" t="s">
        <v>1351</v>
      </c>
      <c r="C450" s="4">
        <v>0.0</v>
      </c>
      <c r="D450" s="5" t="s">
        <v>1352</v>
      </c>
      <c r="E450" s="5" t="s">
        <v>1353</v>
      </c>
      <c r="F450" s="6" t="str">
        <f>IFERROR(__xludf.DUMMYFUNCTION("GOOGLETRANSLATE(D450,""en"",""it"")"),"Mi piacciono le meduse e più specificamente criceti.")</f>
        <v>Mi piacciono le meduse e più specificamente criceti.</v>
      </c>
      <c r="G450" s="6" t="str">
        <f>IFERROR(__xludf.DUMMYFUNCTION("GOOGLETRANSLATE(E450,""fr"",""it"")"),"Amo le meduse, in particolare i criceti.")</f>
        <v>Amo le meduse, in particolare i criceti.</v>
      </c>
    </row>
    <row r="451">
      <c r="A451" s="4">
        <v>449.0</v>
      </c>
      <c r="B451" s="5" t="s">
        <v>1354</v>
      </c>
      <c r="C451" s="4">
        <v>0.0</v>
      </c>
      <c r="D451" s="5" t="s">
        <v>1355</v>
      </c>
      <c r="E451" s="5" t="s">
        <v>1356</v>
      </c>
      <c r="F451" s="6" t="str">
        <f>IFERROR(__xludf.DUMMYFUNCTION("GOOGLETRANSLATE(D451,""en"",""it"")"),"Mi piacciono i criceti e le balene più specificamente.")</f>
        <v>Mi piacciono i criceti e le balene più specificamente.</v>
      </c>
      <c r="G451" s="6" t="str">
        <f>IFERROR(__xludf.DUMMYFUNCTION("GOOGLETRANSLATE(E451,""fr"",""it"")"),"Amo i criceti, specialmente le balene.")</f>
        <v>Amo i criceti, specialmente le balene.</v>
      </c>
    </row>
    <row r="452">
      <c r="A452" s="4">
        <v>450.0</v>
      </c>
      <c r="B452" s="5" t="s">
        <v>1357</v>
      </c>
      <c r="C452" s="4">
        <v>0.0</v>
      </c>
      <c r="D452" s="5" t="s">
        <v>1358</v>
      </c>
      <c r="E452" s="5" t="s">
        <v>1359</v>
      </c>
      <c r="F452" s="6" t="str">
        <f>IFERROR(__xludf.DUMMYFUNCTION("GOOGLETRANSLATE(D452,""en"",""it"")"),"Mi piacciono le balene e più specificamente criceti.")</f>
        <v>Mi piacciono le balene e più specificamente criceti.</v>
      </c>
      <c r="G452" s="6" t="str">
        <f>IFERROR(__xludf.DUMMYFUNCTION("GOOGLETRANSLATE(E452,""fr"",""it"")"),"Amo le balene e più criceti particolarmente.")</f>
        <v>Amo le balene e più criceti particolarmente.</v>
      </c>
    </row>
    <row r="453">
      <c r="A453" s="4">
        <v>451.0</v>
      </c>
      <c r="B453" s="5" t="s">
        <v>1360</v>
      </c>
      <c r="C453" s="4">
        <v>1.0</v>
      </c>
      <c r="D453" s="5" t="s">
        <v>1361</v>
      </c>
      <c r="E453" s="5" t="s">
        <v>1362</v>
      </c>
      <c r="F453" s="6" t="str">
        <f>IFERROR(__xludf.DUMMYFUNCTION("GOOGLETRANSLATE(D453,""en"",""it"")"),"Mi piacciono i cani, tranne Beagles.")</f>
        <v>Mi piacciono i cani, tranne Beagles.</v>
      </c>
      <c r="G453" s="6" t="str">
        <f>IFERROR(__xludf.DUMMYFUNCTION("GOOGLETRANSLATE(E453,""fr"",""it"")"),"Mi piacciono i cani, tranne i Beagles.")</f>
        <v>Mi piacciono i cani, tranne i Beagles.</v>
      </c>
    </row>
    <row r="454">
      <c r="A454" s="4">
        <v>452.0</v>
      </c>
      <c r="B454" s="5" t="s">
        <v>1363</v>
      </c>
      <c r="C454" s="4">
        <v>0.0</v>
      </c>
      <c r="D454" s="5" t="s">
        <v>1364</v>
      </c>
      <c r="E454" s="5" t="s">
        <v>1365</v>
      </c>
      <c r="F454" s="6" t="str">
        <f>IFERROR(__xludf.DUMMYFUNCTION("GOOGLETRANSLATE(D454,""en"",""it"")"),"Mi piacciono i Beagles, tranne i criceti.")</f>
        <v>Mi piacciono i Beagles, tranne i criceti.</v>
      </c>
      <c r="G454" s="6" t="str">
        <f>IFERROR(__xludf.DUMMYFUNCTION("GOOGLETRANSLATE(E454,""fr"",""it"")"),"Amo Beagles, tranne i criceti.")</f>
        <v>Amo Beagles, tranne i criceti.</v>
      </c>
    </row>
    <row r="455">
      <c r="A455" s="4">
        <v>453.0</v>
      </c>
      <c r="B455" s="5" t="s">
        <v>1366</v>
      </c>
      <c r="C455" s="4">
        <v>0.0</v>
      </c>
      <c r="D455" s="5" t="s">
        <v>1367</v>
      </c>
      <c r="E455" s="5" t="s">
        <v>1368</v>
      </c>
      <c r="F455" s="6" t="str">
        <f>IFERROR(__xludf.DUMMYFUNCTION("GOOGLETRANSLATE(D455,""en"",""it"")"),"Mi piacciono i criceti, tranne Beagles.")</f>
        <v>Mi piacciono i criceti, tranne Beagles.</v>
      </c>
      <c r="G455" s="6" t="str">
        <f>IFERROR(__xludf.DUMMYFUNCTION("GOOGLETRANSLATE(E455,""fr"",""it"")"),"Amo i criceti, tranne i Beagles.")</f>
        <v>Amo i criceti, tranne i Beagles.</v>
      </c>
    </row>
    <row r="456">
      <c r="A456" s="4">
        <v>454.0</v>
      </c>
      <c r="B456" s="5" t="s">
        <v>1369</v>
      </c>
      <c r="C456" s="4">
        <v>0.0</v>
      </c>
      <c r="D456" s="5" t="s">
        <v>1370</v>
      </c>
      <c r="E456" s="5" t="s">
        <v>1371</v>
      </c>
      <c r="F456" s="6" t="str">
        <f>IFERROR(__xludf.DUMMYFUNCTION("GOOGLETRANSLATE(D456,""en"",""it"")"),"Mi piacciono le querce, ad eccezione dell'erba.")</f>
        <v>Mi piacciono le querce, ad eccezione dell'erba.</v>
      </c>
      <c r="G456" s="6" t="str">
        <f>IFERROR(__xludf.DUMMYFUNCTION("GOOGLETRANSLATE(E456,""fr"",""it"")"),"Amo le querce, tranne il prato.")</f>
        <v>Amo le querce, tranne il prato.</v>
      </c>
    </row>
    <row r="457">
      <c r="A457" s="4">
        <v>455.0</v>
      </c>
      <c r="B457" s="5" t="s">
        <v>1372</v>
      </c>
      <c r="C457" s="4">
        <v>0.0</v>
      </c>
      <c r="D457" s="5" t="s">
        <v>1373</v>
      </c>
      <c r="E457" s="5" t="s">
        <v>1374</v>
      </c>
      <c r="F457" s="6" t="str">
        <f>IFERROR(__xludf.DUMMYFUNCTION("GOOGLETRANSLATE(D457,""en"",""it"")"),"Si fida della sua vista, e più specificamente voci.")</f>
        <v>Si fida della sua vista, e più specificamente voci.</v>
      </c>
      <c r="G457" s="6" t="str">
        <f>IFERROR(__xludf.DUMMYFUNCTION("GOOGLETRANSLATE(E457,""fr"",""it"")"),"Si fida della sua visione, e più particolarmente particolarmente voci.")</f>
        <v>Si fida della sua visione, e più particolarmente particolarmente voci.</v>
      </c>
    </row>
    <row r="458">
      <c r="A458" s="4">
        <v>456.0</v>
      </c>
      <c r="B458" s="5" t="s">
        <v>1375</v>
      </c>
      <c r="C458" s="4">
        <v>0.0</v>
      </c>
      <c r="D458" s="5" t="s">
        <v>1376</v>
      </c>
      <c r="E458" s="5" t="s">
        <v>1377</v>
      </c>
      <c r="F458" s="6" t="str">
        <f>IFERROR(__xludf.DUMMYFUNCTION("GOOGLETRANSLATE(D458,""en"",""it"")"),"Si fida di voci, e più specificamente la sua vista.")</f>
        <v>Si fida di voci, e più specificamente la sua vista.</v>
      </c>
      <c r="G458" s="6" t="str">
        <f>IFERROR(__xludf.DUMMYFUNCTION("GOOGLETRANSLATE(E458,""fr"",""it"")"),"Si fida delle voci e più in particolare la sua visione.")</f>
        <v>Si fida delle voci e più in particolare la sua visione.</v>
      </c>
    </row>
    <row r="459">
      <c r="A459" s="4">
        <v>457.0</v>
      </c>
      <c r="B459" s="5" t="s">
        <v>1378</v>
      </c>
      <c r="C459" s="4">
        <v>0.0</v>
      </c>
      <c r="D459" s="5" t="s">
        <v>1379</v>
      </c>
      <c r="E459" s="5" t="s">
        <v>1380</v>
      </c>
      <c r="F459" s="6" t="str">
        <f>IFERROR(__xludf.DUMMYFUNCTION("GOOGLETRANSLATE(D459,""en"",""it"")"),"Si fida della sua vista, e più specificamente i suoi sensi.")</f>
        <v>Si fida della sua vista, e più specificamente i suoi sensi.</v>
      </c>
      <c r="G459" s="6" t="str">
        <f>IFERROR(__xludf.DUMMYFUNCTION("GOOGLETRANSLATE(E459,""fr"",""it"")"),"Si fida della sua visione, e più in particolare i suoi sensi.")</f>
        <v>Si fida della sua visione, e più in particolare i suoi sensi.</v>
      </c>
    </row>
    <row r="460">
      <c r="A460" s="4">
        <v>458.0</v>
      </c>
      <c r="B460" s="5" t="s">
        <v>1381</v>
      </c>
      <c r="C460" s="4">
        <v>1.0</v>
      </c>
      <c r="D460" s="5" t="s">
        <v>1382</v>
      </c>
      <c r="E460" s="5" t="s">
        <v>1383</v>
      </c>
      <c r="F460" s="6" t="str">
        <f>IFERROR(__xludf.DUMMYFUNCTION("GOOGLETRANSLATE(D460,""en"",""it"")"),"Si fida dei suoi sensi, e più specificamente la sua vista.")</f>
        <v>Si fida dei suoi sensi, e più specificamente la sua vista.</v>
      </c>
      <c r="G460" s="6" t="str">
        <f>IFERROR(__xludf.DUMMYFUNCTION("GOOGLETRANSLATE(E460,""fr"",""it"")"),"Si fida dei suoi sensi, e più in particolare la sua visione.")</f>
        <v>Si fida dei suoi sensi, e più in particolare la sua visione.</v>
      </c>
    </row>
    <row r="461">
      <c r="A461" s="4">
        <v>459.0</v>
      </c>
      <c r="B461" s="5" t="s">
        <v>1384</v>
      </c>
      <c r="C461" s="4">
        <v>0.0</v>
      </c>
      <c r="D461" s="5" t="s">
        <v>1385</v>
      </c>
      <c r="E461" s="5" t="s">
        <v>1386</v>
      </c>
      <c r="F461" s="6" t="str">
        <f>IFERROR(__xludf.DUMMYFUNCTION("GOOGLETRANSLATE(D461,""en"",""it"")"),"Si fida dei suoi sensi, e più specificamente voci.")</f>
        <v>Si fida dei suoi sensi, e più specificamente voci.</v>
      </c>
      <c r="G461" s="6" t="str">
        <f>IFERROR(__xludf.DUMMYFUNCTION("GOOGLETRANSLATE(E461,""fr"",""it"")"),"Si fida dei suoi sensi, e più silenziosità in particolare.")</f>
        <v>Si fida dei suoi sensi, e più silenziosità in particolare.</v>
      </c>
    </row>
    <row r="462">
      <c r="A462" s="4">
        <v>460.0</v>
      </c>
      <c r="B462" s="5" t="s">
        <v>1387</v>
      </c>
      <c r="C462" s="4">
        <v>0.0</v>
      </c>
      <c r="D462" s="5" t="s">
        <v>1388</v>
      </c>
      <c r="E462" s="5" t="s">
        <v>1389</v>
      </c>
      <c r="F462" s="6" t="str">
        <f>IFERROR(__xludf.DUMMYFUNCTION("GOOGLETRANSLATE(D462,""en"",""it"")"),"Si fida della sua vista, e più specificamente riferisce.")</f>
        <v>Si fida della sua vista, e più specificamente riferisce.</v>
      </c>
      <c r="G462" s="6" t="str">
        <f>IFERROR(__xludf.DUMMYFUNCTION("GOOGLETRANSLATE(E462,""fr"",""it"")"),"Si fida della sua visione, e più in particolare i rapporti.")</f>
        <v>Si fida della sua visione, e più in particolare i rapporti.</v>
      </c>
    </row>
    <row r="463">
      <c r="A463" s="4">
        <v>461.0</v>
      </c>
      <c r="B463" s="5" t="s">
        <v>1390</v>
      </c>
      <c r="C463" s="4">
        <v>0.0</v>
      </c>
      <c r="D463" s="5" t="s">
        <v>1391</v>
      </c>
      <c r="E463" s="5" t="s">
        <v>1392</v>
      </c>
      <c r="F463" s="6" t="str">
        <f>IFERROR(__xludf.DUMMYFUNCTION("GOOGLETRANSLATE(D463,""en"",""it"")"),"Si fida dei rapporti, e più specificamente la sua vista.")</f>
        <v>Si fida dei rapporti, e più specificamente la sua vista.</v>
      </c>
      <c r="G463" s="6" t="str">
        <f>IFERROR(__xludf.DUMMYFUNCTION("GOOGLETRANSLATE(E463,""fr"",""it"")"),"Si fida dei rapporti e più in particolare la sua visione.")</f>
        <v>Si fida dei rapporti e più in particolare la sua visione.</v>
      </c>
    </row>
    <row r="464">
      <c r="A464" s="4">
        <v>462.0</v>
      </c>
      <c r="B464" s="5" t="s">
        <v>1393</v>
      </c>
      <c r="C464" s="4">
        <v>0.0</v>
      </c>
      <c r="D464" s="5" t="s">
        <v>1394</v>
      </c>
      <c r="E464" s="5" t="s">
        <v>1395</v>
      </c>
      <c r="F464" s="6" t="str">
        <f>IFERROR(__xludf.DUMMYFUNCTION("GOOGLETRANSLATE(D464,""en"",""it"")"),"Mi piace l'erba, tranne le querce.")</f>
        <v>Mi piace l'erba, tranne le querce.</v>
      </c>
      <c r="G464" s="6" t="str">
        <f>IFERROR(__xludf.DUMMYFUNCTION("GOOGLETRANSLATE(E464,""fr"",""it"")"),"Adoro il prato tranne querce.")</f>
        <v>Adoro il prato tranne querce.</v>
      </c>
    </row>
    <row r="465">
      <c r="A465" s="4">
        <v>463.0</v>
      </c>
      <c r="B465" s="5" t="s">
        <v>1396</v>
      </c>
      <c r="C465" s="4">
        <v>0.0</v>
      </c>
      <c r="D465" s="5" t="s">
        <v>1397</v>
      </c>
      <c r="E465" s="5" t="s">
        <v>1398</v>
      </c>
      <c r="F465" s="6" t="str">
        <f>IFERROR(__xludf.DUMMYFUNCTION("GOOGLETRANSLATE(D465,""en"",""it"")"),"Si fida dei suoi sensi, e più specificamente rapporti.")</f>
        <v>Si fida dei suoi sensi, e più specificamente rapporti.</v>
      </c>
      <c r="G465" s="6" t="str">
        <f>IFERROR(__xludf.DUMMYFUNCTION("GOOGLETRANSLATE(E465,""fr"",""it"")"),"Si fida dei suoi sensi, e più in particolare i rapporti.")</f>
        <v>Si fida dei suoi sensi, e più in particolare i rapporti.</v>
      </c>
    </row>
    <row r="466">
      <c r="A466" s="4">
        <v>464.0</v>
      </c>
      <c r="B466" s="5" t="s">
        <v>1399</v>
      </c>
      <c r="C466" s="4">
        <v>0.0</v>
      </c>
      <c r="D466" s="5" t="s">
        <v>1400</v>
      </c>
      <c r="E466" s="5" t="s">
        <v>1401</v>
      </c>
      <c r="F466" s="6" t="str">
        <f>IFERROR(__xludf.DUMMYFUNCTION("GOOGLETRANSLATE(D466,""en"",""it"")"),"Si fida della sua vista, e più specificamente ricostruzioni.")</f>
        <v>Si fida della sua vista, e più specificamente ricostruzioni.</v>
      </c>
      <c r="G466" s="6" t="str">
        <f>IFERROR(__xludf.DUMMYFUNCTION("GOOGLETRANSLATE(E466,""fr"",""it"")"),"Si fida della sua visione, e più in particolare le ricostruzioni.")</f>
        <v>Si fida della sua visione, e più in particolare le ricostruzioni.</v>
      </c>
    </row>
    <row r="467">
      <c r="A467" s="4">
        <v>465.0</v>
      </c>
      <c r="B467" s="5" t="s">
        <v>1402</v>
      </c>
      <c r="C467" s="4">
        <v>0.0</v>
      </c>
      <c r="D467" s="5" t="s">
        <v>1403</v>
      </c>
      <c r="E467" s="5" t="s">
        <v>1404</v>
      </c>
      <c r="F467" s="6" t="str">
        <f>IFERROR(__xludf.DUMMYFUNCTION("GOOGLETRANSLATE(D467,""en"",""it"")"),"Si fida di ricostruzioni e più specificamente la sua vista.")</f>
        <v>Si fida di ricostruzioni e più specificamente la sua vista.</v>
      </c>
      <c r="G467" s="6" t="str">
        <f>IFERROR(__xludf.DUMMYFUNCTION("GOOGLETRANSLATE(E467,""fr"",""it"")"),"Si fida di ricostruzioni e più in particolare la sua visione.")</f>
        <v>Si fida di ricostruzioni e più in particolare la sua visione.</v>
      </c>
    </row>
    <row r="468">
      <c r="A468" s="4">
        <v>466.0</v>
      </c>
      <c r="B468" s="5" t="s">
        <v>1405</v>
      </c>
      <c r="C468" s="4">
        <v>0.0</v>
      </c>
      <c r="D468" s="5" t="s">
        <v>1406</v>
      </c>
      <c r="E468" s="5" t="s">
        <v>1407</v>
      </c>
      <c r="F468" s="6" t="str">
        <f>IFERROR(__xludf.DUMMYFUNCTION("GOOGLETRANSLATE(D468,""en"",""it"")"),"Si fida dei suoi sensi, e più specificamente ricostruzioni.")</f>
        <v>Si fida dei suoi sensi, e più specificamente ricostruzioni.</v>
      </c>
      <c r="G468" s="6" t="str">
        <f>IFERROR(__xludf.DUMMYFUNCTION("GOOGLETRANSLATE(E468,""fr"",""it"")"),"Si fida dei suoi sensi, e più in particolare le ricostruzioni.")</f>
        <v>Si fida dei suoi sensi, e più in particolare le ricostruzioni.</v>
      </c>
    </row>
    <row r="469">
      <c r="A469" s="4">
        <v>467.0</v>
      </c>
      <c r="B469" s="5" t="s">
        <v>1408</v>
      </c>
      <c r="C469" s="4">
        <v>0.0</v>
      </c>
      <c r="D469" s="5" t="s">
        <v>1409</v>
      </c>
      <c r="E469" s="5" t="s">
        <v>1410</v>
      </c>
      <c r="F469" s="6" t="str">
        <f>IFERROR(__xludf.DUMMYFUNCTION("GOOGLETRANSLATE(D469,""en"",""it"")"),"Si fida della sua vista, e più in particolare ipotesi.")</f>
        <v>Si fida della sua vista, e più in particolare ipotesi.</v>
      </c>
      <c r="G469" s="6" t="str">
        <f>IFERROR(__xludf.DUMMYFUNCTION("GOOGLETRANSLATE(E469,""fr"",""it"")"),"Si fida della sua visione e più in particolare le ipotesi.")</f>
        <v>Si fida della sua visione e più in particolare le ipotesi.</v>
      </c>
    </row>
    <row r="470">
      <c r="A470" s="4">
        <v>468.0</v>
      </c>
      <c r="B470" s="5" t="s">
        <v>1411</v>
      </c>
      <c r="C470" s="4">
        <v>0.0</v>
      </c>
      <c r="D470" s="5" t="s">
        <v>1412</v>
      </c>
      <c r="E470" s="5" t="s">
        <v>1413</v>
      </c>
      <c r="F470" s="6" t="str">
        <f>IFERROR(__xludf.DUMMYFUNCTION("GOOGLETRANSLATE(D470,""en"",""it"")"),"Si fida indovina, e più specificamente la sua vista.")</f>
        <v>Si fida indovina, e più specificamente la sua vista.</v>
      </c>
      <c r="G470" s="6" t="str">
        <f>IFERROR(__xludf.DUMMYFUNCTION("GOOGLETRANSLATE(E470,""fr"",""it"")"),"Si fida di supposizione e più in particolare la sua visione.")</f>
        <v>Si fida di supposizione e più in particolare la sua visione.</v>
      </c>
    </row>
    <row r="471">
      <c r="A471" s="4">
        <v>469.0</v>
      </c>
      <c r="B471" s="5" t="s">
        <v>1414</v>
      </c>
      <c r="C471" s="4">
        <v>0.0</v>
      </c>
      <c r="D471" s="5" t="s">
        <v>1415</v>
      </c>
      <c r="E471" s="5" t="s">
        <v>1416</v>
      </c>
      <c r="F471" s="6" t="str">
        <f>IFERROR(__xludf.DUMMYFUNCTION("GOOGLETRANSLATE(D471,""en"",""it"")"),"Mi piacciono le querce, tranne gli alberi.")</f>
        <v>Mi piacciono le querce, tranne gli alberi.</v>
      </c>
      <c r="G471" s="6" t="str">
        <f>IFERROR(__xludf.DUMMYFUNCTION("GOOGLETRANSLATE(E471,""fr"",""it"")"),"Adoro le querce tranne gli alberi.")</f>
        <v>Adoro le querce tranne gli alberi.</v>
      </c>
    </row>
    <row r="472">
      <c r="A472" s="4">
        <v>470.0</v>
      </c>
      <c r="B472" s="5" t="s">
        <v>1417</v>
      </c>
      <c r="C472" s="4">
        <v>0.0</v>
      </c>
      <c r="D472" s="5" t="s">
        <v>1418</v>
      </c>
      <c r="E472" s="5" t="s">
        <v>1419</v>
      </c>
      <c r="F472" s="6" t="str">
        <f>IFERROR(__xludf.DUMMYFUNCTION("GOOGLETRANSLATE(D472,""en"",""it"")"),"Si fida dei suoi sensi, e più in particolare ipotesi.")</f>
        <v>Si fida dei suoi sensi, e più in particolare ipotesi.</v>
      </c>
      <c r="G472" s="6" t="str">
        <f>IFERROR(__xludf.DUMMYFUNCTION("GOOGLETRANSLATE(E472,""fr"",""it"")"),"Si fida dei suoi sensi, e più in particolare le ipotesi.")</f>
        <v>Si fida dei suoi sensi, e più in particolare le ipotesi.</v>
      </c>
    </row>
    <row r="473">
      <c r="A473" s="4">
        <v>471.0</v>
      </c>
      <c r="B473" s="5" t="s">
        <v>1420</v>
      </c>
      <c r="C473" s="4">
        <v>1.0</v>
      </c>
      <c r="D473" s="5" t="s">
        <v>1421</v>
      </c>
      <c r="E473" s="5" t="s">
        <v>1422</v>
      </c>
      <c r="F473" s="6" t="str">
        <f>IFERROR(__xludf.DUMMYFUNCTION("GOOGLETRANSLATE(D473,""en"",""it"")"),"Mi piacciono gli alberi, tranne querce.")</f>
        <v>Mi piacciono gli alberi, tranne querce.</v>
      </c>
      <c r="G473" s="6" t="str">
        <f>IFERROR(__xludf.DUMMYFUNCTION("GOOGLETRANSLATE(E473,""fr"",""it"")"),"Amo gli alberi tranne querce.")</f>
        <v>Amo gli alberi tranne querce.</v>
      </c>
    </row>
    <row r="474">
      <c r="A474" s="4">
        <v>472.0</v>
      </c>
      <c r="B474" s="5" t="s">
        <v>1423</v>
      </c>
      <c r="C474" s="4">
        <v>0.0</v>
      </c>
      <c r="D474" s="5" t="s">
        <v>1424</v>
      </c>
      <c r="E474" s="5" t="s">
        <v>1425</v>
      </c>
      <c r="F474" s="6" t="str">
        <f>IFERROR(__xludf.DUMMYFUNCTION("GOOGLETRANSLATE(D474,""en"",""it"")"),"Mi piacciono gli alberi, ad eccezione dell'erba.")</f>
        <v>Mi piacciono gli alberi, ad eccezione dell'erba.</v>
      </c>
      <c r="G474" s="6" t="str">
        <f>IFERROR(__xludf.DUMMYFUNCTION("GOOGLETRANSLATE(E474,""fr"",""it"")"),"Amo gli alberi tranne il prato.")</f>
        <v>Amo gli alberi tranne il prato.</v>
      </c>
    </row>
    <row r="475">
      <c r="A475" s="4">
        <v>473.0</v>
      </c>
      <c r="B475" s="5" t="s">
        <v>1426</v>
      </c>
      <c r="C475" s="4">
        <v>0.0</v>
      </c>
      <c r="D475" s="5" t="s">
        <v>1427</v>
      </c>
      <c r="E475" s="5" t="s">
        <v>1428</v>
      </c>
      <c r="F475" s="6" t="str">
        <f>IFERROR(__xludf.DUMMYFUNCTION("GOOGLETRANSLATE(D475,""en"",""it"")"),"Si fida del suo udito, e più specificamente voci.")</f>
        <v>Si fida del suo udito, e più specificamente voci.</v>
      </c>
      <c r="G475" s="6" t="str">
        <f>IFERROR(__xludf.DUMMYFUNCTION("GOOGLETRANSLATE(E475,""fr"",""it"")"),"Si fida del suo odore e più dettagliatamente.")</f>
        <v>Si fida del suo odore e più dettagliatamente.</v>
      </c>
    </row>
    <row r="476">
      <c r="A476" s="4">
        <v>474.0</v>
      </c>
      <c r="B476" s="5" t="s">
        <v>1429</v>
      </c>
      <c r="C476" s="4">
        <v>0.0</v>
      </c>
      <c r="D476" s="5" t="s">
        <v>1430</v>
      </c>
      <c r="E476" s="5" t="s">
        <v>1431</v>
      </c>
      <c r="F476" s="6" t="str">
        <f>IFERROR(__xludf.DUMMYFUNCTION("GOOGLETRANSLATE(D476,""en"",""it"")"),"Si fida di voci, e più specificamente il suo udito.")</f>
        <v>Si fida di voci, e più specificamente il suo udito.</v>
      </c>
      <c r="G476" s="6" t="str">
        <f>IFERROR(__xludf.DUMMYFUNCTION("GOOGLETRANSLATE(E476,""fr"",""it"")"),"Si fida delle voci e più particolarmente il suo odore.")</f>
        <v>Si fida delle voci e più particolarmente il suo odore.</v>
      </c>
    </row>
    <row r="477">
      <c r="A477" s="4">
        <v>475.0</v>
      </c>
      <c r="B477" s="5" t="s">
        <v>1432</v>
      </c>
      <c r="C477" s="4">
        <v>0.0</v>
      </c>
      <c r="D477" s="5" t="s">
        <v>1433</v>
      </c>
      <c r="E477" s="5" t="s">
        <v>1434</v>
      </c>
      <c r="F477" s="6" t="str">
        <f>IFERROR(__xludf.DUMMYFUNCTION("GOOGLETRANSLATE(D477,""en"",""it"")"),"Si fida del suo udito, e più specificamente i suoi sensi.")</f>
        <v>Si fida del suo udito, e più specificamente i suoi sensi.</v>
      </c>
      <c r="G477" s="6" t="str">
        <f>IFERROR(__xludf.DUMMYFUNCTION("GOOGLETRANSLATE(E477,""fr"",""it"")"),"Si fida del suo odore e più in particolare i suoi sensi.")</f>
        <v>Si fida del suo odore e più in particolare i suoi sensi.</v>
      </c>
    </row>
    <row r="478">
      <c r="A478" s="4">
        <v>476.0</v>
      </c>
      <c r="B478" s="5" t="s">
        <v>1435</v>
      </c>
      <c r="C478" s="4">
        <v>1.0</v>
      </c>
      <c r="D478" s="5" t="s">
        <v>1436</v>
      </c>
      <c r="E478" s="5" t="s">
        <v>1437</v>
      </c>
      <c r="F478" s="6" t="str">
        <f>IFERROR(__xludf.DUMMYFUNCTION("GOOGLETRANSLATE(D478,""en"",""it"")"),"Si fida dei suoi sensi, e più specificamente il suo udito.")</f>
        <v>Si fida dei suoi sensi, e più specificamente il suo udito.</v>
      </c>
      <c r="G478" s="6" t="str">
        <f>IFERROR(__xludf.DUMMYFUNCTION("GOOGLETRANSLATE(E478,""fr"",""it"")"),"Si fida dei suoi sensi, e più particolarmente il suo odore.")</f>
        <v>Si fida dei suoi sensi, e più particolarmente il suo odore.</v>
      </c>
    </row>
    <row r="479">
      <c r="A479" s="4">
        <v>477.0</v>
      </c>
      <c r="B479" s="5" t="s">
        <v>1438</v>
      </c>
      <c r="C479" s="4">
        <v>0.0</v>
      </c>
      <c r="D479" s="5" t="s">
        <v>1439</v>
      </c>
      <c r="E479" s="5" t="s">
        <v>1440</v>
      </c>
      <c r="F479" s="6" t="str">
        <f>IFERROR(__xludf.DUMMYFUNCTION("GOOGLETRANSLATE(D479,""en"",""it"")"),"Si fida del suo udito, e più specificamente rapporti.")</f>
        <v>Si fida del suo udito, e più specificamente rapporti.</v>
      </c>
      <c r="G479" s="6" t="str">
        <f>IFERROR(__xludf.DUMMYFUNCTION("GOOGLETRANSLATE(E479,""fr"",""it"")"),"Si fida del suo odore e più in particolare i rapporti.")</f>
        <v>Si fida del suo odore e più in particolare i rapporti.</v>
      </c>
    </row>
    <row r="480">
      <c r="A480" s="4">
        <v>478.0</v>
      </c>
      <c r="B480" s="5" t="s">
        <v>1441</v>
      </c>
      <c r="C480" s="4">
        <v>0.0</v>
      </c>
      <c r="D480" s="5" t="s">
        <v>1442</v>
      </c>
      <c r="E480" s="5" t="s">
        <v>1443</v>
      </c>
      <c r="F480" s="6" t="str">
        <f>IFERROR(__xludf.DUMMYFUNCTION("GOOGLETRANSLATE(D480,""en"",""it"")"),"Si fida dei rapporti, e più specificamente la sua udito.")</f>
        <v>Si fida dei rapporti, e più specificamente la sua udito.</v>
      </c>
      <c r="G480" s="6" t="str">
        <f>IFERROR(__xludf.DUMMYFUNCTION("GOOGLETRANSLATE(E480,""fr"",""it"")"),"Si fida dei rapporti, e più particolarmente il suo odore.")</f>
        <v>Si fida dei rapporti, e più particolarmente il suo odore.</v>
      </c>
    </row>
    <row r="481">
      <c r="A481" s="4">
        <v>479.0</v>
      </c>
      <c r="B481" s="5" t="s">
        <v>1444</v>
      </c>
      <c r="C481" s="4">
        <v>0.0</v>
      </c>
      <c r="D481" s="5" t="s">
        <v>1445</v>
      </c>
      <c r="E481" s="5" t="s">
        <v>1446</v>
      </c>
      <c r="F481" s="6" t="str">
        <f>IFERROR(__xludf.DUMMYFUNCTION("GOOGLETRANSLATE(D481,""en"",""it"")"),"Mi piacciono le querce, tranne gli animali.")</f>
        <v>Mi piacciono le querce, tranne gli animali.</v>
      </c>
      <c r="G481" s="6" t="str">
        <f>IFERROR(__xludf.DUMMYFUNCTION("GOOGLETRANSLATE(E481,""fr"",""it"")"),"Adoro le querce tranne gli animali.")</f>
        <v>Adoro le querce tranne gli animali.</v>
      </c>
    </row>
    <row r="482">
      <c r="A482" s="4">
        <v>480.0</v>
      </c>
      <c r="B482" s="5" t="s">
        <v>1447</v>
      </c>
      <c r="C482" s="4">
        <v>0.0</v>
      </c>
      <c r="D482" s="5" t="s">
        <v>1448</v>
      </c>
      <c r="E482" s="5" t="s">
        <v>1449</v>
      </c>
      <c r="F482" s="6" t="str">
        <f>IFERROR(__xludf.DUMMYFUNCTION("GOOGLETRANSLATE(D482,""en"",""it"")"),"Si fida della sua udito, e più specificamente ricostruzioni.")</f>
        <v>Si fida della sua udito, e più specificamente ricostruzioni.</v>
      </c>
      <c r="G482" s="6" t="str">
        <f>IFERROR(__xludf.DUMMYFUNCTION("GOOGLETRANSLATE(E482,""fr"",""it"")"),"Si fida del suo odore e più in particolare le ricostruzioni.")</f>
        <v>Si fida del suo odore e più in particolare le ricostruzioni.</v>
      </c>
    </row>
    <row r="483">
      <c r="A483" s="4">
        <v>481.0</v>
      </c>
      <c r="B483" s="5" t="s">
        <v>1450</v>
      </c>
      <c r="C483" s="4">
        <v>0.0</v>
      </c>
      <c r="D483" s="5" t="s">
        <v>1451</v>
      </c>
      <c r="E483" s="5" t="s">
        <v>1452</v>
      </c>
      <c r="F483" s="6" t="str">
        <f>IFERROR(__xludf.DUMMYFUNCTION("GOOGLETRANSLATE(D483,""en"",""it"")"),"Si fida di ricostruzioni e più specificamente la sua udito.")</f>
        <v>Si fida di ricostruzioni e più specificamente la sua udito.</v>
      </c>
      <c r="G483" s="6" t="str">
        <f>IFERROR(__xludf.DUMMYFUNCTION("GOOGLETRANSLATE(E483,""fr"",""it"")"),"Si fida di ricostruzioni, e più particolarmente il suo odore.")</f>
        <v>Si fida di ricostruzioni, e più particolarmente il suo odore.</v>
      </c>
    </row>
    <row r="484">
      <c r="A484" s="4">
        <v>482.0</v>
      </c>
      <c r="B484" s="5" t="s">
        <v>1453</v>
      </c>
      <c r="C484" s="4">
        <v>0.0</v>
      </c>
      <c r="D484" s="5" t="s">
        <v>1454</v>
      </c>
      <c r="E484" s="5" t="s">
        <v>1455</v>
      </c>
      <c r="F484" s="6" t="str">
        <f>IFERROR(__xludf.DUMMYFUNCTION("GOOGLETRANSLATE(D484,""en"",""it"")"),"Si fida della sua udito, e più specificamente ipotesi.")</f>
        <v>Si fida della sua udito, e più specificamente ipotesi.</v>
      </c>
      <c r="G484" s="6" t="str">
        <f>IFERROR(__xludf.DUMMYFUNCTION("GOOGLETRANSLATE(E484,""fr"",""it"")"),"Si fida del suo odore e più in particolare le ipotesi.")</f>
        <v>Si fida del suo odore e più in particolare le ipotesi.</v>
      </c>
    </row>
    <row r="485">
      <c r="A485" s="4">
        <v>483.0</v>
      </c>
      <c r="B485" s="5" t="s">
        <v>1456</v>
      </c>
      <c r="C485" s="4">
        <v>0.0</v>
      </c>
      <c r="D485" s="5" t="s">
        <v>1457</v>
      </c>
      <c r="E485" s="5" t="s">
        <v>1458</v>
      </c>
      <c r="F485" s="6" t="str">
        <f>IFERROR(__xludf.DUMMYFUNCTION("GOOGLETRANSLATE(D485,""en"",""it"")"),"Si fida indovina, e più specificamente il suo udito.")</f>
        <v>Si fida indovina, e più specificamente il suo udito.</v>
      </c>
      <c r="G485" s="6" t="str">
        <f>IFERROR(__xludf.DUMMYFUNCTION("GOOGLETRANSLATE(E485,""fr"",""it"")"),"Si fida deipotesi, e più particolarmente il suo odore.")</f>
        <v>Si fida deipotesi, e più particolarmente il suo odore.</v>
      </c>
    </row>
    <row r="486">
      <c r="A486" s="4">
        <v>484.0</v>
      </c>
      <c r="B486" s="5" t="s">
        <v>1459</v>
      </c>
      <c r="C486" s="4">
        <v>0.0</v>
      </c>
      <c r="D486" s="5" t="s">
        <v>1460</v>
      </c>
      <c r="E486" s="5" t="s">
        <v>1461</v>
      </c>
      <c r="F486" s="6" t="str">
        <f>IFERROR(__xludf.DUMMYFUNCTION("GOOGLETRANSLATE(D486,""en"",""it"")"),"Mi piacciono gli animali, tranne querce.")</f>
        <v>Mi piacciono gli animali, tranne querce.</v>
      </c>
      <c r="G486" s="6" t="str">
        <f>IFERROR(__xludf.DUMMYFUNCTION("GOOGLETRANSLATE(E486,""fr"",""it"")"),"Amo gli animali tranne le querce.")</f>
        <v>Amo gli animali tranne le querce.</v>
      </c>
    </row>
    <row r="487">
      <c r="A487" s="4">
        <v>485.0</v>
      </c>
      <c r="B487" s="5" t="s">
        <v>1462</v>
      </c>
      <c r="C487" s="4">
        <v>0.0</v>
      </c>
      <c r="D487" s="5" t="s">
        <v>1463</v>
      </c>
      <c r="E487" s="5" t="s">
        <v>1464</v>
      </c>
      <c r="F487" s="6" t="str">
        <f>IFERROR(__xludf.DUMMYFUNCTION("GOOGLETRANSLATE(D487,""en"",""it"")"),"Si fida del suo tocco, e più specificamente voci.")</f>
        <v>Si fida del suo tocco, e più specificamente voci.</v>
      </c>
      <c r="G487" s="6" t="str">
        <f>IFERROR(__xludf.DUMMYFUNCTION("GOOGLETRANSLATE(E487,""fr"",""it"")"),"Si fida del suo senso del tatto e più prendisole particolarmente.")</f>
        <v>Si fida del suo senso del tatto e più prendisole particolarmente.</v>
      </c>
    </row>
    <row r="488">
      <c r="A488" s="4">
        <v>486.0</v>
      </c>
      <c r="B488" s="5" t="s">
        <v>1465</v>
      </c>
      <c r="C488" s="4">
        <v>0.0</v>
      </c>
      <c r="D488" s="5" t="s">
        <v>1466</v>
      </c>
      <c r="E488" s="5" t="s">
        <v>1467</v>
      </c>
      <c r="F488" s="6" t="str">
        <f>IFERROR(__xludf.DUMMYFUNCTION("GOOGLETRANSLATE(D488,""en"",""it"")"),"Si fida delle voci e più specificamente il suo tocco.")</f>
        <v>Si fida delle voci e più specificamente il suo tocco.</v>
      </c>
      <c r="G488" s="6" t="str">
        <f>IFERROR(__xludf.DUMMYFUNCTION("GOOGLETRANSLATE(E488,""fr"",""it"")"),"Si fida delle voci e più in particolare il suo senso del tatto.")</f>
        <v>Si fida delle voci e più in particolare il suo senso del tatto.</v>
      </c>
    </row>
    <row r="489">
      <c r="A489" s="4">
        <v>487.0</v>
      </c>
      <c r="B489" s="5" t="s">
        <v>1468</v>
      </c>
      <c r="C489" s="4">
        <v>0.0</v>
      </c>
      <c r="D489" s="5" t="s">
        <v>1469</v>
      </c>
      <c r="E489" s="5" t="s">
        <v>1470</v>
      </c>
      <c r="F489" s="6" t="str">
        <f>IFERROR(__xludf.DUMMYFUNCTION("GOOGLETRANSLATE(D489,""en"",""it"")"),"Si fida del suo tocco, e più specificamente i suoi sensi.")</f>
        <v>Si fida del suo tocco, e più specificamente i suoi sensi.</v>
      </c>
      <c r="G489" s="6" t="str">
        <f>IFERROR(__xludf.DUMMYFUNCTION("GOOGLETRANSLATE(E489,""fr"",""it"")"),"Si fida del suo senso del tatto e più in particolare i suoi sensi.")</f>
        <v>Si fida del suo senso del tatto e più in particolare i suoi sensi.</v>
      </c>
    </row>
    <row r="490">
      <c r="A490" s="4">
        <v>488.0</v>
      </c>
      <c r="B490" s="5" t="s">
        <v>1471</v>
      </c>
      <c r="C490" s="4">
        <v>1.0</v>
      </c>
      <c r="D490" s="5" t="s">
        <v>1472</v>
      </c>
      <c r="E490" s="5" t="s">
        <v>1473</v>
      </c>
      <c r="F490" s="6" t="str">
        <f>IFERROR(__xludf.DUMMYFUNCTION("GOOGLETRANSLATE(D490,""en"",""it"")"),"Si fida dei suoi sensi, e più specificamente il suo tocco.")</f>
        <v>Si fida dei suoi sensi, e più specificamente il suo tocco.</v>
      </c>
      <c r="G490" s="6" t="str">
        <f>IFERROR(__xludf.DUMMYFUNCTION("GOOGLETRANSLATE(E490,""fr"",""it"")"),"Si fida dei suoi sensi, e più in particolare il suo senso del tatto.")</f>
        <v>Si fida dei suoi sensi, e più in particolare il suo senso del tatto.</v>
      </c>
    </row>
    <row r="491">
      <c r="A491" s="4">
        <v>489.0</v>
      </c>
      <c r="B491" s="5" t="s">
        <v>1474</v>
      </c>
      <c r="C491" s="4">
        <v>0.0</v>
      </c>
      <c r="D491" s="5" t="s">
        <v>1475</v>
      </c>
      <c r="E491" s="5" t="s">
        <v>1476</v>
      </c>
      <c r="F491" s="6" t="str">
        <f>IFERROR(__xludf.DUMMYFUNCTION("GOOGLETRANSLATE(D491,""en"",""it"")"),"Si fida del suo tocco, e più specificamente rapporti.")</f>
        <v>Si fida del suo tocco, e più specificamente rapporti.</v>
      </c>
      <c r="G491" s="6" t="str">
        <f>IFERROR(__xludf.DUMMYFUNCTION("GOOGLETRANSLATE(E491,""fr"",""it"")"),"Si fida del suo senso del tatto e più in particolare i rapporti.")</f>
        <v>Si fida del suo senso del tatto e più in particolare i rapporti.</v>
      </c>
    </row>
    <row r="492">
      <c r="A492" s="4">
        <v>490.0</v>
      </c>
      <c r="B492" s="5" t="s">
        <v>1477</v>
      </c>
      <c r="C492" s="4">
        <v>0.0</v>
      </c>
      <c r="D492" s="5" t="s">
        <v>1478</v>
      </c>
      <c r="E492" s="5" t="s">
        <v>1479</v>
      </c>
      <c r="F492" s="6" t="str">
        <f>IFERROR(__xludf.DUMMYFUNCTION("GOOGLETRANSLATE(D492,""en"",""it"")"),"Si fida dei rapporti, e più specificamente il suo tocco.")</f>
        <v>Si fida dei rapporti, e più specificamente il suo tocco.</v>
      </c>
      <c r="G492" s="6" t="str">
        <f>IFERROR(__xludf.DUMMYFUNCTION("GOOGLETRANSLATE(E492,""fr"",""it"")"),"Si fida dei rapporti e più in particolare il suo senso del tatto.")</f>
        <v>Si fida dei rapporti e più in particolare il suo senso del tatto.</v>
      </c>
    </row>
    <row r="493">
      <c r="A493" s="4">
        <v>491.0</v>
      </c>
      <c r="B493" s="5" t="s">
        <v>1480</v>
      </c>
      <c r="C493" s="4">
        <v>0.0</v>
      </c>
      <c r="D493" s="5" t="s">
        <v>1481</v>
      </c>
      <c r="E493" s="5" t="s">
        <v>1482</v>
      </c>
      <c r="F493" s="6" t="str">
        <f>IFERROR(__xludf.DUMMYFUNCTION("GOOGLETRANSLATE(D493,""en"",""it"")"),"Mi piacciono gli alberi, tranne gli animali.")</f>
        <v>Mi piacciono gli alberi, tranne gli animali.</v>
      </c>
      <c r="G493" s="6" t="str">
        <f>IFERROR(__xludf.DUMMYFUNCTION("GOOGLETRANSLATE(E493,""fr"",""it"")"),"Amo gli alberi tranne gli animali.")</f>
        <v>Amo gli alberi tranne gli animali.</v>
      </c>
    </row>
    <row r="494">
      <c r="A494" s="4">
        <v>492.0</v>
      </c>
      <c r="B494" s="5" t="s">
        <v>1483</v>
      </c>
      <c r="C494" s="4">
        <v>0.0</v>
      </c>
      <c r="D494" s="5" t="s">
        <v>1484</v>
      </c>
      <c r="E494" s="5" t="s">
        <v>1485</v>
      </c>
      <c r="F494" s="6" t="str">
        <f>IFERROR(__xludf.DUMMYFUNCTION("GOOGLETRANSLATE(D494,""en"",""it"")"),"Si fida del suo tocco, e più specificamente ricostruzioni.")</f>
        <v>Si fida del suo tocco, e più specificamente ricostruzioni.</v>
      </c>
      <c r="G494" s="6" t="str">
        <f>IFERROR(__xludf.DUMMYFUNCTION("GOOGLETRANSLATE(E494,""fr"",""it"")"),"Si fida del suo senso del tatto e più ricostruzioni in particolare.")</f>
        <v>Si fida del suo senso del tatto e più ricostruzioni in particolare.</v>
      </c>
    </row>
    <row r="495">
      <c r="A495" s="4">
        <v>493.0</v>
      </c>
      <c r="B495" s="5" t="s">
        <v>1486</v>
      </c>
      <c r="C495" s="4">
        <v>0.0</v>
      </c>
      <c r="D495" s="5" t="s">
        <v>1487</v>
      </c>
      <c r="E495" s="5" t="s">
        <v>1488</v>
      </c>
      <c r="F495" s="6" t="str">
        <f>IFERROR(__xludf.DUMMYFUNCTION("GOOGLETRANSLATE(D495,""en"",""it"")"),"Si fida di ricostruzioni e più specificamente il suo tocco.")</f>
        <v>Si fida di ricostruzioni e più specificamente il suo tocco.</v>
      </c>
      <c r="G495" s="6" t="str">
        <f>IFERROR(__xludf.DUMMYFUNCTION("GOOGLETRANSLATE(E495,""fr"",""it"")"),"Si fida di ricostruzioni e più in particolare il suo senso del tatto.")</f>
        <v>Si fida di ricostruzioni e più in particolare il suo senso del tatto.</v>
      </c>
    </row>
    <row r="496">
      <c r="A496" s="4">
        <v>494.0</v>
      </c>
      <c r="B496" s="5" t="s">
        <v>1489</v>
      </c>
      <c r="C496" s="4">
        <v>0.0</v>
      </c>
      <c r="D496" s="5" t="s">
        <v>1490</v>
      </c>
      <c r="E496" s="5" t="s">
        <v>1491</v>
      </c>
      <c r="F496" s="6" t="str">
        <f>IFERROR(__xludf.DUMMYFUNCTION("GOOGLETRANSLATE(D496,""en"",""it"")"),"Si fida del suo tocco, e più in particolare ipotesi.")</f>
        <v>Si fida del suo tocco, e più in particolare ipotesi.</v>
      </c>
      <c r="G496" s="6" t="str">
        <f>IFERROR(__xludf.DUMMYFUNCTION("GOOGLETRANSLATE(E496,""fr"",""it"")"),"Si fida del suo senso del tatto e più in particolare le ipotesi.")</f>
        <v>Si fida del suo senso del tatto e più in particolare le ipotesi.</v>
      </c>
    </row>
    <row r="497">
      <c r="A497" s="4">
        <v>495.0</v>
      </c>
      <c r="B497" s="5" t="s">
        <v>1492</v>
      </c>
      <c r="C497" s="4">
        <v>0.0</v>
      </c>
      <c r="D497" s="5" t="s">
        <v>1493</v>
      </c>
      <c r="E497" s="5" t="s">
        <v>1494</v>
      </c>
      <c r="F497" s="6" t="str">
        <f>IFERROR(__xludf.DUMMYFUNCTION("GOOGLETRANSLATE(D497,""en"",""it"")"),"Si fida indovina, e più specificamente il suo tocco.")</f>
        <v>Si fida indovina, e più specificamente il suo tocco.</v>
      </c>
      <c r="G497" s="6" t="str">
        <f>IFERROR(__xludf.DUMMYFUNCTION("GOOGLETRANSLATE(E497,""fr"",""it"")"),"Si fida di supposizione e più in particolare il suo senso del tatto.")</f>
        <v>Si fida di supposizione e più in particolare il suo senso del tatto.</v>
      </c>
    </row>
    <row r="498">
      <c r="A498" s="4">
        <v>496.0</v>
      </c>
      <c r="B498" s="5" t="s">
        <v>1495</v>
      </c>
      <c r="C498" s="4">
        <v>0.0</v>
      </c>
      <c r="D498" s="5" t="s">
        <v>1496</v>
      </c>
      <c r="E498" s="5" t="s">
        <v>1497</v>
      </c>
      <c r="F498" s="6" t="str">
        <f>IFERROR(__xludf.DUMMYFUNCTION("GOOGLETRANSLATE(D498,""en"",""it"")"),"Mi piacciono le querce, tranne i cespugli.")</f>
        <v>Mi piacciono le querce, tranne i cespugli.</v>
      </c>
      <c r="G498" s="6" t="str">
        <f>IFERROR(__xludf.DUMMYFUNCTION("GOOGLETRANSLATE(E498,""fr"",""it"")"),"Adoro le querce, tranne i cespugli.")</f>
        <v>Adoro le querce, tranne i cespugli.</v>
      </c>
    </row>
    <row r="499">
      <c r="A499" s="4">
        <v>497.0</v>
      </c>
      <c r="B499" s="5" t="s">
        <v>1498</v>
      </c>
      <c r="C499" s="4">
        <v>0.0</v>
      </c>
      <c r="D499" s="5" t="s">
        <v>1499</v>
      </c>
      <c r="E499" s="5" t="s">
        <v>1500</v>
      </c>
      <c r="F499" s="6" t="str">
        <f>IFERROR(__xludf.DUMMYFUNCTION("GOOGLETRANSLATE(D499,""en"",""it"")"),"Mi piacciono i cespugli, tranne querce.")</f>
        <v>Mi piacciono i cespugli, tranne querce.</v>
      </c>
      <c r="G499" s="6" t="str">
        <f>IFERROR(__xludf.DUMMYFUNCTION("GOOGLETRANSLATE(E499,""fr"",""it"")"),"Amo i cespugli tranne querce.")</f>
        <v>Amo i cespugli tranne querce.</v>
      </c>
    </row>
    <row r="500">
      <c r="A500" s="4">
        <v>498.0</v>
      </c>
      <c r="B500" s="5" t="s">
        <v>1501</v>
      </c>
      <c r="C500" s="4">
        <v>0.0</v>
      </c>
      <c r="D500" s="5" t="s">
        <v>1502</v>
      </c>
      <c r="E500" s="5" t="s">
        <v>1503</v>
      </c>
      <c r="F500" s="6" t="str">
        <f>IFERROR(__xludf.DUMMYFUNCTION("GOOGLETRANSLATE(D500,""en"",""it"")"),"Si fida del suo gusto, e più specificamente voci.")</f>
        <v>Si fida del suo gusto, e più specificamente voci.</v>
      </c>
      <c r="G500" s="6" t="str">
        <f>IFERROR(__xludf.DUMMYFUNCTION("GOOGLETRANSLATE(E500,""fr"",""it"")"),"Si fida del suo senso del gusto e più particolarmente prezioso.")</f>
        <v>Si fida del suo senso del gusto e più particolarmente prezioso.</v>
      </c>
    </row>
    <row r="501">
      <c r="A501" s="4">
        <v>499.0</v>
      </c>
      <c r="B501" s="5" t="s">
        <v>1504</v>
      </c>
      <c r="C501" s="4">
        <v>0.0</v>
      </c>
      <c r="D501" s="5" t="s">
        <v>1505</v>
      </c>
      <c r="E501" s="5" t="s">
        <v>1506</v>
      </c>
      <c r="F501" s="6" t="str">
        <f>IFERROR(__xludf.DUMMYFUNCTION("GOOGLETRANSLATE(D501,""en"",""it"")"),"Si fida delle voci e più specificamente il suo gusto.")</f>
        <v>Si fida delle voci e più specificamente il suo gusto.</v>
      </c>
      <c r="G501" s="6" t="str">
        <f>IFERROR(__xludf.DUMMYFUNCTION("GOOGLETRANSLATE(E501,""fr"",""it"")"),"Si fida delle voci e più in particolare il suo senso del gusto.")</f>
        <v>Si fida delle voci e più in particolare il suo senso del gusto.</v>
      </c>
    </row>
    <row r="502">
      <c r="A502" s="4">
        <v>500.0</v>
      </c>
      <c r="B502" s="5" t="s">
        <v>1507</v>
      </c>
      <c r="C502" s="4">
        <v>0.0</v>
      </c>
      <c r="D502" s="5" t="s">
        <v>1508</v>
      </c>
      <c r="E502" s="5" t="s">
        <v>1509</v>
      </c>
      <c r="F502" s="6" t="str">
        <f>IFERROR(__xludf.DUMMYFUNCTION("GOOGLETRANSLATE(D502,""en"",""it"")"),"Si fida del suo gusto, e più specificamente i suoi sensi.")</f>
        <v>Si fida del suo gusto, e più specificamente i suoi sensi.</v>
      </c>
      <c r="G502" s="6" t="str">
        <f>IFERROR(__xludf.DUMMYFUNCTION("GOOGLETRANSLATE(E502,""fr"",""it"")"),"Si fida del suo senso del gusto, e più in particolare i suoi sensi.")</f>
        <v>Si fida del suo senso del gusto, e più in particolare i suoi sensi.</v>
      </c>
    </row>
    <row r="503">
      <c r="A503" s="4">
        <v>501.0</v>
      </c>
      <c r="B503" s="5" t="s">
        <v>1510</v>
      </c>
      <c r="C503" s="4">
        <v>1.0</v>
      </c>
      <c r="D503" s="5" t="s">
        <v>1511</v>
      </c>
      <c r="E503" s="5" t="s">
        <v>1512</v>
      </c>
      <c r="F503" s="6" t="str">
        <f>IFERROR(__xludf.DUMMYFUNCTION("GOOGLETRANSLATE(D503,""en"",""it"")"),"Si fida dei suoi sensi, e più specificamente il suo gusto.")</f>
        <v>Si fida dei suoi sensi, e più specificamente il suo gusto.</v>
      </c>
      <c r="G503" s="6" t="str">
        <f>IFERROR(__xludf.DUMMYFUNCTION("GOOGLETRANSLATE(E503,""fr"",""it"")"),"Si fida dei suoi sensi, e più in particolare il suo senso del gusto.")</f>
        <v>Si fida dei suoi sensi, e più in particolare il suo senso del gusto.</v>
      </c>
    </row>
    <row r="504">
      <c r="A504" s="4">
        <v>502.0</v>
      </c>
      <c r="B504" s="5" t="s">
        <v>1513</v>
      </c>
      <c r="C504" s="4">
        <v>0.0</v>
      </c>
      <c r="D504" s="5" t="s">
        <v>1514</v>
      </c>
      <c r="E504" s="5" t="s">
        <v>1515</v>
      </c>
      <c r="F504" s="6" t="str">
        <f>IFERROR(__xludf.DUMMYFUNCTION("GOOGLETRANSLATE(D504,""en"",""it"")"),"Si fida del suo gusto, e più specificamente riferisce.")</f>
        <v>Si fida del suo gusto, e più specificamente riferisce.</v>
      </c>
      <c r="G504" s="6" t="str">
        <f>IFERROR(__xludf.DUMMYFUNCTION("GOOGLETRANSLATE(E504,""fr"",""it"")"),"Si fida del suo senso del gusto e più in particolare i rapporti.")</f>
        <v>Si fida del suo senso del gusto e più in particolare i rapporti.</v>
      </c>
    </row>
    <row r="505">
      <c r="A505" s="4">
        <v>503.0</v>
      </c>
      <c r="B505" s="5" t="s">
        <v>1516</v>
      </c>
      <c r="C505" s="4">
        <v>0.0</v>
      </c>
      <c r="D505" s="5" t="s">
        <v>1517</v>
      </c>
      <c r="E505" s="5" t="s">
        <v>1518</v>
      </c>
      <c r="F505" s="6" t="str">
        <f>IFERROR(__xludf.DUMMYFUNCTION("GOOGLETRANSLATE(D505,""en"",""it"")"),"Si fida dei rapporti, e più specificamente il suo gusto.")</f>
        <v>Si fida dei rapporti, e più specificamente il suo gusto.</v>
      </c>
      <c r="G505" s="6" t="str">
        <f>IFERROR(__xludf.DUMMYFUNCTION("GOOGLETRANSLATE(E505,""fr"",""it"")"),"Si fida dei rapporti, e più in particolare il suo senso del gusto.")</f>
        <v>Si fida dei rapporti, e più in particolare il suo senso del gusto.</v>
      </c>
    </row>
    <row r="506">
      <c r="A506" s="4">
        <v>504.0</v>
      </c>
      <c r="B506" s="5" t="s">
        <v>1519</v>
      </c>
      <c r="C506" s="4">
        <v>0.0</v>
      </c>
      <c r="D506" s="5" t="s">
        <v>1520</v>
      </c>
      <c r="E506" s="5" t="s">
        <v>1521</v>
      </c>
      <c r="F506" s="6" t="str">
        <f>IFERROR(__xludf.DUMMYFUNCTION("GOOGLETRANSLATE(D506,""en"",""it"")"),"Si fida del suo gusto, e più specificamente ricostruzioni.")</f>
        <v>Si fida del suo gusto, e più specificamente ricostruzioni.</v>
      </c>
      <c r="G506" s="6" t="str">
        <f>IFERROR(__xludf.DUMMYFUNCTION("GOOGLETRANSLATE(E506,""fr"",""it"")"),"Si fida del suo senso del gusto, e più in particolare le ricostruzioni.")</f>
        <v>Si fida del suo senso del gusto, e più in particolare le ricostruzioni.</v>
      </c>
    </row>
    <row r="507">
      <c r="A507" s="4">
        <v>505.0</v>
      </c>
      <c r="B507" s="5" t="s">
        <v>1522</v>
      </c>
      <c r="C507" s="4">
        <v>0.0</v>
      </c>
      <c r="D507" s="5" t="s">
        <v>1523</v>
      </c>
      <c r="E507" s="5" t="s">
        <v>1524</v>
      </c>
      <c r="F507" s="6" t="str">
        <f>IFERROR(__xludf.DUMMYFUNCTION("GOOGLETRANSLATE(D507,""en"",""it"")"),"Si fida di ricostruzioni, e più specificamente il suo gusto.")</f>
        <v>Si fida di ricostruzioni, e più specificamente il suo gusto.</v>
      </c>
      <c r="G507" s="6" t="str">
        <f>IFERROR(__xludf.DUMMYFUNCTION("GOOGLETRANSLATE(E507,""fr"",""it"")"),"Si fida di ricostruzioni, e più in particolare il suo senso del gusto.")</f>
        <v>Si fida di ricostruzioni, e più in particolare il suo senso del gusto.</v>
      </c>
    </row>
    <row r="508">
      <c r="A508" s="4">
        <v>506.0</v>
      </c>
      <c r="B508" s="5" t="s">
        <v>1525</v>
      </c>
      <c r="C508" s="4">
        <v>0.0</v>
      </c>
      <c r="D508" s="5" t="s">
        <v>1526</v>
      </c>
      <c r="E508" s="5" t="s">
        <v>1527</v>
      </c>
      <c r="F508" s="6" t="str">
        <f>IFERROR(__xludf.DUMMYFUNCTION("GOOGLETRANSLATE(D508,""en"",""it"")"),"Si fida dei suoi gusti, e più in particolare ipotesi.")</f>
        <v>Si fida dei suoi gusti, e più in particolare ipotesi.</v>
      </c>
      <c r="G508" s="6" t="str">
        <f>IFERROR(__xludf.DUMMYFUNCTION("GOOGLETRANSLATE(E508,""fr"",""it"")"),"Si fida del suo senso del gusto, e più in particolare le ipotesi.")</f>
        <v>Si fida del suo senso del gusto, e più in particolare le ipotesi.</v>
      </c>
    </row>
    <row r="509">
      <c r="A509" s="4">
        <v>507.0</v>
      </c>
      <c r="B509" s="5" t="s">
        <v>1528</v>
      </c>
      <c r="C509" s="4">
        <v>0.0</v>
      </c>
      <c r="D509" s="5" t="s">
        <v>1529</v>
      </c>
      <c r="E509" s="5" t="s">
        <v>1530</v>
      </c>
      <c r="F509" s="6" t="str">
        <f>IFERROR(__xludf.DUMMYFUNCTION("GOOGLETRANSLATE(D509,""en"",""it"")"),"Si fida indovina, e più specificamente il suo gusto.")</f>
        <v>Si fida indovina, e più specificamente il suo gusto.</v>
      </c>
      <c r="G509" s="6" t="str">
        <f>IFERROR(__xludf.DUMMYFUNCTION("GOOGLETRANSLATE(E509,""fr"",""it"")"),"Si fida di supposizione, e più in particolare il suo senso del gusto.")</f>
        <v>Si fida di supposizione, e più in particolare il suo senso del gusto.</v>
      </c>
    </row>
    <row r="510">
      <c r="A510" s="4">
        <v>508.0</v>
      </c>
      <c r="B510" s="5" t="s">
        <v>1531</v>
      </c>
      <c r="C510" s="4">
        <v>0.0</v>
      </c>
      <c r="D510" s="5" t="s">
        <v>1532</v>
      </c>
      <c r="E510" s="5" t="s">
        <v>1533</v>
      </c>
      <c r="F510" s="6" t="str">
        <f>IFERROR(__xludf.DUMMYFUNCTION("GOOGLETRANSLATE(D510,""en"",""it"")"),"Mi piacciono gli alberi, tranne i cespugli.")</f>
        <v>Mi piacciono gli alberi, tranne i cespugli.</v>
      </c>
      <c r="G510" s="6" t="str">
        <f>IFERROR(__xludf.DUMMYFUNCTION("GOOGLETRANSLATE(E510,""fr"",""it"")"),"Amo gli alberi tranne i cespugli.")</f>
        <v>Amo gli alberi tranne i cespugli.</v>
      </c>
    </row>
    <row r="511">
      <c r="A511" s="4">
        <v>509.0</v>
      </c>
      <c r="B511" s="5" t="s">
        <v>1534</v>
      </c>
      <c r="C511" s="4">
        <v>0.0</v>
      </c>
      <c r="D511" s="5" t="s">
        <v>1535</v>
      </c>
      <c r="E511" s="5" t="s">
        <v>1536</v>
      </c>
      <c r="F511" s="6" t="str">
        <f>IFERROR(__xludf.DUMMYFUNCTION("GOOGLETRANSLATE(D511,""en"",""it"")"),"Mi piacciono le querce, tranne gli arbusti.")</f>
        <v>Mi piacciono le querce, tranne gli arbusti.</v>
      </c>
      <c r="G511" s="6" t="str">
        <f>IFERROR(__xludf.DUMMYFUNCTION("GOOGLETRANSLATE(E511,""fr"",""it"")"),"Adoro le querce, tranne gli arbusti.")</f>
        <v>Adoro le querce, tranne gli arbusti.</v>
      </c>
    </row>
    <row r="512">
      <c r="A512" s="4">
        <v>510.0</v>
      </c>
      <c r="B512" s="5" t="s">
        <v>1537</v>
      </c>
      <c r="C512" s="4">
        <v>0.0</v>
      </c>
      <c r="D512" s="5" t="s">
        <v>1538</v>
      </c>
      <c r="E512" s="5" t="s">
        <v>1539</v>
      </c>
      <c r="F512" s="6" t="str">
        <f>IFERROR(__xludf.DUMMYFUNCTION("GOOGLETRANSLATE(D512,""en"",""it"")"),"Mi piacciono gli arbusti, tranne querce.")</f>
        <v>Mi piacciono gli arbusti, tranne querce.</v>
      </c>
      <c r="G512" s="6" t="str">
        <f>IFERROR(__xludf.DUMMYFUNCTION("GOOGLETRANSLATE(E512,""fr"",""it"")"),"Amo gli arbusti tranne querce.")</f>
        <v>Amo gli arbusti tranne querce.</v>
      </c>
    </row>
    <row r="513">
      <c r="A513" s="4">
        <v>511.0</v>
      </c>
      <c r="B513" s="5" t="s">
        <v>1540</v>
      </c>
      <c r="C513" s="4">
        <v>0.0</v>
      </c>
      <c r="D513" s="5" t="s">
        <v>1541</v>
      </c>
      <c r="E513" s="5" t="s">
        <v>1542</v>
      </c>
      <c r="F513" s="6" t="str">
        <f>IFERROR(__xludf.DUMMYFUNCTION("GOOGLETRANSLATE(D513,""en"",""it"")"),"A lui piace la gioia e più specificamente saggezza.")</f>
        <v>A lui piace la gioia e più specificamente saggezza.</v>
      </c>
      <c r="G513" s="6" t="str">
        <f>IFERROR(__xludf.DUMMYFUNCTION("GOOGLETRANSLATE(E513,""fr"",""it"")"),"Posso capire la gioia e più particolarmente saggezza.")</f>
        <v>Posso capire la gioia e più particolarmente saggezza.</v>
      </c>
    </row>
    <row r="514">
      <c r="A514" s="4">
        <v>512.0</v>
      </c>
      <c r="B514" s="5" t="s">
        <v>1543</v>
      </c>
      <c r="C514" s="4">
        <v>0.0</v>
      </c>
      <c r="D514" s="5" t="s">
        <v>1544</v>
      </c>
      <c r="E514" s="5" t="s">
        <v>1545</v>
      </c>
      <c r="F514" s="6" t="str">
        <f>IFERROR(__xludf.DUMMYFUNCTION("GOOGLETRANSLATE(D514,""en"",""it"")"),"A lui piace la saggezza e più specificamente gioia.")</f>
        <v>A lui piace la saggezza e più specificamente gioia.</v>
      </c>
      <c r="G514" s="6" t="str">
        <f>IFERROR(__xludf.DUMMYFUNCTION("GOOGLETRANSLATE(E514,""fr"",""it"")"),"Posso capire la saggezza, e più particolarmente gioia.")</f>
        <v>Posso capire la saggezza, e più particolarmente gioia.</v>
      </c>
    </row>
    <row r="515">
      <c r="A515" s="4">
        <v>513.0</v>
      </c>
      <c r="B515" s="5" t="s">
        <v>1546</v>
      </c>
      <c r="C515" s="4">
        <v>0.0</v>
      </c>
      <c r="D515" s="5" t="s">
        <v>1547</v>
      </c>
      <c r="E515" s="5" t="s">
        <v>1548</v>
      </c>
      <c r="F515" s="6" t="str">
        <f>IFERROR(__xludf.DUMMYFUNCTION("GOOGLETRANSLATE(D515,""en"",""it"")"),"A lui piace la gioia e più specificamente emozioni.")</f>
        <v>A lui piace la gioia e più specificamente emozioni.</v>
      </c>
      <c r="G515" s="6" t="str">
        <f>IFERROR(__xludf.DUMMYFUNCTION("GOOGLETRANSLATE(E515,""fr"",""it"")"),"Posso capire la gioia e più emozioni in particolare.")</f>
        <v>Posso capire la gioia e più emozioni in particolare.</v>
      </c>
    </row>
    <row r="516">
      <c r="A516" s="4">
        <v>514.0</v>
      </c>
      <c r="B516" s="5" t="s">
        <v>1549</v>
      </c>
      <c r="C516" s="4">
        <v>1.0</v>
      </c>
      <c r="D516" s="5" t="s">
        <v>1550</v>
      </c>
      <c r="E516" s="5" t="s">
        <v>1551</v>
      </c>
      <c r="F516" s="6" t="str">
        <f>IFERROR(__xludf.DUMMYFUNCTION("GOOGLETRANSLATE(D516,""en"",""it"")"),"Gli piace le emozioni e più specificamente gioia.")</f>
        <v>Gli piace le emozioni e più specificamente gioia.</v>
      </c>
      <c r="G516" s="6" t="str">
        <f>IFERROR(__xludf.DUMMYFUNCTION("GOOGLETRANSLATE(E516,""fr"",""it"")"),"Posso capire le emozioni e più particolarmente gioia.")</f>
        <v>Posso capire le emozioni e più particolarmente gioia.</v>
      </c>
    </row>
    <row r="517">
      <c r="A517" s="4">
        <v>515.0</v>
      </c>
      <c r="B517" s="5" t="s">
        <v>1552</v>
      </c>
      <c r="C517" s="4">
        <v>0.0</v>
      </c>
      <c r="D517" s="5" t="s">
        <v>1553</v>
      </c>
      <c r="E517" s="5" t="s">
        <v>1554</v>
      </c>
      <c r="F517" s="6" t="str">
        <f>IFERROR(__xludf.DUMMYFUNCTION("GOOGLETRANSLATE(D517,""en"",""it"")"),"Gli piace le emozioni e più specificamente saggezza.")</f>
        <v>Gli piace le emozioni e più specificamente saggezza.</v>
      </c>
      <c r="G517" s="6" t="str">
        <f>IFERROR(__xludf.DUMMYFUNCTION("GOOGLETRANSLATE(E517,""fr"",""it"")"),"Posso capire le emozioni e più particolarmente saggezza.")</f>
        <v>Posso capire le emozioni e più particolarmente saggezza.</v>
      </c>
    </row>
    <row r="518">
      <c r="A518" s="4">
        <v>516.0</v>
      </c>
      <c r="B518" s="5" t="s">
        <v>1555</v>
      </c>
      <c r="C518" s="4">
        <v>0.0</v>
      </c>
      <c r="D518" s="5" t="s">
        <v>1556</v>
      </c>
      <c r="E518" s="5" t="s">
        <v>1557</v>
      </c>
      <c r="F518" s="6" t="str">
        <f>IFERROR(__xludf.DUMMYFUNCTION("GOOGLETRANSLATE(D518,""en"",""it"")"),"A lui piace la gioia e più specificamente stupidità.")</f>
        <v>A lui piace la gioia e più specificamente stupidità.</v>
      </c>
      <c r="G518" s="6" t="str">
        <f>IFERROR(__xludf.DUMMYFUNCTION("GOOGLETRANSLATE(E518,""fr"",""it"")"),"Posso capire la gioia e più in particolare la stupidità.")</f>
        <v>Posso capire la gioia e più in particolare la stupidità.</v>
      </c>
    </row>
    <row r="519">
      <c r="A519" s="4">
        <v>517.0</v>
      </c>
      <c r="B519" s="5" t="s">
        <v>1558</v>
      </c>
      <c r="C519" s="4">
        <v>0.0</v>
      </c>
      <c r="D519" s="5" t="s">
        <v>1559</v>
      </c>
      <c r="E519" s="5" t="s">
        <v>1560</v>
      </c>
      <c r="F519" s="6" t="str">
        <f>IFERROR(__xludf.DUMMYFUNCTION("GOOGLETRANSLATE(D519,""en"",""it"")"),"A lui piace la stupidità e più specificamente gioia.")</f>
        <v>A lui piace la stupidità e più specificamente gioia.</v>
      </c>
      <c r="G519" s="6" t="str">
        <f>IFERROR(__xludf.DUMMYFUNCTION("GOOGLETRANSLATE(E519,""fr"",""it"")"),"Posso capire la stupidità e più particolarmente gioia.")</f>
        <v>Posso capire la stupidità e più particolarmente gioia.</v>
      </c>
    </row>
    <row r="520">
      <c r="A520" s="4">
        <v>518.0</v>
      </c>
      <c r="B520" s="5" t="s">
        <v>1561</v>
      </c>
      <c r="C520" s="4">
        <v>0.0</v>
      </c>
      <c r="D520" s="5" t="s">
        <v>1562</v>
      </c>
      <c r="E520" s="5" t="s">
        <v>1563</v>
      </c>
      <c r="F520" s="6" t="str">
        <f>IFERROR(__xludf.DUMMYFUNCTION("GOOGLETRANSLATE(D520,""en"",""it"")"),"Gli piace le emozioni e più specificamente stupidità.")</f>
        <v>Gli piace le emozioni e più specificamente stupidità.</v>
      </c>
      <c r="G520" s="6" t="str">
        <f>IFERROR(__xludf.DUMMYFUNCTION("GOOGLETRANSLATE(E520,""fr"",""it"")"),"Posso capire le emozioni e più in particolare la stupidità.")</f>
        <v>Posso capire le emozioni e più in particolare la stupidità.</v>
      </c>
    </row>
    <row r="521">
      <c r="A521" s="4">
        <v>519.0</v>
      </c>
      <c r="B521" s="5" t="s">
        <v>1564</v>
      </c>
      <c r="C521" s="4">
        <v>0.0</v>
      </c>
      <c r="D521" s="5" t="s">
        <v>1565</v>
      </c>
      <c r="E521" s="5" t="s">
        <v>1566</v>
      </c>
      <c r="F521" s="6" t="str">
        <f>IFERROR(__xludf.DUMMYFUNCTION("GOOGLETRANSLATE(D521,""en"",""it"")"),"A lui piace la gioia e più specificamente logica.")</f>
        <v>A lui piace la gioia e più specificamente logica.</v>
      </c>
      <c r="G521" s="6" t="str">
        <f>IFERROR(__xludf.DUMMYFUNCTION("GOOGLETRANSLATE(E521,""fr"",""it"")"),"Posso capire la gioia e più particolarmente logica.")</f>
        <v>Posso capire la gioia e più particolarmente logica.</v>
      </c>
    </row>
    <row r="522">
      <c r="A522" s="4">
        <v>520.0</v>
      </c>
      <c r="B522" s="5" t="s">
        <v>1567</v>
      </c>
      <c r="C522" s="4">
        <v>0.0</v>
      </c>
      <c r="D522" s="5" t="s">
        <v>1568</v>
      </c>
      <c r="E522" s="5" t="s">
        <v>1569</v>
      </c>
      <c r="F522" s="6" t="str">
        <f>IFERROR(__xludf.DUMMYFUNCTION("GOOGLETRANSLATE(D522,""en"",""it"")"),"A lui piace la logica e più specificamente gioia.")</f>
        <v>A lui piace la logica e più specificamente gioia.</v>
      </c>
      <c r="G522" s="6" t="str">
        <f>IFERROR(__xludf.DUMMYFUNCTION("GOOGLETRANSLATE(E522,""fr"",""it"")"),"Posso capire la logica e più particolarmente gioia.")</f>
        <v>Posso capire la logica e più particolarmente gioia.</v>
      </c>
    </row>
    <row r="523">
      <c r="A523" s="4">
        <v>521.0</v>
      </c>
      <c r="B523" s="5" t="s">
        <v>1570</v>
      </c>
      <c r="C523" s="4">
        <v>0.0</v>
      </c>
      <c r="D523" s="5" t="s">
        <v>1571</v>
      </c>
      <c r="E523" s="5" t="s">
        <v>1572</v>
      </c>
      <c r="F523" s="6" t="str">
        <f>IFERROR(__xludf.DUMMYFUNCTION("GOOGLETRANSLATE(D523,""en"",""it"")"),"Gli piace le emozioni e più specificamente logica.")</f>
        <v>Gli piace le emozioni e più specificamente logica.</v>
      </c>
      <c r="G523" s="6" t="str">
        <f>IFERROR(__xludf.DUMMYFUNCTION("GOOGLETRANSLATE(E523,""fr"",""it"")"),"Posso capire le emozioni e più particolarmente logica.")</f>
        <v>Posso capire le emozioni e più particolarmente logica.</v>
      </c>
    </row>
    <row r="524">
      <c r="A524" s="4">
        <v>522.0</v>
      </c>
      <c r="B524" s="5" t="s">
        <v>1573</v>
      </c>
      <c r="C524" s="4">
        <v>0.0</v>
      </c>
      <c r="D524" s="5" t="s">
        <v>1574</v>
      </c>
      <c r="E524" s="5" t="s">
        <v>1575</v>
      </c>
      <c r="F524" s="6" t="str">
        <f>IFERROR(__xludf.DUMMYFUNCTION("GOOGLETRANSLATE(D524,""en"",""it"")"),"A lui piace la gioia e più specificamente calcoli.")</f>
        <v>A lui piace la gioia e più specificamente calcoli.</v>
      </c>
      <c r="G524" s="6" t="str">
        <f>IFERROR(__xludf.DUMMYFUNCTION("GOOGLETRANSLATE(E524,""fr"",""it"")"),"Posso capire la gioia e più in particolare i calcoli.")</f>
        <v>Posso capire la gioia e più in particolare i calcoli.</v>
      </c>
    </row>
    <row r="525">
      <c r="A525" s="4">
        <v>523.0</v>
      </c>
      <c r="B525" s="5" t="s">
        <v>1576</v>
      </c>
      <c r="C525" s="4">
        <v>0.0</v>
      </c>
      <c r="D525" s="5" t="s">
        <v>1577</v>
      </c>
      <c r="E525" s="5" t="s">
        <v>1578</v>
      </c>
      <c r="F525" s="6" t="str">
        <f>IFERROR(__xludf.DUMMYFUNCTION("GOOGLETRANSLATE(D525,""en"",""it"")"),"Gli piacciono i calcoli e più specificamente gioia.")</f>
        <v>Gli piacciono i calcoli e più specificamente gioia.</v>
      </c>
      <c r="G525" s="6" t="str">
        <f>IFERROR(__xludf.DUMMYFUNCTION("GOOGLETRANSLATE(E525,""fr"",""it"")"),"Posso capire i calcoli e più in particolare la gioia.")</f>
        <v>Posso capire i calcoli e più in particolare la gioia.</v>
      </c>
    </row>
    <row r="526">
      <c r="A526" s="4">
        <v>524.0</v>
      </c>
      <c r="B526" s="5" t="s">
        <v>1579</v>
      </c>
      <c r="C526" s="4">
        <v>0.0</v>
      </c>
      <c r="D526" s="5" t="s">
        <v>1580</v>
      </c>
      <c r="E526" s="5" t="s">
        <v>1581</v>
      </c>
      <c r="F526" s="6" t="str">
        <f>IFERROR(__xludf.DUMMYFUNCTION("GOOGLETRANSLATE(D526,""en"",""it"")"),"Mi piacciono i pappagalli, tranne i husky.")</f>
        <v>Mi piacciono i pappagalli, tranne i husky.</v>
      </c>
      <c r="G526" s="6" t="str">
        <f>IFERROR(__xludf.DUMMYFUNCTION("GOOGLETRANSLATE(E526,""fr"",""it"")"),"Amo i perrouches, tranne i husky.")</f>
        <v>Amo i perrouches, tranne i husky.</v>
      </c>
    </row>
    <row r="527">
      <c r="A527" s="4">
        <v>525.0</v>
      </c>
      <c r="B527" s="5" t="s">
        <v>1582</v>
      </c>
      <c r="C527" s="4">
        <v>0.0</v>
      </c>
      <c r="D527" s="5" t="s">
        <v>1583</v>
      </c>
      <c r="E527" s="5" t="s">
        <v>1584</v>
      </c>
      <c r="F527" s="6" t="str">
        <f>IFERROR(__xludf.DUMMYFUNCTION("GOOGLETRANSLATE(D527,""en"",""it"")"),"Gli piace le emozioni e più specificamente calcoli.")</f>
        <v>Gli piace le emozioni e più specificamente calcoli.</v>
      </c>
      <c r="G527" s="6" t="str">
        <f>IFERROR(__xludf.DUMMYFUNCTION("GOOGLETRANSLATE(E527,""fr"",""it"")"),"Posso capire le emozioni e più in particolare i calcoli.")</f>
        <v>Posso capire le emozioni e più in particolare i calcoli.</v>
      </c>
    </row>
    <row r="528">
      <c r="A528" s="4">
        <v>526.0</v>
      </c>
      <c r="B528" s="5" t="s">
        <v>1585</v>
      </c>
      <c r="C528" s="4">
        <v>0.0</v>
      </c>
      <c r="D528" s="5" t="s">
        <v>1586</v>
      </c>
      <c r="E528" s="5" t="s">
        <v>1587</v>
      </c>
      <c r="F528" s="6" t="str">
        <f>IFERROR(__xludf.DUMMYFUNCTION("GOOGLETRANSLATE(D528,""en"",""it"")"),"Mi piacciono gli alberi, tranne gli arbusti.")</f>
        <v>Mi piacciono gli alberi, tranne gli arbusti.</v>
      </c>
      <c r="G528" s="6" t="str">
        <f>IFERROR(__xludf.DUMMYFUNCTION("GOOGLETRANSLATE(E528,""fr"",""it"")"),"Amo gli alberi tranne gli arbusti.")</f>
        <v>Amo gli alberi tranne gli arbusti.</v>
      </c>
    </row>
    <row r="529">
      <c r="A529" s="4">
        <v>527.0</v>
      </c>
      <c r="B529" s="5" t="s">
        <v>1588</v>
      </c>
      <c r="C529" s="4">
        <v>0.0</v>
      </c>
      <c r="D529" s="5" t="s">
        <v>1589</v>
      </c>
      <c r="E529" s="5" t="s">
        <v>1590</v>
      </c>
      <c r="F529" s="6" t="str">
        <f>IFERROR(__xludf.DUMMYFUNCTION("GOOGLETRANSLATE(D529,""en"",""it"")"),"Gli piace la paura, e più specificamente saggezza.")</f>
        <v>Gli piace la paura, e più specificamente saggezza.</v>
      </c>
      <c r="G529" s="6" t="str">
        <f>IFERROR(__xludf.DUMMYFUNCTION("GOOGLETRANSLATE(E529,""fr"",""it"")"),"Posso capire la paura e più particolarmente saggezza.")</f>
        <v>Posso capire la paura e più particolarmente saggezza.</v>
      </c>
    </row>
    <row r="530">
      <c r="A530" s="4">
        <v>528.0</v>
      </c>
      <c r="B530" s="5" t="s">
        <v>1591</v>
      </c>
      <c r="C530" s="4">
        <v>0.0</v>
      </c>
      <c r="D530" s="5" t="s">
        <v>1592</v>
      </c>
      <c r="E530" s="5" t="s">
        <v>1593</v>
      </c>
      <c r="F530" s="6" t="str">
        <f>IFERROR(__xludf.DUMMYFUNCTION("GOOGLETRANSLATE(D530,""en"",""it"")"),"A lui piace la saggezza, e più specificamente paura.")</f>
        <v>A lui piace la saggezza, e più specificamente paura.</v>
      </c>
      <c r="G530" s="6" t="str">
        <f>IFERROR(__xludf.DUMMYFUNCTION("GOOGLETRANSLATE(E530,""fr"",""it"")"),"Posso capire la saggezza e più paura in particolare.")</f>
        <v>Posso capire la saggezza e più paura in particolare.</v>
      </c>
    </row>
    <row r="531">
      <c r="A531" s="4">
        <v>529.0</v>
      </c>
      <c r="B531" s="5" t="s">
        <v>1594</v>
      </c>
      <c r="C531" s="4">
        <v>0.0</v>
      </c>
      <c r="D531" s="5" t="s">
        <v>1595</v>
      </c>
      <c r="E531" s="5" t="s">
        <v>1596</v>
      </c>
      <c r="F531" s="6" t="str">
        <f>IFERROR(__xludf.DUMMYFUNCTION("GOOGLETRANSLATE(D531,""en"",""it"")"),"Gli piace la paura, e più specificamente le emozioni.")</f>
        <v>Gli piace la paura, e più specificamente le emozioni.</v>
      </c>
      <c r="G531" s="6" t="str">
        <f>IFERROR(__xludf.DUMMYFUNCTION("GOOGLETRANSLATE(E531,""fr"",""it"")"),"Posso capire la paura e più emozioni in particolare.")</f>
        <v>Posso capire la paura e più emozioni in particolare.</v>
      </c>
    </row>
    <row r="532">
      <c r="A532" s="4">
        <v>530.0</v>
      </c>
      <c r="B532" s="5" t="s">
        <v>1597</v>
      </c>
      <c r="C532" s="4">
        <v>1.0</v>
      </c>
      <c r="D532" s="5" t="s">
        <v>1598</v>
      </c>
      <c r="E532" s="5" t="s">
        <v>1599</v>
      </c>
      <c r="F532" s="6" t="str">
        <f>IFERROR(__xludf.DUMMYFUNCTION("GOOGLETRANSLATE(D532,""en"",""it"")"),"Gli piace le emozioni e più specificamente temono.")</f>
        <v>Gli piace le emozioni e più specificamente temono.</v>
      </c>
      <c r="G532" s="6" t="str">
        <f>IFERROR(__xludf.DUMMYFUNCTION("GOOGLETRANSLATE(E532,""fr"",""it"")"),"Posso capire le emozioni e più paura in particolare.")</f>
        <v>Posso capire le emozioni e più paura in particolare.</v>
      </c>
    </row>
    <row r="533">
      <c r="A533" s="4">
        <v>531.0</v>
      </c>
      <c r="B533" s="5" t="s">
        <v>1600</v>
      </c>
      <c r="C533" s="4">
        <v>0.0</v>
      </c>
      <c r="D533" s="5" t="s">
        <v>1601</v>
      </c>
      <c r="E533" s="5" t="s">
        <v>1602</v>
      </c>
      <c r="F533" s="6" t="str">
        <f>IFERROR(__xludf.DUMMYFUNCTION("GOOGLETRANSLATE(D533,""en"",""it"")"),"A lui piace la paura, e più specificamente stupidità.")</f>
        <v>A lui piace la paura, e più specificamente stupidità.</v>
      </c>
      <c r="G533" s="6" t="str">
        <f>IFERROR(__xludf.DUMMYFUNCTION("GOOGLETRANSLATE(E533,""fr"",""it"")"),"Posso capire la paura e più in particolare la stupidità.")</f>
        <v>Posso capire la paura e più in particolare la stupidità.</v>
      </c>
    </row>
    <row r="534">
      <c r="A534" s="4">
        <v>532.0</v>
      </c>
      <c r="B534" s="5" t="s">
        <v>1603</v>
      </c>
      <c r="C534" s="4">
        <v>0.0</v>
      </c>
      <c r="D534" s="5" t="s">
        <v>1604</v>
      </c>
      <c r="E534" s="5" t="s">
        <v>1605</v>
      </c>
      <c r="F534" s="6" t="str">
        <f>IFERROR(__xludf.DUMMYFUNCTION("GOOGLETRANSLATE(D534,""en"",""it"")"),"A lui piace la stupidità, e più specificamente paura.")</f>
        <v>A lui piace la stupidità, e più specificamente paura.</v>
      </c>
      <c r="G534" s="6" t="str">
        <f>IFERROR(__xludf.DUMMYFUNCTION("GOOGLETRANSLATE(E534,""fr"",""it"")"),"Posso capire la stupidità e più paura in particolare.")</f>
        <v>Posso capire la stupidità e più paura in particolare.</v>
      </c>
    </row>
    <row r="535">
      <c r="A535" s="4">
        <v>533.0</v>
      </c>
      <c r="B535" s="5" t="s">
        <v>1606</v>
      </c>
      <c r="C535" s="4">
        <v>0.0</v>
      </c>
      <c r="D535" s="5" t="s">
        <v>1607</v>
      </c>
      <c r="E535" s="5" t="s">
        <v>1608</v>
      </c>
      <c r="F535" s="6" t="str">
        <f>IFERROR(__xludf.DUMMYFUNCTION("GOOGLETRANSLATE(D535,""en"",""it"")"),"Gli piace la paura, e più specificamente logica.")</f>
        <v>Gli piace la paura, e più specificamente logica.</v>
      </c>
      <c r="G535" s="6" t="str">
        <f>IFERROR(__xludf.DUMMYFUNCTION("GOOGLETRANSLATE(E535,""fr"",""it"")"),"Posso capire la paura e più particolarmente logica.")</f>
        <v>Posso capire la paura e più particolarmente logica.</v>
      </c>
    </row>
    <row r="536">
      <c r="A536" s="4">
        <v>534.0</v>
      </c>
      <c r="B536" s="5" t="s">
        <v>1609</v>
      </c>
      <c r="C536" s="4">
        <v>0.0</v>
      </c>
      <c r="D536" s="5" t="s">
        <v>1610</v>
      </c>
      <c r="E536" s="5" t="s">
        <v>1611</v>
      </c>
      <c r="F536" s="6" t="str">
        <f>IFERROR(__xludf.DUMMYFUNCTION("GOOGLETRANSLATE(D536,""en"",""it"")"),"Gli piace la logica, e più specificamente paura.")</f>
        <v>Gli piace la logica, e più specificamente paura.</v>
      </c>
      <c r="G536" s="6" t="str">
        <f>IFERROR(__xludf.DUMMYFUNCTION("GOOGLETRANSLATE(E536,""fr"",""it"")"),"Posso capire la logica e più paura in particolare.")</f>
        <v>Posso capire la logica e più paura in particolare.</v>
      </c>
    </row>
    <row r="537">
      <c r="A537" s="4">
        <v>535.0</v>
      </c>
      <c r="B537" s="5" t="s">
        <v>1612</v>
      </c>
      <c r="C537" s="4">
        <v>0.0</v>
      </c>
      <c r="D537" s="5" t="s">
        <v>1613</v>
      </c>
      <c r="E537" s="5" t="s">
        <v>1614</v>
      </c>
      <c r="F537" s="6" t="str">
        <f>IFERROR(__xludf.DUMMYFUNCTION("GOOGLETRANSLATE(D537,""en"",""it"")"),"A lui piace la paura, e più specificamente calcoli.")</f>
        <v>A lui piace la paura, e più specificamente calcoli.</v>
      </c>
      <c r="G537" s="6" t="str">
        <f>IFERROR(__xludf.DUMMYFUNCTION("GOOGLETRANSLATE(E537,""fr"",""it"")"),"Posso capire la paura e più in particolare i calcoli.")</f>
        <v>Posso capire la paura e più in particolare i calcoli.</v>
      </c>
    </row>
    <row r="538">
      <c r="A538" s="4">
        <v>536.0</v>
      </c>
      <c r="B538" s="5" t="s">
        <v>1615</v>
      </c>
      <c r="C538" s="4">
        <v>0.0</v>
      </c>
      <c r="D538" s="5" t="s">
        <v>1616</v>
      </c>
      <c r="E538" s="5" t="s">
        <v>1617</v>
      </c>
      <c r="F538" s="6" t="str">
        <f>IFERROR(__xludf.DUMMYFUNCTION("GOOGLETRANSLATE(D538,""en"",""it"")"),"A lui piacciono i calcoli, e più specificamente paura.")</f>
        <v>A lui piacciono i calcoli, e più specificamente paura.</v>
      </c>
      <c r="G538" s="6" t="str">
        <f>IFERROR(__xludf.DUMMYFUNCTION("GOOGLETRANSLATE(E538,""fr"",""it"")"),"Posso capire i calcoli e più paura in particolare.")</f>
        <v>Posso capire i calcoli e più paura in particolare.</v>
      </c>
    </row>
    <row r="539">
      <c r="A539" s="4">
        <v>537.0</v>
      </c>
      <c r="B539" s="5" t="s">
        <v>1618</v>
      </c>
      <c r="C539" s="4">
        <v>0.0</v>
      </c>
      <c r="D539" s="5" t="s">
        <v>1619</v>
      </c>
      <c r="E539" s="5" t="s">
        <v>1620</v>
      </c>
      <c r="F539" s="6" t="str">
        <f>IFERROR(__xludf.DUMMYFUNCTION("GOOGLETRANSLATE(D539,""en"",""it"")"),"Gli piace l'amore e più specificamente saggezza.")</f>
        <v>Gli piace l'amore e più specificamente saggezza.</v>
      </c>
      <c r="G539" s="6" t="str">
        <f>IFERROR(__xludf.DUMMYFUNCTION("GOOGLETRANSLATE(E539,""fr"",""it"")"),"Posso capire l'amore e più particolarmente saggezza.")</f>
        <v>Posso capire l'amore e più particolarmente saggezza.</v>
      </c>
    </row>
    <row r="540">
      <c r="A540" s="4">
        <v>538.0</v>
      </c>
      <c r="B540" s="5" t="s">
        <v>1621</v>
      </c>
      <c r="C540" s="4">
        <v>0.0</v>
      </c>
      <c r="D540" s="5" t="s">
        <v>1622</v>
      </c>
      <c r="E540" s="5" t="s">
        <v>1623</v>
      </c>
      <c r="F540" s="6" t="str">
        <f>IFERROR(__xludf.DUMMYFUNCTION("GOOGLETRANSLATE(D540,""en"",""it"")"),"A lui piace la saggezza, e più specificamente amore.")</f>
        <v>A lui piace la saggezza, e più specificamente amore.</v>
      </c>
      <c r="G540" s="6" t="str">
        <f>IFERROR(__xludf.DUMMYFUNCTION("GOOGLETRANSLATE(E540,""fr"",""it"")"),"Posso capire la saggezza, e più in particolare l'amore.")</f>
        <v>Posso capire la saggezza, e più in particolare l'amore.</v>
      </c>
    </row>
    <row r="541">
      <c r="A541" s="4">
        <v>539.0</v>
      </c>
      <c r="B541" s="5" t="s">
        <v>1624</v>
      </c>
      <c r="C541" s="4">
        <v>0.0</v>
      </c>
      <c r="D541" s="5" t="s">
        <v>1625</v>
      </c>
      <c r="E541" s="5" t="s">
        <v>1626</v>
      </c>
      <c r="F541" s="6" t="str">
        <f>IFERROR(__xludf.DUMMYFUNCTION("GOOGLETRANSLATE(D541,""en"",""it"")"),"Gli piace l'amore e le più specificamente emozioni.")</f>
        <v>Gli piace l'amore e le più specificamente emozioni.</v>
      </c>
      <c r="G541" s="6" t="str">
        <f>IFERROR(__xludf.DUMMYFUNCTION("GOOGLETRANSLATE(E541,""fr"",""it"")"),"Posso capire l'amore, in particolare le emozioni.")</f>
        <v>Posso capire l'amore, in particolare le emozioni.</v>
      </c>
    </row>
    <row r="542">
      <c r="A542" s="4">
        <v>540.0</v>
      </c>
      <c r="B542" s="5" t="s">
        <v>1627</v>
      </c>
      <c r="C542" s="4">
        <v>1.0</v>
      </c>
      <c r="D542" s="5" t="s">
        <v>1628</v>
      </c>
      <c r="E542" s="5" t="s">
        <v>1629</v>
      </c>
      <c r="F542" s="6" t="str">
        <f>IFERROR(__xludf.DUMMYFUNCTION("GOOGLETRANSLATE(D542,""en"",""it"")"),"Gli piace le emozioni e più specificamente amano.")</f>
        <v>Gli piace le emozioni e più specificamente amano.</v>
      </c>
      <c r="G542" s="6" t="str">
        <f>IFERROR(__xludf.DUMMYFUNCTION("GOOGLETRANSLATE(E542,""fr"",""it"")"),"Posso capire le emozioni e più in particolare l'amore.")</f>
        <v>Posso capire le emozioni e più in particolare l'amore.</v>
      </c>
    </row>
    <row r="543">
      <c r="A543" s="4">
        <v>541.0</v>
      </c>
      <c r="B543" s="5" t="s">
        <v>1630</v>
      </c>
      <c r="C543" s="4">
        <v>0.0</v>
      </c>
      <c r="D543" s="5" t="s">
        <v>1631</v>
      </c>
      <c r="E543" s="5" t="s">
        <v>1632</v>
      </c>
      <c r="F543" s="6" t="str">
        <f>IFERROR(__xludf.DUMMYFUNCTION("GOOGLETRANSLATE(D543,""en"",""it"")"),"A lui piace l'amore e più specificamente stupidità.")</f>
        <v>A lui piace l'amore e più specificamente stupidità.</v>
      </c>
      <c r="G543" s="6" t="str">
        <f>IFERROR(__xludf.DUMMYFUNCTION("GOOGLETRANSLATE(E543,""fr"",""it"")"),"Posso capire l'amore e più in particolare la stupidità.")</f>
        <v>Posso capire l'amore e più in particolare la stupidità.</v>
      </c>
    </row>
    <row r="544">
      <c r="A544" s="4">
        <v>542.0</v>
      </c>
      <c r="B544" s="5" t="s">
        <v>1633</v>
      </c>
      <c r="C544" s="4">
        <v>0.0</v>
      </c>
      <c r="D544" s="5" t="s">
        <v>1634</v>
      </c>
      <c r="E544" s="5" t="s">
        <v>1635</v>
      </c>
      <c r="F544" s="6" t="str">
        <f>IFERROR(__xludf.DUMMYFUNCTION("GOOGLETRANSLATE(D544,""en"",""it"")"),"A lui piace la stupidità, e più specificamente amore.")</f>
        <v>A lui piace la stupidità, e più specificamente amore.</v>
      </c>
      <c r="G544" s="6" t="str">
        <f>IFERROR(__xludf.DUMMYFUNCTION("GOOGLETRANSLATE(E544,""fr"",""it"")"),"Posso capire la stupidità e più in particolare l'amore.")</f>
        <v>Posso capire la stupidità e più in particolare l'amore.</v>
      </c>
    </row>
    <row r="545">
      <c r="A545" s="4">
        <v>543.0</v>
      </c>
      <c r="B545" s="5" t="s">
        <v>1636</v>
      </c>
      <c r="C545" s="4">
        <v>0.0</v>
      </c>
      <c r="D545" s="5" t="s">
        <v>1637</v>
      </c>
      <c r="E545" s="5" t="s">
        <v>1638</v>
      </c>
      <c r="F545" s="6" t="str">
        <f>IFERROR(__xludf.DUMMYFUNCTION("GOOGLETRANSLATE(D545,""en"",""it"")"),"A lui piace l'amore e più specificamente logico.")</f>
        <v>A lui piace l'amore e più specificamente logico.</v>
      </c>
      <c r="G545" s="6" t="str">
        <f>IFERROR(__xludf.DUMMYFUNCTION("GOOGLETRANSLATE(E545,""fr"",""it"")"),"Posso capire l'amore e più particolarmente logico.")</f>
        <v>Posso capire l'amore e più particolarmente logico.</v>
      </c>
    </row>
    <row r="546">
      <c r="A546" s="4">
        <v>544.0</v>
      </c>
      <c r="B546" s="5" t="s">
        <v>1639</v>
      </c>
      <c r="C546" s="4">
        <v>0.0</v>
      </c>
      <c r="D546" s="5" t="s">
        <v>1640</v>
      </c>
      <c r="E546" s="5" t="s">
        <v>1641</v>
      </c>
      <c r="F546" s="6" t="str">
        <f>IFERROR(__xludf.DUMMYFUNCTION("GOOGLETRANSLATE(D546,""en"",""it"")"),"A lui piace la logica, e più specificamente amore.")</f>
        <v>A lui piace la logica, e più specificamente amore.</v>
      </c>
      <c r="G546" s="6" t="str">
        <f>IFERROR(__xludf.DUMMYFUNCTION("GOOGLETRANSLATE(E546,""fr"",""it"")"),"Posso capire la logica e più in particolare l'amore.")</f>
        <v>Posso capire la logica e più in particolare l'amore.</v>
      </c>
    </row>
    <row r="547">
      <c r="A547" s="4">
        <v>545.0</v>
      </c>
      <c r="B547" s="5" t="s">
        <v>1642</v>
      </c>
      <c r="C547" s="4">
        <v>0.0</v>
      </c>
      <c r="D547" s="5" t="s">
        <v>1643</v>
      </c>
      <c r="E547" s="5" t="s">
        <v>1644</v>
      </c>
      <c r="F547" s="6" t="str">
        <f>IFERROR(__xludf.DUMMYFUNCTION("GOOGLETRANSLATE(D547,""en"",""it"")"),"Gli piace l'amore e più specificamente calcoli.")</f>
        <v>Gli piace l'amore e più specificamente calcoli.</v>
      </c>
      <c r="G547" s="6" t="str">
        <f>IFERROR(__xludf.DUMMYFUNCTION("GOOGLETRANSLATE(E547,""fr"",""it"")"),"Posso capire l'amore e più in particolare i calcoli.")</f>
        <v>Posso capire l'amore e più in particolare i calcoli.</v>
      </c>
    </row>
    <row r="548">
      <c r="A548" s="4">
        <v>546.0</v>
      </c>
      <c r="B548" s="5" t="s">
        <v>1645</v>
      </c>
      <c r="C548" s="4">
        <v>0.0</v>
      </c>
      <c r="D548" s="5" t="s">
        <v>1646</v>
      </c>
      <c r="E548" s="5" t="s">
        <v>1647</v>
      </c>
      <c r="F548" s="6" t="str">
        <f>IFERROR(__xludf.DUMMYFUNCTION("GOOGLETRANSLATE(D548,""en"",""it"")"),"Gli piace i calcoli, e più specificamente amore.")</f>
        <v>Gli piace i calcoli, e più specificamente amore.</v>
      </c>
      <c r="G548" s="6" t="str">
        <f>IFERROR(__xludf.DUMMYFUNCTION("GOOGLETRANSLATE(E548,""fr"",""it"")"),"Posso capire i calcoli e più in particolare l'amore.")</f>
        <v>Posso capire i calcoli e più in particolare l'amore.</v>
      </c>
    </row>
    <row r="549">
      <c r="A549" s="4">
        <v>547.0</v>
      </c>
      <c r="B549" s="5" t="s">
        <v>1648</v>
      </c>
      <c r="C549" s="4">
        <v>0.0</v>
      </c>
      <c r="D549" s="5" t="s">
        <v>1649</v>
      </c>
      <c r="E549" s="5" t="s">
        <v>1650</v>
      </c>
      <c r="F549" s="6" t="str">
        <f>IFERROR(__xludf.DUMMYFUNCTION("GOOGLETRANSLATE(D549,""en"",""it"")"),"A lui piace la tristezza e più specificamente saggezza.")</f>
        <v>A lui piace la tristezza e più specificamente saggezza.</v>
      </c>
      <c r="G549" s="6" t="str">
        <f>IFERROR(__xludf.DUMMYFUNCTION("GOOGLETRANSLATE(E549,""fr"",""it"")"),"Posso capire la tristezza e più particolarmente la saggezza.")</f>
        <v>Posso capire la tristezza e più particolarmente la saggezza.</v>
      </c>
    </row>
    <row r="550">
      <c r="A550" s="4">
        <v>548.0</v>
      </c>
      <c r="B550" s="5" t="s">
        <v>1651</v>
      </c>
      <c r="C550" s="4">
        <v>0.0</v>
      </c>
      <c r="D550" s="5" t="s">
        <v>1652</v>
      </c>
      <c r="E550" s="5" t="s">
        <v>1653</v>
      </c>
      <c r="F550" s="6" t="str">
        <f>IFERROR(__xludf.DUMMYFUNCTION("GOOGLETRANSLATE(D550,""en"",""it"")"),"A lui piace la saggezza e più specificamente tristezza.")</f>
        <v>A lui piace la saggezza e più specificamente tristezza.</v>
      </c>
      <c r="G550" s="6" t="str">
        <f>IFERROR(__xludf.DUMMYFUNCTION("GOOGLETRANSLATE(E550,""fr"",""it"")"),"Posso capire la saggezza e più particolarmente tristezza.")</f>
        <v>Posso capire la saggezza e più particolarmente tristezza.</v>
      </c>
    </row>
    <row r="551">
      <c r="A551" s="4">
        <v>549.0</v>
      </c>
      <c r="B551" s="5" t="s">
        <v>1654</v>
      </c>
      <c r="C551" s="4">
        <v>0.0</v>
      </c>
      <c r="D551" s="5" t="s">
        <v>1655</v>
      </c>
      <c r="E551" s="5" t="s">
        <v>1656</v>
      </c>
      <c r="F551" s="6" t="str">
        <f>IFERROR(__xludf.DUMMYFUNCTION("GOOGLETRANSLATE(D551,""en"",""it"")"),"A lui piace la tristezza e più specificamente emozioni.")</f>
        <v>A lui piace la tristezza e più specificamente emozioni.</v>
      </c>
      <c r="G551" s="6" t="str">
        <f>IFERROR(__xludf.DUMMYFUNCTION("GOOGLETRANSLATE(E551,""fr"",""it"")"),"Posso capire la tristezza e più emozioni in particolare.")</f>
        <v>Posso capire la tristezza e più emozioni in particolare.</v>
      </c>
    </row>
    <row r="552">
      <c r="A552" s="4">
        <v>550.0</v>
      </c>
      <c r="B552" s="5" t="s">
        <v>1657</v>
      </c>
      <c r="C552" s="4">
        <v>1.0</v>
      </c>
      <c r="D552" s="5" t="s">
        <v>1658</v>
      </c>
      <c r="E552" s="5" t="s">
        <v>1659</v>
      </c>
      <c r="F552" s="6" t="str">
        <f>IFERROR(__xludf.DUMMYFUNCTION("GOOGLETRANSLATE(D552,""en"",""it"")"),"A lui piace le emozioni e più specificamente tristezza.")</f>
        <v>A lui piace le emozioni e più specificamente tristezza.</v>
      </c>
      <c r="G552" s="6" t="str">
        <f>IFERROR(__xludf.DUMMYFUNCTION("GOOGLETRANSLATE(E552,""fr"",""it"")"),"Posso capire le emozioni e più particolarmente tristezza.")</f>
        <v>Posso capire le emozioni e più particolarmente tristezza.</v>
      </c>
    </row>
    <row r="553">
      <c r="A553" s="4">
        <v>551.0</v>
      </c>
      <c r="B553" s="5" t="s">
        <v>1660</v>
      </c>
      <c r="C553" s="4">
        <v>0.0</v>
      </c>
      <c r="D553" s="5" t="s">
        <v>1661</v>
      </c>
      <c r="E553" s="5" t="s">
        <v>1662</v>
      </c>
      <c r="F553" s="6" t="str">
        <f>IFERROR(__xludf.DUMMYFUNCTION("GOOGLETRANSLATE(D553,""en"",""it"")"),"A lui piace la tristezza e più specificamente stupidità.")</f>
        <v>A lui piace la tristezza e più specificamente stupidità.</v>
      </c>
      <c r="G553" s="6" t="str">
        <f>IFERROR(__xludf.DUMMYFUNCTION("GOOGLETRANSLATE(E553,""fr"",""it"")"),"Posso capire la tristezza e più in particolare la stupidità.")</f>
        <v>Posso capire la tristezza e più in particolare la stupidità.</v>
      </c>
    </row>
    <row r="554">
      <c r="A554" s="4">
        <v>552.0</v>
      </c>
      <c r="B554" s="5" t="s">
        <v>1663</v>
      </c>
      <c r="C554" s="4">
        <v>0.0</v>
      </c>
      <c r="D554" s="5" t="s">
        <v>1664</v>
      </c>
      <c r="E554" s="5" t="s">
        <v>1665</v>
      </c>
      <c r="F554" s="6" t="str">
        <f>IFERROR(__xludf.DUMMYFUNCTION("GOOGLETRANSLATE(D554,""en"",""it"")"),"A lui piace la stupidità e più specificamente tristezza.")</f>
        <v>A lui piace la stupidità e più specificamente tristezza.</v>
      </c>
      <c r="G554" s="6" t="str">
        <f>IFERROR(__xludf.DUMMYFUNCTION("GOOGLETRANSLATE(E554,""fr"",""it"")"),"Posso capire la stupidità e più particolarmente tristezza.")</f>
        <v>Posso capire la stupidità e più particolarmente tristezza.</v>
      </c>
    </row>
    <row r="555">
      <c r="A555" s="4">
        <v>553.0</v>
      </c>
      <c r="B555" s="5" t="s">
        <v>1666</v>
      </c>
      <c r="C555" s="4">
        <v>0.0</v>
      </c>
      <c r="D555" s="5" t="s">
        <v>1667</v>
      </c>
      <c r="E555" s="5" t="s">
        <v>1668</v>
      </c>
      <c r="F555" s="6" t="str">
        <f>IFERROR(__xludf.DUMMYFUNCTION("GOOGLETRANSLATE(D555,""en"",""it"")"),"A lui piace la tristezza e più specificamente logica.")</f>
        <v>A lui piace la tristezza e più specificamente logica.</v>
      </c>
      <c r="G555" s="6" t="str">
        <f>IFERROR(__xludf.DUMMYFUNCTION("GOOGLETRANSLATE(E555,""fr"",""it"")"),"Posso capire la tristezza e più particolarmente logica.")</f>
        <v>Posso capire la tristezza e più particolarmente logica.</v>
      </c>
    </row>
    <row r="556">
      <c r="A556" s="4">
        <v>554.0</v>
      </c>
      <c r="B556" s="5" t="s">
        <v>1669</v>
      </c>
      <c r="C556" s="4">
        <v>0.0</v>
      </c>
      <c r="D556" s="5" t="s">
        <v>1670</v>
      </c>
      <c r="E556" s="5" t="s">
        <v>1671</v>
      </c>
      <c r="F556" s="6" t="str">
        <f>IFERROR(__xludf.DUMMYFUNCTION("GOOGLETRANSLATE(D556,""en"",""it"")"),"A lui piace la logica e più specificamente tristezza.")</f>
        <v>A lui piace la logica e più specificamente tristezza.</v>
      </c>
      <c r="G556" s="6" t="str">
        <f>IFERROR(__xludf.DUMMYFUNCTION("GOOGLETRANSLATE(E556,""fr"",""it"")"),"Posso capire la logica e più tristezza in particolare.")</f>
        <v>Posso capire la logica e più tristezza in particolare.</v>
      </c>
    </row>
    <row r="557">
      <c r="A557" s="4">
        <v>555.0</v>
      </c>
      <c r="B557" s="5" t="s">
        <v>1672</v>
      </c>
      <c r="C557" s="4">
        <v>0.0</v>
      </c>
      <c r="D557" s="5" t="s">
        <v>1673</v>
      </c>
      <c r="E557" s="5" t="s">
        <v>1674</v>
      </c>
      <c r="F557" s="6" t="str">
        <f>IFERROR(__xludf.DUMMYFUNCTION("GOOGLETRANSLATE(D557,""en"",""it"")"),"A lui piace la tristezza e più specificamente i calcoli.")</f>
        <v>A lui piace la tristezza e più specificamente i calcoli.</v>
      </c>
      <c r="G557" s="6" t="str">
        <f>IFERROR(__xludf.DUMMYFUNCTION("GOOGLETRANSLATE(E557,""fr"",""it"")"),"Posso capire la tristezza e più in particolare i calcoli.")</f>
        <v>Posso capire la tristezza e più in particolare i calcoli.</v>
      </c>
    </row>
    <row r="558">
      <c r="A558" s="4">
        <v>556.0</v>
      </c>
      <c r="B558" s="5" t="s">
        <v>1675</v>
      </c>
      <c r="C558" s="4">
        <v>0.0</v>
      </c>
      <c r="D558" s="5" t="s">
        <v>1676</v>
      </c>
      <c r="E558" s="5" t="s">
        <v>1677</v>
      </c>
      <c r="F558" s="6" t="str">
        <f>IFERROR(__xludf.DUMMYFUNCTION("GOOGLETRANSLATE(D558,""en"",""it"")"),"Gli piace i calcoli e più specificamente tristezza.")</f>
        <v>Gli piace i calcoli e più specificamente tristezza.</v>
      </c>
      <c r="G558" s="6" t="str">
        <f>IFERROR(__xludf.DUMMYFUNCTION("GOOGLETRANSLATE(E558,""fr"",""it"")"),"Posso capire i calcoli e più particolarmente tristezza.")</f>
        <v>Posso capire i calcoli e più particolarmente tristezza.</v>
      </c>
    </row>
    <row r="559">
      <c r="A559" s="4">
        <v>557.0</v>
      </c>
      <c r="B559" s="5" t="s">
        <v>1678</v>
      </c>
      <c r="C559" s="4">
        <v>0.0</v>
      </c>
      <c r="D559" s="5" t="s">
        <v>1679</v>
      </c>
      <c r="E559" s="5" t="s">
        <v>1680</v>
      </c>
      <c r="F559" s="6" t="str">
        <f>IFERROR(__xludf.DUMMYFUNCTION("GOOGLETRANSLATE(D559,""en"",""it"")"),"Mi piacciono i libri di testo e più specificamente musica.")</f>
        <v>Mi piacciono i libri di testo e più specificamente musica.</v>
      </c>
      <c r="G559" s="6" t="str">
        <f>IFERROR(__xludf.DUMMYFUNCTION("GOOGLETRANSLATE(E559,""fr"",""it"")"),"Mi piacciono i libri di testo, specialmente la musica.")</f>
        <v>Mi piacciono i libri di testo, specialmente la musica.</v>
      </c>
    </row>
    <row r="560">
      <c r="A560" s="4">
        <v>558.0</v>
      </c>
      <c r="B560" s="5" t="s">
        <v>1681</v>
      </c>
      <c r="C560" s="4">
        <v>0.0</v>
      </c>
      <c r="D560" s="5" t="s">
        <v>1682</v>
      </c>
      <c r="E560" s="5" t="s">
        <v>1683</v>
      </c>
      <c r="F560" s="6" t="str">
        <f>IFERROR(__xludf.DUMMYFUNCTION("GOOGLETRANSLATE(D560,""en"",""it"")"),"Mi piace la musica e più specificamente i libri di testo.")</f>
        <v>Mi piace la musica e più specificamente i libri di testo.</v>
      </c>
      <c r="G560" s="6" t="str">
        <f>IFERROR(__xludf.DUMMYFUNCTION("GOOGLETRANSLATE(E560,""fr"",""it"")"),"Mi piace la musica, in particolare i libri di testo.")</f>
        <v>Mi piace la musica, in particolare i libri di testo.</v>
      </c>
    </row>
    <row r="561">
      <c r="A561" s="4">
        <v>559.0</v>
      </c>
      <c r="B561" s="5" t="s">
        <v>1684</v>
      </c>
      <c r="C561" s="4">
        <v>0.0</v>
      </c>
      <c r="D561" s="5" t="s">
        <v>1685</v>
      </c>
      <c r="E561" s="5" t="s">
        <v>1686</v>
      </c>
      <c r="F561" s="6" t="str">
        <f>IFERROR(__xludf.DUMMYFUNCTION("GOOGLETRANSLATE(D561,""en"",""it"")"),"Mi piacciono i libri di testo e più specificamente libri.")</f>
        <v>Mi piacciono i libri di testo e più specificamente libri.</v>
      </c>
      <c r="G561" s="6" t="str">
        <f>IFERROR(__xludf.DUMMYFUNCTION("GOOGLETRANSLATE(E561,""fr"",""it"")"),"Mi piacciono i libri di testo scolastici e più in particolare i libri.")</f>
        <v>Mi piacciono i libri di testo scolastici e più in particolare i libri.</v>
      </c>
    </row>
    <row r="562">
      <c r="A562" s="4">
        <v>560.0</v>
      </c>
      <c r="B562" s="5" t="s">
        <v>1687</v>
      </c>
      <c r="C562" s="4">
        <v>1.0</v>
      </c>
      <c r="D562" s="5" t="s">
        <v>1688</v>
      </c>
      <c r="E562" s="5" t="s">
        <v>1689</v>
      </c>
      <c r="F562" s="6" t="str">
        <f>IFERROR(__xludf.DUMMYFUNCTION("GOOGLETRANSLATE(D562,""en"",""it"")"),"Mi piacciono i libri e più specificamente i libri di testo.")</f>
        <v>Mi piacciono i libri e più specificamente i libri di testo.</v>
      </c>
      <c r="G562" s="6" t="str">
        <f>IFERROR(__xludf.DUMMYFUNCTION("GOOGLETRANSLATE(E562,""fr"",""it"")"),"Mi piacciono i libri, specialmente i libri di testo.")</f>
        <v>Mi piacciono i libri, specialmente i libri di testo.</v>
      </c>
    </row>
    <row r="563">
      <c r="A563" s="4">
        <v>561.0</v>
      </c>
      <c r="B563" s="5" t="s">
        <v>1690</v>
      </c>
      <c r="C563" s="4">
        <v>0.0</v>
      </c>
      <c r="D563" s="5" t="s">
        <v>1691</v>
      </c>
      <c r="E563" s="5" t="s">
        <v>1692</v>
      </c>
      <c r="F563" s="6" t="str">
        <f>IFERROR(__xludf.DUMMYFUNCTION("GOOGLETRANSLATE(D563,""en"",""it"")"),"Mi piacciono i libri, e più specificamente musica.")</f>
        <v>Mi piacciono i libri, e più specificamente musica.</v>
      </c>
      <c r="G563" s="6" t="str">
        <f>IFERROR(__xludf.DUMMYFUNCTION("GOOGLETRANSLATE(E563,""fr"",""it"")"),"Mi piacciono i libri, specialmente la musica.")</f>
        <v>Mi piacciono i libri, specialmente la musica.</v>
      </c>
    </row>
    <row r="564">
      <c r="A564" s="4">
        <v>562.0</v>
      </c>
      <c r="B564" s="5" t="s">
        <v>1693</v>
      </c>
      <c r="C564" s="4">
        <v>0.0</v>
      </c>
      <c r="D564" s="5" t="s">
        <v>1694</v>
      </c>
      <c r="E564" s="5" t="s">
        <v>1695</v>
      </c>
      <c r="F564" s="6" t="str">
        <f>IFERROR(__xludf.DUMMYFUNCTION("GOOGLETRANSLATE(D564,""en"",""it"")"),"Mi piacciono i libri di testo e più in particolare film.")</f>
        <v>Mi piacciono i libri di testo e più in particolare film.</v>
      </c>
      <c r="G564" s="6" t="str">
        <f>IFERROR(__xludf.DUMMYFUNCTION("GOOGLETRANSLATE(E564,""fr"",""it"")"),"Mi piacciono i libri di testo, in particolare il cinema.")</f>
        <v>Mi piacciono i libri di testo, in particolare il cinema.</v>
      </c>
    </row>
    <row r="565">
      <c r="A565" s="4">
        <v>563.0</v>
      </c>
      <c r="B565" s="5" t="s">
        <v>1696</v>
      </c>
      <c r="C565" s="4">
        <v>0.0</v>
      </c>
      <c r="D565" s="5" t="s">
        <v>1697</v>
      </c>
      <c r="E565" s="5" t="s">
        <v>1698</v>
      </c>
      <c r="F565" s="6" t="str">
        <f>IFERROR(__xludf.DUMMYFUNCTION("GOOGLETRANSLATE(D565,""en"",""it"")"),"Mi piacciono i film, e più specificamente i libri di testo.")</f>
        <v>Mi piacciono i film, e più specificamente i libri di testo.</v>
      </c>
      <c r="G565" s="6" t="str">
        <f>IFERROR(__xludf.DUMMYFUNCTION("GOOGLETRANSLATE(E565,""fr"",""it"")"),"Amo il cinema e i libri di testo più scolastici in particolare.")</f>
        <v>Amo il cinema e i libri di testo più scolastici in particolare.</v>
      </c>
    </row>
    <row r="566">
      <c r="A566" s="4">
        <v>564.0</v>
      </c>
      <c r="B566" s="5" t="s">
        <v>1699</v>
      </c>
      <c r="C566" s="4">
        <v>0.0</v>
      </c>
      <c r="D566" s="5" t="s">
        <v>1700</v>
      </c>
      <c r="E566" s="5" t="s">
        <v>1701</v>
      </c>
      <c r="F566" s="6" t="str">
        <f>IFERROR(__xludf.DUMMYFUNCTION("GOOGLETRANSLATE(D566,""en"",""it"")"),"Mi piacciono i libri e più in particolare i film.")</f>
        <v>Mi piacciono i libri e più in particolare i film.</v>
      </c>
      <c r="G566" s="6" t="str">
        <f>IFERROR(__xludf.DUMMYFUNCTION("GOOGLETRANSLATE(E566,""fr"",""it"")"),"Mi piacciono i libri, in particolare il cinema.")</f>
        <v>Mi piacciono i libri, in particolare il cinema.</v>
      </c>
    </row>
    <row r="567">
      <c r="A567" s="4">
        <v>565.0</v>
      </c>
      <c r="B567" s="5" t="s">
        <v>1702</v>
      </c>
      <c r="C567" s="4">
        <v>0.0</v>
      </c>
      <c r="D567" s="5" t="s">
        <v>1703</v>
      </c>
      <c r="E567" s="5" t="s">
        <v>1704</v>
      </c>
      <c r="F567" s="6" t="str">
        <f>IFERROR(__xludf.DUMMYFUNCTION("GOOGLETRANSLATE(D567,""en"",""it"")"),"Mi piacciono i libri di testo e più specificamente i cartoni animati.")</f>
        <v>Mi piacciono i libri di testo e più specificamente i cartoni animati.</v>
      </c>
      <c r="G567" s="6" t="str">
        <f>IFERROR(__xludf.DUMMYFUNCTION("GOOGLETRANSLATE(E567,""fr"",""it"")"),"Mi piacciono i libri di testo e più cartoni animati in particolare.")</f>
        <v>Mi piacciono i libri di testo e più cartoni animati in particolare.</v>
      </c>
    </row>
    <row r="568">
      <c r="A568" s="4">
        <v>566.0</v>
      </c>
      <c r="B568" s="5" t="s">
        <v>1705</v>
      </c>
      <c r="C568" s="4">
        <v>0.0</v>
      </c>
      <c r="D568" s="5" t="s">
        <v>1706</v>
      </c>
      <c r="E568" s="5" t="s">
        <v>1707</v>
      </c>
      <c r="F568" s="6" t="str">
        <f>IFERROR(__xludf.DUMMYFUNCTION("GOOGLETRANSLATE(D568,""en"",""it"")"),"Mi piacciono i cartoni animati e più specificamente i libri di testo.")</f>
        <v>Mi piacciono i cartoni animati e più specificamente i libri di testo.</v>
      </c>
      <c r="G568" s="6" t="str">
        <f>IFERROR(__xludf.DUMMYFUNCTION("GOOGLETRANSLATE(E568,""fr"",""it"")"),"Mi piacciono i cartoni animati, in particolare i libri di testo.")</f>
        <v>Mi piacciono i cartoni animati, in particolare i libri di testo.</v>
      </c>
    </row>
    <row r="569">
      <c r="A569" s="4">
        <v>567.0</v>
      </c>
      <c r="B569" s="5" t="s">
        <v>1708</v>
      </c>
      <c r="C569" s="4">
        <v>0.0</v>
      </c>
      <c r="D569" s="5" t="s">
        <v>1709</v>
      </c>
      <c r="E569" s="5" t="s">
        <v>1710</v>
      </c>
      <c r="F569" s="6" t="str">
        <f>IFERROR(__xludf.DUMMYFUNCTION("GOOGLETRANSLATE(D569,""en"",""it"")"),"Mi piacciono i libri e più specificamente i cartoni animati.")</f>
        <v>Mi piacciono i libri e più specificamente i cartoni animati.</v>
      </c>
      <c r="G569" s="6" t="str">
        <f>IFERROR(__xludf.DUMMYFUNCTION("GOOGLETRANSLATE(E569,""fr"",""it"")"),"Mi piacciono i libri e più cartoni animati in particolare.")</f>
        <v>Mi piacciono i libri e più cartoni animati in particolare.</v>
      </c>
    </row>
    <row r="570">
      <c r="A570" s="4">
        <v>568.0</v>
      </c>
      <c r="B570" s="5" t="s">
        <v>1711</v>
      </c>
      <c r="C570" s="4">
        <v>0.0</v>
      </c>
      <c r="D570" s="5" t="s">
        <v>1712</v>
      </c>
      <c r="E570" s="5" t="s">
        <v>1713</v>
      </c>
      <c r="F570" s="6" t="str">
        <f>IFERROR(__xludf.DUMMYFUNCTION("GOOGLETRANSLATE(D570,""en"",""it"")"),"Mi piacciono i libri di testo, e più specificamente dipinti.")</f>
        <v>Mi piacciono i libri di testo, e più specificamente dipinti.</v>
      </c>
      <c r="G570" s="6" t="str">
        <f>IFERROR(__xludf.DUMMYFUNCTION("GOOGLETRANSLATE(E570,""fr"",""it"")"),"Mi piacciono i libri di testo scolastici e più dipinti in particolare.")</f>
        <v>Mi piacciono i libri di testo scolastici e più dipinti in particolare.</v>
      </c>
    </row>
    <row r="571">
      <c r="A571" s="4">
        <v>569.0</v>
      </c>
      <c r="B571" s="5" t="s">
        <v>1714</v>
      </c>
      <c r="C571" s="4">
        <v>0.0</v>
      </c>
      <c r="D571" s="5" t="s">
        <v>1715</v>
      </c>
      <c r="E571" s="5" t="s">
        <v>1716</v>
      </c>
      <c r="F571" s="6" t="str">
        <f>IFERROR(__xludf.DUMMYFUNCTION("GOOGLETRANSLATE(D571,""en"",""it"")"),"Mi piacciono i dipinti e più specificamente i libri di testo.")</f>
        <v>Mi piacciono i dipinti e più specificamente i libri di testo.</v>
      </c>
      <c r="G571" s="6" t="str">
        <f>IFERROR(__xludf.DUMMYFUNCTION("GOOGLETRANSLATE(E571,""fr"",""it"")"),"Amo i dipinti, in particolare i libri di testo.")</f>
        <v>Amo i dipinti, in particolare i libri di testo.</v>
      </c>
    </row>
    <row r="572">
      <c r="A572" s="4">
        <v>570.0</v>
      </c>
      <c r="B572" s="5" t="s">
        <v>1717</v>
      </c>
      <c r="C572" s="4">
        <v>0.0</v>
      </c>
      <c r="D572" s="5" t="s">
        <v>1718</v>
      </c>
      <c r="E572" s="5" t="s">
        <v>1719</v>
      </c>
      <c r="F572" s="6" t="str">
        <f>IFERROR(__xludf.DUMMYFUNCTION("GOOGLETRANSLATE(D572,""en"",""it"")"),"Mi piacciono i libri e più specificamente dipinti.")</f>
        <v>Mi piacciono i libri e più specificamente dipinti.</v>
      </c>
      <c r="G572" s="6" t="str">
        <f>IFERROR(__xludf.DUMMYFUNCTION("GOOGLETRANSLATE(E572,""fr"",""it"")"),"Mi piacciono i libri e più in particolare i dipinti.")</f>
        <v>Mi piacciono i libri e più in particolare i dipinti.</v>
      </c>
    </row>
    <row r="573">
      <c r="A573" s="4">
        <v>571.0</v>
      </c>
      <c r="B573" s="5" t="s">
        <v>1720</v>
      </c>
      <c r="C573" s="4">
        <v>0.0</v>
      </c>
      <c r="D573" s="5" t="s">
        <v>1721</v>
      </c>
      <c r="E573" s="5" t="s">
        <v>1722</v>
      </c>
      <c r="F573" s="6" t="str">
        <f>IFERROR(__xludf.DUMMYFUNCTION("GOOGLETRANSLATE(D573,""en"",""it"")"),"Mi piacciono i saggi, e più specificamente musica.")</f>
        <v>Mi piacciono i saggi, e più specificamente musica.</v>
      </c>
      <c r="G573" s="6" t="str">
        <f>IFERROR(__xludf.DUMMYFUNCTION("GOOGLETRANSLATE(E573,""fr"",""it"")"),"Mi piacciono i test, specialmente la musica.")</f>
        <v>Mi piacciono i test, specialmente la musica.</v>
      </c>
    </row>
    <row r="574">
      <c r="A574" s="4">
        <v>572.0</v>
      </c>
      <c r="B574" s="5" t="s">
        <v>1723</v>
      </c>
      <c r="C574" s="4">
        <v>0.0</v>
      </c>
      <c r="D574" s="5" t="s">
        <v>1724</v>
      </c>
      <c r="E574" s="5" t="s">
        <v>1725</v>
      </c>
      <c r="F574" s="6" t="str">
        <f>IFERROR(__xludf.DUMMYFUNCTION("GOOGLETRANSLATE(D574,""en"",""it"")"),"Mi piace la musica e più specificamente saggi.")</f>
        <v>Mi piace la musica e più specificamente saggi.</v>
      </c>
      <c r="G574" s="6" t="str">
        <f>IFERROR(__xludf.DUMMYFUNCTION("GOOGLETRANSLATE(E574,""fr"",""it"")"),"Mi piace la musica e più in particolare i test.")</f>
        <v>Mi piace la musica e più in particolare i test.</v>
      </c>
    </row>
    <row r="575">
      <c r="A575" s="4">
        <v>573.0</v>
      </c>
      <c r="B575" s="5" t="s">
        <v>1726</v>
      </c>
      <c r="C575" s="4">
        <v>0.0</v>
      </c>
      <c r="D575" s="5" t="s">
        <v>1727</v>
      </c>
      <c r="E575" s="5" t="s">
        <v>1728</v>
      </c>
      <c r="F575" s="6" t="str">
        <f>IFERROR(__xludf.DUMMYFUNCTION("GOOGLETRANSLATE(D575,""en"",""it"")"),"Mi piacciono i saggi, e più specificamente libri.")</f>
        <v>Mi piacciono i saggi, e più specificamente libri.</v>
      </c>
      <c r="G575" s="6" t="str">
        <f>IFERROR(__xludf.DUMMYFUNCTION("GOOGLETRANSLATE(E575,""fr"",""it"")"),"Mi piacciono i test e più in particolare i libri.")</f>
        <v>Mi piacciono i test e più in particolare i libri.</v>
      </c>
    </row>
    <row r="576">
      <c r="A576" s="4">
        <v>574.0</v>
      </c>
      <c r="B576" s="5" t="s">
        <v>1729</v>
      </c>
      <c r="C576" s="4">
        <v>1.0</v>
      </c>
      <c r="D576" s="5" t="s">
        <v>1730</v>
      </c>
      <c r="E576" s="5" t="s">
        <v>1731</v>
      </c>
      <c r="F576" s="6" t="str">
        <f>IFERROR(__xludf.DUMMYFUNCTION("GOOGLETRANSLATE(D576,""en"",""it"")"),"Mi piacciono i libri, e più specificamente saggi.")</f>
        <v>Mi piacciono i libri, e più specificamente saggi.</v>
      </c>
      <c r="G576" s="6" t="str">
        <f>IFERROR(__xludf.DUMMYFUNCTION("GOOGLETRANSLATE(E576,""fr"",""it"")"),"Mi piacciono i libri e più in particolare i test.")</f>
        <v>Mi piacciono i libri e più in particolare i test.</v>
      </c>
    </row>
    <row r="577">
      <c r="A577" s="4">
        <v>575.0</v>
      </c>
      <c r="B577" s="5" t="s">
        <v>1732</v>
      </c>
      <c r="C577" s="4">
        <v>0.0</v>
      </c>
      <c r="D577" s="5" t="s">
        <v>1733</v>
      </c>
      <c r="E577" s="5" t="s">
        <v>1734</v>
      </c>
      <c r="F577" s="6" t="str">
        <f>IFERROR(__xludf.DUMMYFUNCTION("GOOGLETRANSLATE(D577,""en"",""it"")"),"Mi piacciono i saggi, e più in particolare film.")</f>
        <v>Mi piacciono i saggi, e più in particolare film.</v>
      </c>
      <c r="G577" s="6" t="str">
        <f>IFERROR(__xludf.DUMMYFUNCTION("GOOGLETRANSLATE(E577,""fr"",""it"")"),"Amo i test, e più in particolare il cinema.")</f>
        <v>Amo i test, e più in particolare il cinema.</v>
      </c>
    </row>
    <row r="578">
      <c r="A578" s="4">
        <v>576.0</v>
      </c>
      <c r="B578" s="5" t="s">
        <v>1735</v>
      </c>
      <c r="C578" s="4">
        <v>0.0</v>
      </c>
      <c r="D578" s="5" t="s">
        <v>1736</v>
      </c>
      <c r="E578" s="5" t="s">
        <v>1737</v>
      </c>
      <c r="F578" s="6" t="str">
        <f>IFERROR(__xludf.DUMMYFUNCTION("GOOGLETRANSLATE(D578,""en"",""it"")"),"Mi piacciono i film e più specificamente saggi.")</f>
        <v>Mi piacciono i film e più specificamente saggi.</v>
      </c>
      <c r="G578" s="6" t="str">
        <f>IFERROR(__xludf.DUMMYFUNCTION("GOOGLETRANSLATE(E578,""fr"",""it"")"),"Amo il cinema e più in particolare i test.")</f>
        <v>Amo il cinema e più in particolare i test.</v>
      </c>
    </row>
    <row r="579">
      <c r="A579" s="4">
        <v>577.0</v>
      </c>
      <c r="B579" s="5" t="s">
        <v>1738</v>
      </c>
      <c r="C579" s="4">
        <v>0.0</v>
      </c>
      <c r="D579" s="5" t="s">
        <v>1739</v>
      </c>
      <c r="E579" s="5" t="s">
        <v>1740</v>
      </c>
      <c r="F579" s="6" t="str">
        <f>IFERROR(__xludf.DUMMYFUNCTION("GOOGLETRANSLATE(D579,""en"",""it"")"),"Mi piacciono i saggi e più specificamente i cartoni animati.")</f>
        <v>Mi piacciono i saggi e più specificamente i cartoni animati.</v>
      </c>
      <c r="G579" s="6" t="str">
        <f>IFERROR(__xludf.DUMMYFUNCTION("GOOGLETRANSLATE(E579,""fr"",""it"")"),"Mi piacciono i test e più in particolare i cartoni animati.")</f>
        <v>Mi piacciono i test e più in particolare i cartoni animati.</v>
      </c>
    </row>
    <row r="580">
      <c r="A580" s="4">
        <v>578.0</v>
      </c>
      <c r="B580" s="5" t="s">
        <v>1741</v>
      </c>
      <c r="C580" s="4">
        <v>0.0</v>
      </c>
      <c r="D580" s="5" t="s">
        <v>1742</v>
      </c>
      <c r="E580" s="5" t="s">
        <v>1743</v>
      </c>
      <c r="F580" s="6" t="str">
        <f>IFERROR(__xludf.DUMMYFUNCTION("GOOGLETRANSLATE(D580,""en"",""it"")"),"Mi piacciono i cartoni animati e più specificamente saggi.")</f>
        <v>Mi piacciono i cartoni animati e più specificamente saggi.</v>
      </c>
      <c r="G580" s="6" t="str">
        <f>IFERROR(__xludf.DUMMYFUNCTION("GOOGLETRANSLATE(E580,""fr"",""it"")"),"Mi piacciono i cartoni animati, in particolare i test.")</f>
        <v>Mi piacciono i cartoni animati, in particolare i test.</v>
      </c>
    </row>
    <row r="581">
      <c r="A581" s="4">
        <v>579.0</v>
      </c>
      <c r="B581" s="5" t="s">
        <v>1744</v>
      </c>
      <c r="C581" s="4">
        <v>0.0</v>
      </c>
      <c r="D581" s="5" t="s">
        <v>1745</v>
      </c>
      <c r="E581" s="5" t="s">
        <v>1746</v>
      </c>
      <c r="F581" s="6" t="str">
        <f>IFERROR(__xludf.DUMMYFUNCTION("GOOGLETRANSLATE(D581,""en"",""it"")"),"Mi piacciono i saggi, e più specificamente dipinti.")</f>
        <v>Mi piacciono i saggi, e più specificamente dipinti.</v>
      </c>
      <c r="G581" s="6" t="str">
        <f>IFERROR(__xludf.DUMMYFUNCTION("GOOGLETRANSLATE(E581,""fr"",""it"")"),"Mi piacciono i test e più in particolare i dipinti.")</f>
        <v>Mi piacciono i test e più in particolare i dipinti.</v>
      </c>
    </row>
    <row r="582">
      <c r="A582" s="4">
        <v>580.0</v>
      </c>
      <c r="B582" s="5" t="s">
        <v>1747</v>
      </c>
      <c r="C582" s="4">
        <v>0.0</v>
      </c>
      <c r="D582" s="5" t="s">
        <v>1748</v>
      </c>
      <c r="E582" s="5" t="s">
        <v>1749</v>
      </c>
      <c r="F582" s="6" t="str">
        <f>IFERROR(__xludf.DUMMYFUNCTION("GOOGLETRANSLATE(D582,""en"",""it"")"),"Mi piacciono i dipinti e più specificamente saggi.")</f>
        <v>Mi piacciono i dipinti e più specificamente saggi.</v>
      </c>
      <c r="G582" s="6" t="str">
        <f>IFERROR(__xludf.DUMMYFUNCTION("GOOGLETRANSLATE(E582,""fr"",""it"")"),"Amo i dipinti e più in particolare i test.")</f>
        <v>Amo i dipinti e più in particolare i test.</v>
      </c>
    </row>
    <row r="583">
      <c r="A583" s="4">
        <v>581.0</v>
      </c>
      <c r="B583" s="5" t="s">
        <v>1750</v>
      </c>
      <c r="C583" s="4">
        <v>0.0</v>
      </c>
      <c r="D583" s="5" t="s">
        <v>1751</v>
      </c>
      <c r="E583" s="5" t="s">
        <v>1752</v>
      </c>
      <c r="F583" s="6" t="str">
        <f>IFERROR(__xludf.DUMMYFUNCTION("GOOGLETRANSLATE(D583,""en"",""it"")"),"Mi piacciono i Beagles, tranne i pappagalli.")</f>
        <v>Mi piacciono i Beagles, tranne i pappagalli.</v>
      </c>
      <c r="G583" s="6" t="str">
        <f>IFERROR(__xludf.DUMMYFUNCTION("GOOGLETRANSLATE(E583,""fr"",""it"")"),"Amo Beagles, tranne perrouchets.")</f>
        <v>Amo Beagles, tranne perrouchets.</v>
      </c>
    </row>
    <row r="584">
      <c r="A584" s="4">
        <v>582.0</v>
      </c>
      <c r="B584" s="5" t="s">
        <v>1753</v>
      </c>
      <c r="C584" s="4">
        <v>0.0</v>
      </c>
      <c r="D584" s="5" t="s">
        <v>1754</v>
      </c>
      <c r="E584" s="5" t="s">
        <v>1755</v>
      </c>
      <c r="F584" s="6" t="str">
        <f>IFERROR(__xludf.DUMMYFUNCTION("GOOGLETRANSLATE(D584,""en"",""it"")"),"Mi piacciono le betulle, ad eccezione dell'erba.")</f>
        <v>Mi piacciono le betulle, ad eccezione dell'erba.</v>
      </c>
      <c r="G584" s="6" t="str">
        <f>IFERROR(__xludf.DUMMYFUNCTION("GOOGLETRANSLATE(E584,""fr"",""it"")"),"Amo Birch, tranne il prato.")</f>
        <v>Amo Birch, tranne il prato.</v>
      </c>
    </row>
    <row r="585">
      <c r="A585" s="4">
        <v>583.0</v>
      </c>
      <c r="B585" s="5" t="s">
        <v>1756</v>
      </c>
      <c r="C585" s="4">
        <v>0.0</v>
      </c>
      <c r="D585" s="5" t="s">
        <v>1757</v>
      </c>
      <c r="E585" s="5" t="s">
        <v>1758</v>
      </c>
      <c r="F585" s="6" t="str">
        <f>IFERROR(__xludf.DUMMYFUNCTION("GOOGLETRANSLATE(D585,""en"",""it"")"),"Mi piacciono i romanzi e più specificamente musica.")</f>
        <v>Mi piacciono i romanzi e più specificamente musica.</v>
      </c>
      <c r="G585" s="6" t="str">
        <f>IFERROR(__xludf.DUMMYFUNCTION("GOOGLETRANSLATE(E585,""fr"",""it"")"),"Amo i romanzi, specialmente la musica.")</f>
        <v>Amo i romanzi, specialmente la musica.</v>
      </c>
    </row>
    <row r="586">
      <c r="A586" s="4">
        <v>584.0</v>
      </c>
      <c r="B586" s="5" t="s">
        <v>1759</v>
      </c>
      <c r="C586" s="4">
        <v>0.0</v>
      </c>
      <c r="D586" s="5" t="s">
        <v>1760</v>
      </c>
      <c r="E586" s="5" t="s">
        <v>1761</v>
      </c>
      <c r="F586" s="6" t="str">
        <f>IFERROR(__xludf.DUMMYFUNCTION("GOOGLETRANSLATE(D586,""en"",""it"")"),"Mi piace la musica e più specificamente romanzi.")</f>
        <v>Mi piace la musica e più specificamente romanzi.</v>
      </c>
      <c r="G586" s="6" t="str">
        <f>IFERROR(__xludf.DUMMYFUNCTION("GOOGLETRANSLATE(E586,""fr"",""it"")"),"Amo la musica, in particolare i romanzi.")</f>
        <v>Amo la musica, in particolare i romanzi.</v>
      </c>
    </row>
    <row r="587">
      <c r="A587" s="4">
        <v>585.0</v>
      </c>
      <c r="B587" s="5" t="s">
        <v>1762</v>
      </c>
      <c r="C587" s="4">
        <v>0.0</v>
      </c>
      <c r="D587" s="5" t="s">
        <v>1763</v>
      </c>
      <c r="E587" s="5" t="s">
        <v>1764</v>
      </c>
      <c r="F587" s="6" t="str">
        <f>IFERROR(__xludf.DUMMYFUNCTION("GOOGLETRANSLATE(D587,""en"",""it"")"),"Mi piacciono i romanzi e più specificamente libri.")</f>
        <v>Mi piacciono i romanzi e più specificamente libri.</v>
      </c>
      <c r="G587" s="6" t="str">
        <f>IFERROR(__xludf.DUMMYFUNCTION("GOOGLETRANSLATE(E587,""fr"",""it"")"),"Amo i romanzi e più in particolare i libri.")</f>
        <v>Amo i romanzi e più in particolare i libri.</v>
      </c>
    </row>
    <row r="588">
      <c r="A588" s="4">
        <v>586.0</v>
      </c>
      <c r="B588" s="5" t="s">
        <v>1765</v>
      </c>
      <c r="C588" s="4">
        <v>1.0</v>
      </c>
      <c r="D588" s="5" t="s">
        <v>1766</v>
      </c>
      <c r="E588" s="5" t="s">
        <v>1767</v>
      </c>
      <c r="F588" s="6" t="str">
        <f>IFERROR(__xludf.DUMMYFUNCTION("GOOGLETRANSLATE(D588,""en"",""it"")"),"Mi piacciono i libri e più specificamente romanzi.")</f>
        <v>Mi piacciono i libri e più specificamente romanzi.</v>
      </c>
      <c r="G588" s="6" t="str">
        <f>IFERROR(__xludf.DUMMYFUNCTION("GOOGLETRANSLATE(E588,""fr"",""it"")"),"Mi piacciono i libri e più in particolare i romanzi.")</f>
        <v>Mi piacciono i libri e più in particolare i romanzi.</v>
      </c>
    </row>
    <row r="589">
      <c r="A589" s="4">
        <v>587.0</v>
      </c>
      <c r="B589" s="5" t="s">
        <v>1768</v>
      </c>
      <c r="C589" s="4">
        <v>0.0</v>
      </c>
      <c r="D589" s="5" t="s">
        <v>1769</v>
      </c>
      <c r="E589" s="5" t="s">
        <v>1770</v>
      </c>
      <c r="F589" s="6" t="str">
        <f>IFERROR(__xludf.DUMMYFUNCTION("GOOGLETRANSLATE(D589,""en"",""it"")"),"Mi piacciono i romanzi e più in particolare i film.")</f>
        <v>Mi piacciono i romanzi e più in particolare i film.</v>
      </c>
      <c r="G589" s="6" t="str">
        <f>IFERROR(__xludf.DUMMYFUNCTION("GOOGLETRANSLATE(E589,""fr"",""it"")"),"Amo i romanzi, in particolare il cinema.")</f>
        <v>Amo i romanzi, in particolare il cinema.</v>
      </c>
    </row>
    <row r="590">
      <c r="A590" s="4">
        <v>588.0</v>
      </c>
      <c r="B590" s="5" t="s">
        <v>1771</v>
      </c>
      <c r="C590" s="4">
        <v>0.0</v>
      </c>
      <c r="D590" s="5" t="s">
        <v>1772</v>
      </c>
      <c r="E590" s="5" t="s">
        <v>1773</v>
      </c>
      <c r="F590" s="6" t="str">
        <f>IFERROR(__xludf.DUMMYFUNCTION("GOOGLETRANSLATE(D590,""en"",""it"")"),"Mi piacciono i film, e più specificamente romanzi.")</f>
        <v>Mi piacciono i film, e più specificamente romanzi.</v>
      </c>
      <c r="G590" s="6" t="str">
        <f>IFERROR(__xludf.DUMMYFUNCTION("GOOGLETRANSLATE(E590,""fr"",""it"")"),"Amo il cinema e più in particolare i romanzi.")</f>
        <v>Amo il cinema e più in particolare i romanzi.</v>
      </c>
    </row>
    <row r="591">
      <c r="A591" s="4">
        <v>589.0</v>
      </c>
      <c r="B591" s="5" t="s">
        <v>1774</v>
      </c>
      <c r="C591" s="4">
        <v>0.0</v>
      </c>
      <c r="D591" s="5" t="s">
        <v>1775</v>
      </c>
      <c r="E591" s="5" t="s">
        <v>1776</v>
      </c>
      <c r="F591" s="6" t="str">
        <f>IFERROR(__xludf.DUMMYFUNCTION("GOOGLETRANSLATE(D591,""en"",""it"")"),"Mi piace l'erba, tranne le betulle.")</f>
        <v>Mi piace l'erba, tranne le betulle.</v>
      </c>
      <c r="G591" s="6" t="str">
        <f>IFERROR(__xludf.DUMMYFUNCTION("GOOGLETRANSLATE(E591,""fr"",""it"")"),"Adoro il prato tranne i betulle.")</f>
        <v>Adoro il prato tranne i betulle.</v>
      </c>
    </row>
    <row r="592">
      <c r="A592" s="4">
        <v>590.0</v>
      </c>
      <c r="B592" s="5" t="s">
        <v>1777</v>
      </c>
      <c r="C592" s="4">
        <v>0.0</v>
      </c>
      <c r="D592" s="5" t="s">
        <v>1778</v>
      </c>
      <c r="E592" s="5" t="s">
        <v>1779</v>
      </c>
      <c r="F592" s="6" t="str">
        <f>IFERROR(__xludf.DUMMYFUNCTION("GOOGLETRANSLATE(D592,""en"",""it"")"),"Mi piacciono i romanzi e più specificamente i cartoni animati.")</f>
        <v>Mi piacciono i romanzi e più specificamente i cartoni animati.</v>
      </c>
      <c r="G592" s="6" t="str">
        <f>IFERROR(__xludf.DUMMYFUNCTION("GOOGLETRANSLATE(E592,""fr"",""it"")"),"Amo i romanzi e più in particolare i cartoni animati.")</f>
        <v>Amo i romanzi e più in particolare i cartoni animati.</v>
      </c>
    </row>
    <row r="593">
      <c r="A593" s="4">
        <v>591.0</v>
      </c>
      <c r="B593" s="5" t="s">
        <v>1780</v>
      </c>
      <c r="C593" s="4">
        <v>0.0</v>
      </c>
      <c r="D593" s="5" t="s">
        <v>1781</v>
      </c>
      <c r="E593" s="5" t="s">
        <v>1782</v>
      </c>
      <c r="F593" s="6" t="str">
        <f>IFERROR(__xludf.DUMMYFUNCTION("GOOGLETRANSLATE(D593,""en"",""it"")"),"Mi piacciono i cartoni animati e più specificamente romanzi.")</f>
        <v>Mi piacciono i cartoni animati e più specificamente romanzi.</v>
      </c>
      <c r="G593" s="6" t="str">
        <f>IFERROR(__xludf.DUMMYFUNCTION("GOOGLETRANSLATE(E593,""fr"",""it"")"),"Mi piacciono i cartoni animati e più in particolare i romanzi.")</f>
        <v>Mi piacciono i cartoni animati e più in particolare i romanzi.</v>
      </c>
    </row>
    <row r="594">
      <c r="A594" s="4">
        <v>592.0</v>
      </c>
      <c r="B594" s="5" t="s">
        <v>1783</v>
      </c>
      <c r="C594" s="4">
        <v>0.0</v>
      </c>
      <c r="D594" s="5" t="s">
        <v>1784</v>
      </c>
      <c r="E594" s="5" t="s">
        <v>1785</v>
      </c>
      <c r="F594" s="6" t="str">
        <f>IFERROR(__xludf.DUMMYFUNCTION("GOOGLETRANSLATE(D594,""en"",""it"")"),"Mi piacciono i romanzi e più specificamente dipinti.")</f>
        <v>Mi piacciono i romanzi e più specificamente dipinti.</v>
      </c>
      <c r="G594" s="6" t="str">
        <f>IFERROR(__xludf.DUMMYFUNCTION("GOOGLETRANSLATE(E594,""fr"",""it"")"),"Amo i romanzi, e più dipinti in particolare.")</f>
        <v>Amo i romanzi, e più dipinti in particolare.</v>
      </c>
    </row>
    <row r="595">
      <c r="A595" s="4">
        <v>593.0</v>
      </c>
      <c r="B595" s="5" t="s">
        <v>1786</v>
      </c>
      <c r="C595" s="4">
        <v>0.0</v>
      </c>
      <c r="D595" s="5" t="s">
        <v>1787</v>
      </c>
      <c r="E595" s="5" t="s">
        <v>1788</v>
      </c>
      <c r="F595" s="6" t="str">
        <f>IFERROR(__xludf.DUMMYFUNCTION("GOOGLETRANSLATE(D595,""en"",""it"")"),"Mi piacciono i dipinti e più specificamente romanzi.")</f>
        <v>Mi piacciono i dipinti e più specificamente romanzi.</v>
      </c>
      <c r="G595" s="6" t="str">
        <f>IFERROR(__xludf.DUMMYFUNCTION("GOOGLETRANSLATE(E595,""fr"",""it"")"),"Amo i dipinti e più in particolare i romanzi.")</f>
        <v>Amo i dipinti e più in particolare i romanzi.</v>
      </c>
    </row>
    <row r="596">
      <c r="A596" s="4">
        <v>594.0</v>
      </c>
      <c r="B596" s="5" t="s">
        <v>1789</v>
      </c>
      <c r="C596" s="4">
        <v>0.0</v>
      </c>
      <c r="D596" s="5" t="s">
        <v>1790</v>
      </c>
      <c r="E596" s="5" t="s">
        <v>1791</v>
      </c>
      <c r="F596" s="6" t="str">
        <f>IFERROR(__xludf.DUMMYFUNCTION("GOOGLETRANSLATE(D596,""en"",""it"")"),"Mi piacciono le betulle, tranne gli alberi.")</f>
        <v>Mi piacciono le betulle, tranne gli alberi.</v>
      </c>
      <c r="G596" s="6" t="str">
        <f>IFERROR(__xludf.DUMMYFUNCTION("GOOGLETRANSLATE(E596,""fr"",""it"")"),"Amo Birch, tranne gli alberi.")</f>
        <v>Amo Birch, tranne gli alberi.</v>
      </c>
    </row>
    <row r="597">
      <c r="A597" s="4">
        <v>595.0</v>
      </c>
      <c r="B597" s="5" t="s">
        <v>1792</v>
      </c>
      <c r="C597" s="4">
        <v>1.0</v>
      </c>
      <c r="D597" s="5" t="s">
        <v>1793</v>
      </c>
      <c r="E597" s="5" t="s">
        <v>1794</v>
      </c>
      <c r="F597" s="6" t="str">
        <f>IFERROR(__xludf.DUMMYFUNCTION("GOOGLETRANSLATE(D597,""en"",""it"")"),"Mi piacciono gli alberi, tranne le betulle.")</f>
        <v>Mi piacciono gli alberi, tranne le betulle.</v>
      </c>
      <c r="G597" s="6" t="str">
        <f>IFERROR(__xludf.DUMMYFUNCTION("GOOGLETRANSLATE(E597,""fr"",""it"")"),"Amo gli alberi tranne le betulle.")</f>
        <v>Amo gli alberi tranne le betulle.</v>
      </c>
    </row>
    <row r="598">
      <c r="A598" s="4">
        <v>596.0</v>
      </c>
      <c r="B598" s="5" t="s">
        <v>1795</v>
      </c>
      <c r="C598" s="4">
        <v>0.0</v>
      </c>
      <c r="D598" s="5" t="s">
        <v>1796</v>
      </c>
      <c r="E598" s="5" t="s">
        <v>1797</v>
      </c>
      <c r="F598" s="6" t="str">
        <f>IFERROR(__xludf.DUMMYFUNCTION("GOOGLETRANSLATE(D598,""en"",""it"")"),"Mi piacciono i manuali e più specificamente musica.")</f>
        <v>Mi piacciono i manuali e più specificamente musica.</v>
      </c>
      <c r="G598" s="6" t="str">
        <f>IFERROR(__xludf.DUMMYFUNCTION("GOOGLETRANSLATE(E598,""fr"",""it"")"),"Mi piacciono i manuali e più in particolare la musica.")</f>
        <v>Mi piacciono i manuali e più in particolare la musica.</v>
      </c>
    </row>
    <row r="599">
      <c r="A599" s="4">
        <v>597.0</v>
      </c>
      <c r="B599" s="5" t="s">
        <v>1798</v>
      </c>
      <c r="C599" s="4">
        <v>0.0</v>
      </c>
      <c r="D599" s="5" t="s">
        <v>1799</v>
      </c>
      <c r="E599" s="5" t="s">
        <v>1800</v>
      </c>
      <c r="F599" s="6" t="str">
        <f>IFERROR(__xludf.DUMMYFUNCTION("GOOGLETRANSLATE(D599,""en"",""it"")"),"Mi piace la musica e più specificamente i manuali.")</f>
        <v>Mi piace la musica e più specificamente i manuali.</v>
      </c>
      <c r="G599" s="6" t="str">
        <f>IFERROR(__xludf.DUMMYFUNCTION("GOOGLETRANSLATE(E599,""fr"",""it"")"),"Mi piace la musica, in particolare i manuali.")</f>
        <v>Mi piace la musica, in particolare i manuali.</v>
      </c>
    </row>
    <row r="600">
      <c r="A600" s="4">
        <v>598.0</v>
      </c>
      <c r="B600" s="5" t="s">
        <v>1801</v>
      </c>
      <c r="C600" s="4">
        <v>0.0</v>
      </c>
      <c r="D600" s="5" t="s">
        <v>1802</v>
      </c>
      <c r="E600" s="5" t="s">
        <v>1803</v>
      </c>
      <c r="F600" s="6" t="str">
        <f>IFERROR(__xludf.DUMMYFUNCTION("GOOGLETRANSLATE(D600,""en"",""it"")"),"Mi piacciono i manuali e più specificamente libri.")</f>
        <v>Mi piacciono i manuali e più specificamente libri.</v>
      </c>
      <c r="G600" s="6" t="str">
        <f>IFERROR(__xludf.DUMMYFUNCTION("GOOGLETRANSLATE(E600,""fr"",""it"")"),"Mi piacciono i manuali e più in particolare i libri.")</f>
        <v>Mi piacciono i manuali e più in particolare i libri.</v>
      </c>
    </row>
    <row r="601">
      <c r="A601" s="4">
        <v>599.0</v>
      </c>
      <c r="B601" s="5" t="s">
        <v>1804</v>
      </c>
      <c r="C601" s="4">
        <v>1.0</v>
      </c>
      <c r="D601" s="5" t="s">
        <v>1805</v>
      </c>
      <c r="E601" s="5" t="s">
        <v>1806</v>
      </c>
      <c r="F601" s="6" t="str">
        <f>IFERROR(__xludf.DUMMYFUNCTION("GOOGLETRANSLATE(D601,""en"",""it"")"),"Mi piacciono i libri e più specificamente i manuali.")</f>
        <v>Mi piacciono i libri e più specificamente i manuali.</v>
      </c>
      <c r="G601" s="6" t="str">
        <f>IFERROR(__xludf.DUMMYFUNCTION("GOOGLETRANSLATE(E601,""fr"",""it"")"),"Mi piacciono i libri, in particolare i manuali.")</f>
        <v>Mi piacciono i libri, in particolare i manuali.</v>
      </c>
    </row>
    <row r="602">
      <c r="A602" s="4">
        <v>600.0</v>
      </c>
      <c r="B602" s="5" t="s">
        <v>1807</v>
      </c>
      <c r="C602" s="4">
        <v>0.0</v>
      </c>
      <c r="D602" s="5" t="s">
        <v>1808</v>
      </c>
      <c r="E602" s="5" t="s">
        <v>1809</v>
      </c>
      <c r="F602" s="6" t="str">
        <f>IFERROR(__xludf.DUMMYFUNCTION("GOOGLETRANSLATE(D602,""en"",""it"")"),"Mi piacciono i manuali e più in particolare film.")</f>
        <v>Mi piacciono i manuali e più in particolare film.</v>
      </c>
      <c r="G602" s="6" t="str">
        <f>IFERROR(__xludf.DUMMYFUNCTION("GOOGLETRANSLATE(E602,""fr"",""it"")"),"Mi piacciono i manuali, in particolare il cinema.")</f>
        <v>Mi piacciono i manuali, in particolare il cinema.</v>
      </c>
    </row>
    <row r="603">
      <c r="A603" s="4">
        <v>601.0</v>
      </c>
      <c r="B603" s="5" t="s">
        <v>1810</v>
      </c>
      <c r="C603" s="4">
        <v>0.0</v>
      </c>
      <c r="D603" s="5" t="s">
        <v>1811</v>
      </c>
      <c r="E603" s="5" t="s">
        <v>1812</v>
      </c>
      <c r="F603" s="6" t="str">
        <f>IFERROR(__xludf.DUMMYFUNCTION("GOOGLETRANSLATE(D603,""en"",""it"")"),"Mi piacciono i film e più specificamente i manuali.")</f>
        <v>Mi piacciono i film e più specificamente i manuali.</v>
      </c>
      <c r="G603" s="6" t="str">
        <f>IFERROR(__xludf.DUMMYFUNCTION("GOOGLETRANSLATE(E603,""fr"",""it"")"),"Amo il cinema, in particolare i manuali.")</f>
        <v>Amo il cinema, in particolare i manuali.</v>
      </c>
    </row>
    <row r="604">
      <c r="A604" s="4">
        <v>602.0</v>
      </c>
      <c r="B604" s="5" t="s">
        <v>1813</v>
      </c>
      <c r="C604" s="4">
        <v>0.0</v>
      </c>
      <c r="D604" s="5" t="s">
        <v>1814</v>
      </c>
      <c r="E604" s="5" t="s">
        <v>1815</v>
      </c>
      <c r="F604" s="6" t="str">
        <f>IFERROR(__xludf.DUMMYFUNCTION("GOOGLETRANSLATE(D604,""en"",""it"")"),"Mi piacciono le betulle, tranne gli animali.")</f>
        <v>Mi piacciono le betulle, tranne gli animali.</v>
      </c>
      <c r="G604" s="6" t="str">
        <f>IFERROR(__xludf.DUMMYFUNCTION("GOOGLETRANSLATE(E604,""fr"",""it"")"),"Amo Birches tranne gli animali.")</f>
        <v>Amo Birches tranne gli animali.</v>
      </c>
    </row>
    <row r="605">
      <c r="A605" s="4">
        <v>603.0</v>
      </c>
      <c r="B605" s="5" t="s">
        <v>1816</v>
      </c>
      <c r="C605" s="4">
        <v>0.0</v>
      </c>
      <c r="D605" s="5" t="s">
        <v>1817</v>
      </c>
      <c r="E605" s="5" t="s">
        <v>1818</v>
      </c>
      <c r="F605" s="6" t="str">
        <f>IFERROR(__xludf.DUMMYFUNCTION("GOOGLETRANSLATE(D605,""en"",""it"")"),"Mi piacciono i manuali e più specificamente i cartoni animati.")</f>
        <v>Mi piacciono i manuali e più specificamente i cartoni animati.</v>
      </c>
      <c r="G605" s="6" t="str">
        <f>IFERROR(__xludf.DUMMYFUNCTION("GOOGLETRANSLATE(E605,""fr"",""it"")"),"Mi piacciono i manuali e più cartoni animati in particolare.")</f>
        <v>Mi piacciono i manuali e più cartoni animati in particolare.</v>
      </c>
    </row>
    <row r="606">
      <c r="A606" s="4">
        <v>604.0</v>
      </c>
      <c r="B606" s="5" t="s">
        <v>1819</v>
      </c>
      <c r="C606" s="4">
        <v>0.0</v>
      </c>
      <c r="D606" s="5" t="s">
        <v>1820</v>
      </c>
      <c r="E606" s="5" t="s">
        <v>1821</v>
      </c>
      <c r="F606" s="6" t="str">
        <f>IFERROR(__xludf.DUMMYFUNCTION("GOOGLETRANSLATE(D606,""en"",""it"")"),"Mi piacciono i cartoni animati e più specificamente i manuali.")</f>
        <v>Mi piacciono i cartoni animati e più specificamente i manuali.</v>
      </c>
      <c r="G606" s="6" t="str">
        <f>IFERROR(__xludf.DUMMYFUNCTION("GOOGLETRANSLATE(E606,""fr"",""it"")"),"Mi piacciono i cartoni animati, in particolare i manuali.")</f>
        <v>Mi piacciono i cartoni animati, in particolare i manuali.</v>
      </c>
    </row>
    <row r="607">
      <c r="A607" s="4">
        <v>605.0</v>
      </c>
      <c r="B607" s="5" t="s">
        <v>1822</v>
      </c>
      <c r="C607" s="4">
        <v>0.0</v>
      </c>
      <c r="D607" s="5" t="s">
        <v>1823</v>
      </c>
      <c r="E607" s="5" t="s">
        <v>1824</v>
      </c>
      <c r="F607" s="6" t="str">
        <f>IFERROR(__xludf.DUMMYFUNCTION("GOOGLETRANSLATE(D607,""en"",""it"")"),"Mi piacciono i manuali e più specificamente dipinti.")</f>
        <v>Mi piacciono i manuali e più specificamente dipinti.</v>
      </c>
      <c r="G607" s="6" t="str">
        <f>IFERROR(__xludf.DUMMYFUNCTION("GOOGLETRANSLATE(E607,""fr"",""it"")"),"Mi piacciono i manuali e più in particolare i dipinti.")</f>
        <v>Mi piacciono i manuali e più in particolare i dipinti.</v>
      </c>
    </row>
    <row r="608">
      <c r="A608" s="4">
        <v>606.0</v>
      </c>
      <c r="B608" s="5" t="s">
        <v>1825</v>
      </c>
      <c r="C608" s="4">
        <v>0.0</v>
      </c>
      <c r="D608" s="5" t="s">
        <v>1826</v>
      </c>
      <c r="E608" s="5" t="s">
        <v>1827</v>
      </c>
      <c r="F608" s="6" t="str">
        <f>IFERROR(__xludf.DUMMYFUNCTION("GOOGLETRANSLATE(D608,""en"",""it"")"),"Mi piacciono i dipinti e più specificamente i manuali.")</f>
        <v>Mi piacciono i dipinti e più specificamente i manuali.</v>
      </c>
      <c r="G608" s="6" t="str">
        <f>IFERROR(__xludf.DUMMYFUNCTION("GOOGLETRANSLATE(E608,""fr"",""it"")"),"Amo i dipinti, in particolare i manuali.")</f>
        <v>Amo i dipinti, in particolare i manuali.</v>
      </c>
    </row>
    <row r="609">
      <c r="A609" s="4">
        <v>607.0</v>
      </c>
      <c r="B609" s="5" t="s">
        <v>1828</v>
      </c>
      <c r="C609" s="4">
        <v>0.0</v>
      </c>
      <c r="D609" s="5" t="s">
        <v>1829</v>
      </c>
      <c r="E609" s="5" t="s">
        <v>1830</v>
      </c>
      <c r="F609" s="6" t="str">
        <f>IFERROR(__xludf.DUMMYFUNCTION("GOOGLETRANSLATE(D609,""en"",""it"")"),"Mi piacciono gli animali, eccetto betulle.")</f>
        <v>Mi piacciono gli animali, eccetto betulle.</v>
      </c>
      <c r="G609" s="6" t="str">
        <f>IFERROR(__xludf.DUMMYFUNCTION("GOOGLETRANSLATE(E609,""fr"",""it"")"),"Amo gli animali tranne i betulle.")</f>
        <v>Amo gli animali tranne i betulle.</v>
      </c>
    </row>
    <row r="610">
      <c r="A610" s="4">
        <v>608.0</v>
      </c>
      <c r="B610" s="5" t="s">
        <v>1831</v>
      </c>
      <c r="C610" s="4">
        <v>0.0</v>
      </c>
      <c r="D610" s="5" t="s">
        <v>1832</v>
      </c>
      <c r="E610" s="5" t="s">
        <v>1833</v>
      </c>
      <c r="F610" s="6" t="str">
        <f>IFERROR(__xludf.DUMMYFUNCTION("GOOGLETRANSLATE(D610,""en"",""it"")"),"Mi piacciono i pappagalli, tranne Beagles.")</f>
        <v>Mi piacciono i pappagalli, tranne Beagles.</v>
      </c>
      <c r="G610" s="6" t="str">
        <f>IFERROR(__xludf.DUMMYFUNCTION("GOOGLETRANSLATE(E610,""fr"",""it"")"),"Amo i perrouches, tranne i Beagles.")</f>
        <v>Amo i perrouches, tranne i Beagles.</v>
      </c>
    </row>
    <row r="611">
      <c r="A611" s="4">
        <v>609.0</v>
      </c>
      <c r="B611" s="5" t="s">
        <v>1834</v>
      </c>
      <c r="C611" s="4">
        <v>0.0</v>
      </c>
      <c r="D611" s="5" t="s">
        <v>1835</v>
      </c>
      <c r="E611" s="5" t="s">
        <v>1836</v>
      </c>
      <c r="F611" s="6" t="str">
        <f>IFERROR(__xludf.DUMMYFUNCTION("GOOGLETRANSLATE(D611,""en"",""it"")"),"Ho incontrato gli impiegati e più specificamente fabbriche.")</f>
        <v>Ho incontrato gli impiegati e più specificamente fabbriche.</v>
      </c>
      <c r="G611" s="6" t="str">
        <f>IFERROR(__xludf.DUMMYFUNCTION("GOOGLETRANSLATE(E611,""fr"",""it"")"),"Ho incontrato i commessi e più in particolare le fabbriche.")</f>
        <v>Ho incontrato i commessi e più in particolare le fabbriche.</v>
      </c>
    </row>
    <row r="612">
      <c r="A612" s="4">
        <v>610.0</v>
      </c>
      <c r="B612" s="5" t="s">
        <v>1837</v>
      </c>
      <c r="C612" s="4">
        <v>0.0</v>
      </c>
      <c r="D612" s="5" t="s">
        <v>1838</v>
      </c>
      <c r="E612" s="5" t="s">
        <v>1839</v>
      </c>
      <c r="F612" s="6" t="str">
        <f>IFERROR(__xludf.DUMMYFUNCTION("GOOGLETRANSLATE(D612,""en"",""it"")"),"Ho incontrato fabbriche e più specificamente impiegati.")</f>
        <v>Ho incontrato fabbriche e più specificamente impiegati.</v>
      </c>
      <c r="G612" s="6" t="str">
        <f>IFERROR(__xludf.DUMMYFUNCTION("GOOGLETRANSLATE(E612,""fr"",""it"")"),"Ho incontrato le fabbriche e più in particolare i commessi.")</f>
        <v>Ho incontrato le fabbriche e più in particolare i commessi.</v>
      </c>
    </row>
    <row r="613">
      <c r="A613" s="4">
        <v>611.0</v>
      </c>
      <c r="B613" s="5" t="s">
        <v>1840</v>
      </c>
      <c r="C613" s="4">
        <v>0.0</v>
      </c>
      <c r="D613" s="5" t="s">
        <v>1841</v>
      </c>
      <c r="E613" s="5" t="s">
        <v>1842</v>
      </c>
      <c r="F613" s="6" t="str">
        <f>IFERROR(__xludf.DUMMYFUNCTION("GOOGLETRANSLATE(D613,""en"",""it"")"),"Ho incontrato gli impiegati, e più specificamente lavoratori.")</f>
        <v>Ho incontrato gli impiegati, e più specificamente lavoratori.</v>
      </c>
      <c r="G613" s="6" t="str">
        <f>IFERROR(__xludf.DUMMYFUNCTION("GOOGLETRANSLATE(E613,""fr"",""it"")"),"Ho incontrato i commessi e più in particolare i lavoratori.")</f>
        <v>Ho incontrato i commessi e più in particolare i lavoratori.</v>
      </c>
    </row>
    <row r="614">
      <c r="A614" s="4">
        <v>612.0</v>
      </c>
      <c r="B614" s="5" t="s">
        <v>1843</v>
      </c>
      <c r="C614" s="4">
        <v>1.0</v>
      </c>
      <c r="D614" s="5" t="s">
        <v>1844</v>
      </c>
      <c r="E614" s="5" t="s">
        <v>1845</v>
      </c>
      <c r="F614" s="6" t="str">
        <f>IFERROR(__xludf.DUMMYFUNCTION("GOOGLETRANSLATE(D614,""en"",""it"")"),"Ho incontrato i lavoratori e più specificamente impiegati.")</f>
        <v>Ho incontrato i lavoratori e più specificamente impiegati.</v>
      </c>
      <c r="G614" s="6" t="str">
        <f>IFERROR(__xludf.DUMMYFUNCTION("GOOGLETRANSLATE(E614,""fr"",""it"")"),"Ho incontrato i lavoratori e più in particolare i commessi.")</f>
        <v>Ho incontrato i lavoratori e più in particolare i commessi.</v>
      </c>
    </row>
    <row r="615">
      <c r="A615" s="4">
        <v>613.0</v>
      </c>
      <c r="B615" s="5" t="s">
        <v>1846</v>
      </c>
      <c r="C615" s="4">
        <v>0.0</v>
      </c>
      <c r="D615" s="5" t="s">
        <v>1847</v>
      </c>
      <c r="E615" s="5" t="s">
        <v>1848</v>
      </c>
      <c r="F615" s="6" t="str">
        <f>IFERROR(__xludf.DUMMYFUNCTION("GOOGLETRANSLATE(D615,""en"",""it"")"),"Ho incontrato lavoratori e più specificamente fabbriche.")</f>
        <v>Ho incontrato lavoratori e più specificamente fabbriche.</v>
      </c>
      <c r="G615" s="6" t="str">
        <f>IFERROR(__xludf.DUMMYFUNCTION("GOOGLETRANSLATE(E615,""fr"",""it"")"),"Ho incontrato i lavoratori e più in particolare le fabbriche.")</f>
        <v>Ho incontrato i lavoratori e più in particolare le fabbriche.</v>
      </c>
    </row>
    <row r="616">
      <c r="A616" s="4">
        <v>614.0</v>
      </c>
      <c r="B616" s="5" t="s">
        <v>1849</v>
      </c>
      <c r="C616" s="4">
        <v>0.0</v>
      </c>
      <c r="D616" s="5" t="s">
        <v>1850</v>
      </c>
      <c r="E616" s="5" t="s">
        <v>1851</v>
      </c>
      <c r="F616" s="6" t="str">
        <f>IFERROR(__xludf.DUMMYFUNCTION("GOOGLETRANSLATE(D616,""en"",""it"")"),"Ho incontrato gli impiegati, e più specificamente ristoranti.")</f>
        <v>Ho incontrato gli impiegati, e più specificamente ristoranti.</v>
      </c>
      <c r="G616" s="6" t="str">
        <f>IFERROR(__xludf.DUMMYFUNCTION("GOOGLETRANSLATE(E616,""fr"",""it"")"),"Ho incontrato i commessi, in particolare i ristoranti.")</f>
        <v>Ho incontrato i commessi, in particolare i ristoranti.</v>
      </c>
    </row>
    <row r="617">
      <c r="A617" s="4">
        <v>615.0</v>
      </c>
      <c r="B617" s="5" t="s">
        <v>1852</v>
      </c>
      <c r="C617" s="4">
        <v>0.0</v>
      </c>
      <c r="D617" s="5" t="s">
        <v>1853</v>
      </c>
      <c r="E617" s="5" t="s">
        <v>1854</v>
      </c>
      <c r="F617" s="6" t="str">
        <f>IFERROR(__xludf.DUMMYFUNCTION("GOOGLETRANSLATE(D617,""en"",""it"")"),"Ho incontrato ristoranti e più specificamente impiegati.")</f>
        <v>Ho incontrato ristoranti e più specificamente impiegati.</v>
      </c>
      <c r="G617" s="6" t="str">
        <f>IFERROR(__xludf.DUMMYFUNCTION("GOOGLETRANSLATE(E617,""fr"",""it"")"),"Ho incontrato ristoranti, specialmente gli impiegati.")</f>
        <v>Ho incontrato ristoranti, specialmente gli impiegati.</v>
      </c>
    </row>
    <row r="618">
      <c r="A618" s="4">
        <v>616.0</v>
      </c>
      <c r="B618" s="5" t="s">
        <v>1855</v>
      </c>
      <c r="C618" s="4">
        <v>0.0</v>
      </c>
      <c r="D618" s="5" t="s">
        <v>1856</v>
      </c>
      <c r="E618" s="5" t="s">
        <v>1857</v>
      </c>
      <c r="F618" s="6" t="str">
        <f>IFERROR(__xludf.DUMMYFUNCTION("GOOGLETRANSLATE(D618,""en"",""it"")"),"Ho incontrato lavoratori e più specificamente ristoranti.")</f>
        <v>Ho incontrato lavoratori e più specificamente ristoranti.</v>
      </c>
      <c r="G618" s="6" t="str">
        <f>IFERROR(__xludf.DUMMYFUNCTION("GOOGLETRANSLATE(E618,""fr"",""it"")"),"Ho incontrato i lavoratori, in particolare ristoranti.")</f>
        <v>Ho incontrato i lavoratori, in particolare ristoranti.</v>
      </c>
    </row>
    <row r="619">
      <c r="A619" s="4">
        <v>617.0</v>
      </c>
      <c r="B619" s="5" t="s">
        <v>1858</v>
      </c>
      <c r="C619" s="4">
        <v>0.0</v>
      </c>
      <c r="D619" s="5" t="s">
        <v>1859</v>
      </c>
      <c r="E619" s="5" t="s">
        <v>1860</v>
      </c>
      <c r="F619" s="6" t="str">
        <f>IFERROR(__xludf.DUMMYFUNCTION("GOOGLETRANSLATE(D619,""en"",""it"")"),"Ho incontrato gli impiegati e più specificamente scuole.")</f>
        <v>Ho incontrato gli impiegati e più specificamente scuole.</v>
      </c>
      <c r="G619" s="6" t="str">
        <f>IFERROR(__xludf.DUMMYFUNCTION("GOOGLETRANSLATE(E619,""fr"",""it"")"),"Ho incontrato gli impiegati, e più scuole in particolare.")</f>
        <v>Ho incontrato gli impiegati, e più scuole in particolare.</v>
      </c>
    </row>
    <row r="620">
      <c r="A620" s="4">
        <v>618.0</v>
      </c>
      <c r="B620" s="5" t="s">
        <v>1861</v>
      </c>
      <c r="C620" s="4">
        <v>0.0</v>
      </c>
      <c r="D620" s="5" t="s">
        <v>1862</v>
      </c>
      <c r="E620" s="5" t="s">
        <v>1863</v>
      </c>
      <c r="F620" s="6" t="str">
        <f>IFERROR(__xludf.DUMMYFUNCTION("GOOGLETRANSLATE(D620,""en"",""it"")"),"Ho incontrato le scuole e più specificamente impiegati.")</f>
        <v>Ho incontrato le scuole e più specificamente impiegati.</v>
      </c>
      <c r="G620" s="6" t="str">
        <f>IFERROR(__xludf.DUMMYFUNCTION("GOOGLETRANSLATE(E620,""fr"",""it"")"),"Ho incontrato le scuole e più in particolare i commessi.")</f>
        <v>Ho incontrato le scuole e più in particolare i commessi.</v>
      </c>
    </row>
    <row r="621">
      <c r="A621" s="4">
        <v>619.0</v>
      </c>
      <c r="B621" s="5" t="s">
        <v>1864</v>
      </c>
      <c r="C621" s="4">
        <v>0.0</v>
      </c>
      <c r="D621" s="5" t="s">
        <v>1865</v>
      </c>
      <c r="E621" s="5" t="s">
        <v>1866</v>
      </c>
      <c r="F621" s="6" t="str">
        <f>IFERROR(__xludf.DUMMYFUNCTION("GOOGLETRANSLATE(D621,""en"",""it"")"),"Ho incontrato i lavoratori, e più specificamente scuole.")</f>
        <v>Ho incontrato i lavoratori, e più specificamente scuole.</v>
      </c>
      <c r="G621" s="6" t="str">
        <f>IFERROR(__xludf.DUMMYFUNCTION("GOOGLETRANSLATE(E621,""fr"",""it"")"),"Ho incontrato i lavoratori, specialmente le scuole.")</f>
        <v>Ho incontrato i lavoratori, specialmente le scuole.</v>
      </c>
    </row>
    <row r="622">
      <c r="A622" s="4">
        <v>620.0</v>
      </c>
      <c r="B622" s="5" t="s">
        <v>1867</v>
      </c>
      <c r="C622" s="4">
        <v>0.0</v>
      </c>
      <c r="D622" s="5" t="s">
        <v>1868</v>
      </c>
      <c r="E622" s="5" t="s">
        <v>1869</v>
      </c>
      <c r="F622" s="6" t="str">
        <f>IFERROR(__xludf.DUMMYFUNCTION("GOOGLETRANSLATE(D622,""en"",""it"")"),"Ho incontrato gli impiegati e più specificamente uffici.")</f>
        <v>Ho incontrato gli impiegati e più specificamente uffici.</v>
      </c>
      <c r="G622" s="6" t="str">
        <f>IFERROR(__xludf.DUMMYFUNCTION("GOOGLETRANSLATE(E622,""fr"",""it"")"),"Ho incontrato gli impiegati e più in particolare gli uffici.")</f>
        <v>Ho incontrato gli impiegati e più in particolare gli uffici.</v>
      </c>
    </row>
    <row r="623">
      <c r="A623" s="4">
        <v>621.0</v>
      </c>
      <c r="B623" s="5" t="s">
        <v>1870</v>
      </c>
      <c r="C623" s="4">
        <v>0.0</v>
      </c>
      <c r="D623" s="5" t="s">
        <v>1871</v>
      </c>
      <c r="E623" s="5" t="s">
        <v>1872</v>
      </c>
      <c r="F623" s="6" t="str">
        <f>IFERROR(__xludf.DUMMYFUNCTION("GOOGLETRANSLATE(D623,""en"",""it"")"),"Ho incontrato uffici, e più specificamente impiegati.")</f>
        <v>Ho incontrato uffici, e più specificamente impiegati.</v>
      </c>
      <c r="G623" s="6" t="str">
        <f>IFERROR(__xludf.DUMMYFUNCTION("GOOGLETRANSLATE(E623,""fr"",""it"")"),"Ho incontrato gli uffici, e più in particolare i commessi.")</f>
        <v>Ho incontrato gli uffici, e più in particolare i commessi.</v>
      </c>
    </row>
    <row r="624">
      <c r="A624" s="4">
        <v>622.0</v>
      </c>
      <c r="B624" s="5" t="s">
        <v>1873</v>
      </c>
      <c r="C624" s="4">
        <v>0.0</v>
      </c>
      <c r="D624" s="5" t="s">
        <v>1874</v>
      </c>
      <c r="E624" s="5" t="s">
        <v>1875</v>
      </c>
      <c r="F624" s="6" t="str">
        <f>IFERROR(__xludf.DUMMYFUNCTION("GOOGLETRANSLATE(D624,""en"",""it"")"),"Mi piacciono le betulle, tranne i cespugli.")</f>
        <v>Mi piacciono le betulle, tranne i cespugli.</v>
      </c>
      <c r="G624" s="6" t="str">
        <f>IFERROR(__xludf.DUMMYFUNCTION("GOOGLETRANSLATE(E624,""fr"",""it"")"),"Amo la betulla, tranne i cespugli.")</f>
        <v>Amo la betulla, tranne i cespugli.</v>
      </c>
    </row>
    <row r="625">
      <c r="A625" s="4">
        <v>623.0</v>
      </c>
      <c r="B625" s="5" t="s">
        <v>1876</v>
      </c>
      <c r="C625" s="4">
        <v>0.0</v>
      </c>
      <c r="D625" s="5" t="s">
        <v>1877</v>
      </c>
      <c r="E625" s="5" t="s">
        <v>1878</v>
      </c>
      <c r="F625" s="6" t="str">
        <f>IFERROR(__xludf.DUMMYFUNCTION("GOOGLETRANSLATE(D625,""en"",""it"")"),"Ho incontrato i lavoratori e più specificamente uffici.")</f>
        <v>Ho incontrato i lavoratori e più specificamente uffici.</v>
      </c>
      <c r="G625" s="6" t="str">
        <f>IFERROR(__xludf.DUMMYFUNCTION("GOOGLETRANSLATE(E625,""fr"",""it"")"),"Ho incontrato i lavoratori e più in particolare gli uffici.")</f>
        <v>Ho incontrato i lavoratori e più in particolare gli uffici.</v>
      </c>
    </row>
    <row r="626">
      <c r="A626" s="4">
        <v>624.0</v>
      </c>
      <c r="B626" s="5" t="s">
        <v>1879</v>
      </c>
      <c r="C626" s="4">
        <v>0.0</v>
      </c>
      <c r="D626" s="5" t="s">
        <v>1880</v>
      </c>
      <c r="E626" s="5" t="s">
        <v>1881</v>
      </c>
      <c r="F626" s="6" t="str">
        <f>IFERROR(__xludf.DUMMYFUNCTION("GOOGLETRANSLATE(D626,""en"",""it"")"),"Mi piacciono i cespugli, eccetto betulle.")</f>
        <v>Mi piacciono i cespugli, eccetto betulle.</v>
      </c>
      <c r="G626" s="6" t="str">
        <f>IFERROR(__xludf.DUMMYFUNCTION("GOOGLETRANSLATE(E626,""fr"",""it"")"),"Amo i cespugli tranne i betulle.")</f>
        <v>Amo i cespugli tranne i betulle.</v>
      </c>
    </row>
    <row r="627">
      <c r="A627" s="4">
        <v>625.0</v>
      </c>
      <c r="B627" s="5" t="s">
        <v>1882</v>
      </c>
      <c r="C627" s="4">
        <v>0.0</v>
      </c>
      <c r="D627" s="5" t="s">
        <v>1883</v>
      </c>
      <c r="E627" s="5" t="s">
        <v>1884</v>
      </c>
      <c r="F627" s="6" t="str">
        <f>IFERROR(__xludf.DUMMYFUNCTION("GOOGLETRANSLATE(D627,""en"",""it"")"),"Ho incontrato i camerieri e più specificamente fabbriche.")</f>
        <v>Ho incontrato i camerieri e più specificamente fabbriche.</v>
      </c>
      <c r="G627" s="6" t="str">
        <f>IFERROR(__xludf.DUMMYFUNCTION("GOOGLETRANSLATE(E627,""fr"",""it"")"),"Ho incontrato i server e più in particolare le fabbriche.")</f>
        <v>Ho incontrato i server e più in particolare le fabbriche.</v>
      </c>
    </row>
    <row r="628">
      <c r="A628" s="4">
        <v>626.0</v>
      </c>
      <c r="B628" s="5" t="s">
        <v>1885</v>
      </c>
      <c r="C628" s="4">
        <v>0.0</v>
      </c>
      <c r="D628" s="5" t="s">
        <v>1886</v>
      </c>
      <c r="E628" s="5" t="s">
        <v>1887</v>
      </c>
      <c r="F628" s="6" t="str">
        <f>IFERROR(__xludf.DUMMYFUNCTION("GOOGLETRANSLATE(D628,""en"",""it"")"),"Ho incontrato fabbriche e più in particolare i camerieri.")</f>
        <v>Ho incontrato fabbriche e più in particolare i camerieri.</v>
      </c>
      <c r="G628" s="6" t="str">
        <f>IFERROR(__xludf.DUMMYFUNCTION("GOOGLETRANSLATE(E628,""fr"",""it"")"),"Ho incontrato le fabbriche e più in particolare i server.")</f>
        <v>Ho incontrato le fabbriche e più in particolare i server.</v>
      </c>
    </row>
    <row r="629">
      <c r="A629" s="4">
        <v>627.0</v>
      </c>
      <c r="B629" s="5" t="s">
        <v>1888</v>
      </c>
      <c r="C629" s="4">
        <v>0.0</v>
      </c>
      <c r="D629" s="5" t="s">
        <v>1889</v>
      </c>
      <c r="E629" s="5" t="s">
        <v>1890</v>
      </c>
      <c r="F629" s="6" t="str">
        <f>IFERROR(__xludf.DUMMYFUNCTION("GOOGLETRANSLATE(D629,""en"",""it"")"),"Ho incontrato i camerieri e più specificamente lavoratori.")</f>
        <v>Ho incontrato i camerieri e più specificamente lavoratori.</v>
      </c>
      <c r="G629" s="6" t="str">
        <f>IFERROR(__xludf.DUMMYFUNCTION("GOOGLETRANSLATE(E629,""fr"",""it"")"),"Ho incontrato i camerieri e in particolare i lavoratori.")</f>
        <v>Ho incontrato i camerieri e in particolare i lavoratori.</v>
      </c>
    </row>
    <row r="630">
      <c r="A630" s="4">
        <v>628.0</v>
      </c>
      <c r="B630" s="5" t="s">
        <v>1891</v>
      </c>
      <c r="C630" s="4">
        <v>1.0</v>
      </c>
      <c r="D630" s="5" t="s">
        <v>1892</v>
      </c>
      <c r="E630" s="5" t="s">
        <v>1893</v>
      </c>
      <c r="F630" s="6" t="str">
        <f>IFERROR(__xludf.DUMMYFUNCTION("GOOGLETRANSLATE(D630,""en"",""it"")"),"Ho incontrato i lavoratori, e più specificamente i camerieri.")</f>
        <v>Ho incontrato i lavoratori, e più specificamente i camerieri.</v>
      </c>
      <c r="G630" s="6" t="str">
        <f>IFERROR(__xludf.DUMMYFUNCTION("GOOGLETRANSLATE(E630,""fr"",""it"")"),"Ho incontrato i lavoratori e più in particolare i server.")</f>
        <v>Ho incontrato i lavoratori e più in particolare i server.</v>
      </c>
    </row>
    <row r="631">
      <c r="A631" s="4">
        <v>629.0</v>
      </c>
      <c r="B631" s="5" t="s">
        <v>1894</v>
      </c>
      <c r="C631" s="4">
        <v>0.0</v>
      </c>
      <c r="D631" s="5" t="s">
        <v>1895</v>
      </c>
      <c r="E631" s="5" t="s">
        <v>1896</v>
      </c>
      <c r="F631" s="6" t="str">
        <f>IFERROR(__xludf.DUMMYFUNCTION("GOOGLETRANSLATE(D631,""en"",""it"")"),"Ho incontrato i camerieri, e più specificamente ristoranti.")</f>
        <v>Ho incontrato i camerieri, e più specificamente ristoranti.</v>
      </c>
      <c r="G631" s="6" t="str">
        <f>IFERROR(__xludf.DUMMYFUNCTION("GOOGLETRANSLATE(E631,""fr"",""it"")"),"Ho incontrato i camerieri, specialmente i ristoranti.")</f>
        <v>Ho incontrato i camerieri, specialmente i ristoranti.</v>
      </c>
    </row>
    <row r="632">
      <c r="A632" s="4">
        <v>630.0</v>
      </c>
      <c r="B632" s="5" t="s">
        <v>1897</v>
      </c>
      <c r="C632" s="4">
        <v>0.0</v>
      </c>
      <c r="D632" s="5" t="s">
        <v>1898</v>
      </c>
      <c r="E632" s="5" t="s">
        <v>1899</v>
      </c>
      <c r="F632" s="6" t="str">
        <f>IFERROR(__xludf.DUMMYFUNCTION("GOOGLETRANSLATE(D632,""en"",""it"")"),"Ho incontrato ristoranti e più specificamente i camerieri.")</f>
        <v>Ho incontrato ristoranti e più specificamente i camerieri.</v>
      </c>
      <c r="G632" s="6" t="str">
        <f>IFERROR(__xludf.DUMMYFUNCTION("GOOGLETRANSLATE(E632,""fr"",""it"")"),"Ho incontrato ristoranti, e più in particolare i camerieri.")</f>
        <v>Ho incontrato ristoranti, e più in particolare i camerieri.</v>
      </c>
    </row>
    <row r="633">
      <c r="A633" s="4">
        <v>631.0</v>
      </c>
      <c r="B633" s="5" t="s">
        <v>1900</v>
      </c>
      <c r="C633" s="4">
        <v>0.0</v>
      </c>
      <c r="D633" s="5" t="s">
        <v>1901</v>
      </c>
      <c r="E633" s="5" t="s">
        <v>1902</v>
      </c>
      <c r="F633" s="6" t="str">
        <f>IFERROR(__xludf.DUMMYFUNCTION("GOOGLETRANSLATE(D633,""en"",""it"")"),"Ho incontrato i camerieri e più specificamente scuole.")</f>
        <v>Ho incontrato i camerieri e più specificamente scuole.</v>
      </c>
      <c r="G633" s="6" t="str">
        <f>IFERROR(__xludf.DUMMYFUNCTION("GOOGLETRANSLATE(E633,""fr"",""it"")"),"Ho incontrato i server e più scuole in particolare.")</f>
        <v>Ho incontrato i server e più scuole in particolare.</v>
      </c>
    </row>
    <row r="634">
      <c r="A634" s="4">
        <v>632.0</v>
      </c>
      <c r="B634" s="5" t="s">
        <v>1903</v>
      </c>
      <c r="C634" s="4">
        <v>0.0</v>
      </c>
      <c r="D634" s="5" t="s">
        <v>1904</v>
      </c>
      <c r="E634" s="5" t="s">
        <v>1905</v>
      </c>
      <c r="F634" s="6" t="str">
        <f>IFERROR(__xludf.DUMMYFUNCTION("GOOGLETRANSLATE(D634,""en"",""it"")"),"Ho incontrato le scuole e più camerieri in particolare.")</f>
        <v>Ho incontrato le scuole e più camerieri in particolare.</v>
      </c>
      <c r="G634" s="6" t="str">
        <f>IFERROR(__xludf.DUMMYFUNCTION("GOOGLETRANSLATE(E634,""fr"",""it"")"),"Ho incontrato le scuole e in particolare i camerieri.")</f>
        <v>Ho incontrato le scuole e in particolare i camerieri.</v>
      </c>
    </row>
    <row r="635">
      <c r="A635" s="4">
        <v>633.0</v>
      </c>
      <c r="B635" s="5" t="s">
        <v>1906</v>
      </c>
      <c r="C635" s="4">
        <v>0.0</v>
      </c>
      <c r="D635" s="5" t="s">
        <v>1907</v>
      </c>
      <c r="E635" s="5" t="s">
        <v>1908</v>
      </c>
      <c r="F635" s="6" t="str">
        <f>IFERROR(__xludf.DUMMYFUNCTION("GOOGLETRANSLATE(D635,""en"",""it"")"),"Ho incontrato i camerieri e più specificamente uffici.")</f>
        <v>Ho incontrato i camerieri e più specificamente uffici.</v>
      </c>
      <c r="G635" s="6" t="str">
        <f>IFERROR(__xludf.DUMMYFUNCTION("GOOGLETRANSLATE(E635,""fr"",""it"")"),"Ho incontrato i camerieri e più in particolare gli uffici.")</f>
        <v>Ho incontrato i camerieri e più in particolare gli uffici.</v>
      </c>
    </row>
    <row r="636">
      <c r="A636" s="4">
        <v>634.0</v>
      </c>
      <c r="B636" s="5" t="s">
        <v>1909</v>
      </c>
      <c r="C636" s="4">
        <v>0.0</v>
      </c>
      <c r="D636" s="5" t="s">
        <v>1910</v>
      </c>
      <c r="E636" s="5" t="s">
        <v>1911</v>
      </c>
      <c r="F636" s="6" t="str">
        <f>IFERROR(__xludf.DUMMYFUNCTION("GOOGLETRANSLATE(D636,""en"",""it"")"),"Ho incontrato uffici e più specificamente i camerieri.")</f>
        <v>Ho incontrato uffici e più specificamente i camerieri.</v>
      </c>
      <c r="G636" s="6" t="str">
        <f>IFERROR(__xludf.DUMMYFUNCTION("GOOGLETRANSLATE(E636,""fr"",""it"")"),"Ho incontrato gli uffici e più in particolare i camerieri.")</f>
        <v>Ho incontrato gli uffici e più in particolare i camerieri.</v>
      </c>
    </row>
    <row r="637">
      <c r="A637" s="4">
        <v>635.0</v>
      </c>
      <c r="B637" s="5" t="s">
        <v>1912</v>
      </c>
      <c r="C637" s="4">
        <v>0.0</v>
      </c>
      <c r="D637" s="5" t="s">
        <v>1913</v>
      </c>
      <c r="E637" s="5" t="s">
        <v>1914</v>
      </c>
      <c r="F637" s="6" t="str">
        <f>IFERROR(__xludf.DUMMYFUNCTION("GOOGLETRANSLATE(D637,""en"",""it"")"),"Mi piacciono le betulle, ad eccezione degli arbusti.")</f>
        <v>Mi piacciono le betulle, ad eccezione degli arbusti.</v>
      </c>
      <c r="G637" s="6" t="str">
        <f>IFERROR(__xludf.DUMMYFUNCTION("GOOGLETRANSLATE(E637,""fr"",""it"")"),"Amo Birch, tranne gli arbusti.")</f>
        <v>Amo Birch, tranne gli arbusti.</v>
      </c>
    </row>
    <row r="638">
      <c r="A638" s="4">
        <v>636.0</v>
      </c>
      <c r="B638" s="5" t="s">
        <v>1915</v>
      </c>
      <c r="C638" s="4">
        <v>0.0</v>
      </c>
      <c r="D638" s="5" t="s">
        <v>1916</v>
      </c>
      <c r="E638" s="5" t="s">
        <v>1917</v>
      </c>
      <c r="F638" s="6" t="str">
        <f>IFERROR(__xludf.DUMMYFUNCTION("GOOGLETRANSLATE(D638,""en"",""it"")"),"Mi piacciono gli arbusti, eccetto betulle.")</f>
        <v>Mi piacciono gli arbusti, eccetto betulle.</v>
      </c>
      <c r="G638" s="6" t="str">
        <f>IFERROR(__xludf.DUMMYFUNCTION("GOOGLETRANSLATE(E638,""fr"",""it"")"),"Amo gli arbusti eccetto bei betulle.")</f>
        <v>Amo gli arbusti eccetto bei betulle.</v>
      </c>
    </row>
    <row r="639">
      <c r="A639" s="4">
        <v>637.0</v>
      </c>
      <c r="B639" s="5" t="s">
        <v>1918</v>
      </c>
      <c r="C639" s="4">
        <v>0.0</v>
      </c>
      <c r="D639" s="5" t="s">
        <v>1919</v>
      </c>
      <c r="E639" s="5" t="s">
        <v>1920</v>
      </c>
      <c r="F639" s="6" t="str">
        <f>IFERROR(__xludf.DUMMYFUNCTION("GOOGLETRANSLATE(D639,""en"",""it"")"),"Ho incontrato i custodi e più specificamente fabbriche.")</f>
        <v>Ho incontrato i custodi e più specificamente fabbriche.</v>
      </c>
      <c r="G639" s="6" t="str">
        <f>IFERROR(__xludf.DUMMYFUNCTION("GOOGLETRANSLATE(E639,""fr"",""it"")"),"Ho incontrato le guardie e più in particolare le fabbriche.")</f>
        <v>Ho incontrato le guardie e più in particolare le fabbriche.</v>
      </c>
    </row>
    <row r="640">
      <c r="A640" s="4">
        <v>638.0</v>
      </c>
      <c r="B640" s="5" t="s">
        <v>1921</v>
      </c>
      <c r="C640" s="4">
        <v>0.0</v>
      </c>
      <c r="D640" s="5" t="s">
        <v>1922</v>
      </c>
      <c r="E640" s="5" t="s">
        <v>1923</v>
      </c>
      <c r="F640" s="6" t="str">
        <f>IFERROR(__xludf.DUMMYFUNCTION("GOOGLETRANSLATE(D640,""en"",""it"")"),"Ho incontrato fabbriche e più specificamente custodi.")</f>
        <v>Ho incontrato fabbriche e più specificamente custodi.</v>
      </c>
      <c r="G640" s="6" t="str">
        <f>IFERROR(__xludf.DUMMYFUNCTION("GOOGLETRANSLATE(E640,""fr"",""it"")"),"Ho incontrato le fabbriche e più in particolare le guardie.")</f>
        <v>Ho incontrato le fabbriche e più in particolare le guardie.</v>
      </c>
    </row>
    <row r="641">
      <c r="A641" s="4">
        <v>639.0</v>
      </c>
      <c r="B641" s="5" t="s">
        <v>1924</v>
      </c>
      <c r="C641" s="4">
        <v>0.0</v>
      </c>
      <c r="D641" s="5" t="s">
        <v>1925</v>
      </c>
      <c r="E641" s="5" t="s">
        <v>1926</v>
      </c>
      <c r="F641" s="6" t="str">
        <f>IFERROR(__xludf.DUMMYFUNCTION("GOOGLETRANSLATE(D641,""en"",""it"")"),"Ho incontrato i custodi e più specificamente i lavoratori.")</f>
        <v>Ho incontrato i custodi e più specificamente i lavoratori.</v>
      </c>
      <c r="G641" s="6" t="str">
        <f>IFERROR(__xludf.DUMMYFUNCTION("GOOGLETRANSLATE(E641,""fr"",""it"")"),"Ho incontrato le guardie e più in particolare i lavoratori.")</f>
        <v>Ho incontrato le guardie e più in particolare i lavoratori.</v>
      </c>
    </row>
    <row r="642">
      <c r="A642" s="4">
        <v>640.0</v>
      </c>
      <c r="B642" s="5" t="s">
        <v>1927</v>
      </c>
      <c r="C642" s="4">
        <v>1.0</v>
      </c>
      <c r="D642" s="5" t="s">
        <v>1928</v>
      </c>
      <c r="E642" s="5" t="s">
        <v>1929</v>
      </c>
      <c r="F642" s="6" t="str">
        <f>IFERROR(__xludf.DUMMYFUNCTION("GOOGLETRANSLATE(D642,""en"",""it"")"),"Ho incontrato lavoratori e più specificamente custodi.")</f>
        <v>Ho incontrato lavoratori e più specificamente custodi.</v>
      </c>
      <c r="G642" s="6" t="str">
        <f>IFERROR(__xludf.DUMMYFUNCTION("GOOGLETRANSLATE(E642,""fr"",""it"")"),"Ho incontrato i lavoratori e più in particolare le guardie.")</f>
        <v>Ho incontrato i lavoratori e più in particolare le guardie.</v>
      </c>
    </row>
    <row r="643">
      <c r="A643" s="4">
        <v>641.0</v>
      </c>
      <c r="B643" s="5" t="s">
        <v>1930</v>
      </c>
      <c r="C643" s="4">
        <v>0.0</v>
      </c>
      <c r="D643" s="5" t="s">
        <v>1931</v>
      </c>
      <c r="E643" s="5" t="s">
        <v>1932</v>
      </c>
      <c r="F643" s="6" t="str">
        <f>IFERROR(__xludf.DUMMYFUNCTION("GOOGLETRANSLATE(D643,""en"",""it"")"),"Ho incontrato i custodi e i più specificamente ristoranti.")</f>
        <v>Ho incontrato i custodi e i più specificamente ristoranti.</v>
      </c>
      <c r="G643" s="6" t="str">
        <f>IFERROR(__xludf.DUMMYFUNCTION("GOOGLETRANSLATE(E643,""fr"",""it"")"),"Ho incontrato le guardie, in particolare ristoranti.")</f>
        <v>Ho incontrato le guardie, in particolare ristoranti.</v>
      </c>
    </row>
    <row r="644">
      <c r="A644" s="4">
        <v>642.0</v>
      </c>
      <c r="B644" s="5" t="s">
        <v>1933</v>
      </c>
      <c r="C644" s="4">
        <v>0.0</v>
      </c>
      <c r="D644" s="5" t="s">
        <v>1934</v>
      </c>
      <c r="E644" s="5" t="s">
        <v>1935</v>
      </c>
      <c r="F644" s="6" t="str">
        <f>IFERROR(__xludf.DUMMYFUNCTION("GOOGLETRANSLATE(D644,""en"",""it"")"),"Ho incontrato ristoranti e più specificamente custodi.")</f>
        <v>Ho incontrato ristoranti e più specificamente custodi.</v>
      </c>
      <c r="G644" s="6" t="str">
        <f>IFERROR(__xludf.DUMMYFUNCTION("GOOGLETRANSLATE(E644,""fr"",""it"")"),"Ho incontrato ristoranti e più in particolare le guardie.")</f>
        <v>Ho incontrato ristoranti e più in particolare le guardie.</v>
      </c>
    </row>
    <row r="645">
      <c r="A645" s="4">
        <v>643.0</v>
      </c>
      <c r="B645" s="5" t="s">
        <v>1936</v>
      </c>
      <c r="C645" s="4">
        <v>0.0</v>
      </c>
      <c r="D645" s="5" t="s">
        <v>1937</v>
      </c>
      <c r="E645" s="5" t="s">
        <v>1938</v>
      </c>
      <c r="F645" s="6" t="str">
        <f>IFERROR(__xludf.DUMMYFUNCTION("GOOGLETRANSLATE(D645,""en"",""it"")"),"Ho incontrato i custodi e le più specificamente scuole.")</f>
        <v>Ho incontrato i custodi e le più specificamente scuole.</v>
      </c>
      <c r="G645" s="6" t="str">
        <f>IFERROR(__xludf.DUMMYFUNCTION("GOOGLETRANSLATE(E645,""fr"",""it"")"),"Ho incontrato le guardie e soprattutto scuole.")</f>
        <v>Ho incontrato le guardie e soprattutto scuole.</v>
      </c>
    </row>
    <row r="646">
      <c r="A646" s="4">
        <v>644.0</v>
      </c>
      <c r="B646" s="5" t="s">
        <v>1939</v>
      </c>
      <c r="C646" s="4">
        <v>0.0</v>
      </c>
      <c r="D646" s="5" t="s">
        <v>1940</v>
      </c>
      <c r="E646" s="5" t="s">
        <v>1941</v>
      </c>
      <c r="F646" s="6" t="str">
        <f>IFERROR(__xludf.DUMMYFUNCTION("GOOGLETRANSLATE(D646,""en"",""it"")"),"Ho incontrato le scuole e più specificamente custodi.")</f>
        <v>Ho incontrato le scuole e più specificamente custodi.</v>
      </c>
      <c r="G646" s="6" t="str">
        <f>IFERROR(__xludf.DUMMYFUNCTION("GOOGLETRANSLATE(E646,""fr"",""it"")"),"Ho incontrato le scuole e più in particolare le guardie.")</f>
        <v>Ho incontrato le scuole e più in particolare le guardie.</v>
      </c>
    </row>
    <row r="647">
      <c r="A647" s="4">
        <v>645.0</v>
      </c>
      <c r="B647" s="5" t="s">
        <v>1942</v>
      </c>
      <c r="C647" s="4">
        <v>0.0</v>
      </c>
      <c r="D647" s="5" t="s">
        <v>1943</v>
      </c>
      <c r="E647" s="5" t="s">
        <v>1944</v>
      </c>
      <c r="F647" s="6" t="str">
        <f>IFERROR(__xludf.DUMMYFUNCTION("GOOGLETRANSLATE(D647,""en"",""it"")"),"Ho incontrato i custodi e altri uffici specificamente.")</f>
        <v>Ho incontrato i custodi e altri uffici specificamente.</v>
      </c>
      <c r="G647" s="6" t="str">
        <f>IFERROR(__xludf.DUMMYFUNCTION("GOOGLETRANSLATE(E647,""fr"",""it"")"),"Ho incontrato le guardie e più in particolare gli uffici.")</f>
        <v>Ho incontrato le guardie e più in particolare gli uffici.</v>
      </c>
    </row>
    <row r="648">
      <c r="A648" s="4">
        <v>646.0</v>
      </c>
      <c r="B648" s="5" t="s">
        <v>1945</v>
      </c>
      <c r="C648" s="4">
        <v>0.0</v>
      </c>
      <c r="D648" s="5" t="s">
        <v>1946</v>
      </c>
      <c r="E648" s="5" t="s">
        <v>1947</v>
      </c>
      <c r="F648" s="6" t="str">
        <f>IFERROR(__xludf.DUMMYFUNCTION("GOOGLETRANSLATE(D648,""en"",""it"")"),"Ho incontrato uffici e più specificamente custodi.")</f>
        <v>Ho incontrato uffici e più specificamente custodi.</v>
      </c>
      <c r="G648" s="6" t="str">
        <f>IFERROR(__xludf.DUMMYFUNCTION("GOOGLETRANSLATE(E648,""fr"",""it"")"),"Ho incontrato gli uffici e più in particolare le guardie.")</f>
        <v>Ho incontrato gli uffici e più in particolare le guardie.</v>
      </c>
    </row>
    <row r="649">
      <c r="A649" s="4">
        <v>647.0</v>
      </c>
      <c r="B649" s="5" t="s">
        <v>1948</v>
      </c>
      <c r="C649" s="4">
        <v>0.0</v>
      </c>
      <c r="D649" s="5" t="s">
        <v>1949</v>
      </c>
      <c r="E649" s="5" t="s">
        <v>1950</v>
      </c>
      <c r="F649" s="6" t="str">
        <f>IFERROR(__xludf.DUMMYFUNCTION("GOOGLETRANSLATE(D649,""en"",""it"")"),"Ho incontrato professori e più specificamente fabbriche.")</f>
        <v>Ho incontrato professori e più specificamente fabbriche.</v>
      </c>
      <c r="G649" s="6" t="str">
        <f>IFERROR(__xludf.DUMMYFUNCTION("GOOGLETRANSLATE(E649,""fr"",""it"")"),"Ho incontrato gli insegnanti e più in particolare le fabbriche.")</f>
        <v>Ho incontrato gli insegnanti e più in particolare le fabbriche.</v>
      </c>
    </row>
    <row r="650">
      <c r="A650" s="4">
        <v>648.0</v>
      </c>
      <c r="B650" s="5" t="s">
        <v>1951</v>
      </c>
      <c r="C650" s="4">
        <v>0.0</v>
      </c>
      <c r="D650" s="5" t="s">
        <v>1952</v>
      </c>
      <c r="E650" s="5" t="s">
        <v>1953</v>
      </c>
      <c r="F650" s="6" t="str">
        <f>IFERROR(__xludf.DUMMYFUNCTION("GOOGLETRANSLATE(D650,""en"",""it"")"),"Ho incontrato fabbriche e più specificamente professori.")</f>
        <v>Ho incontrato fabbriche e più specificamente professori.</v>
      </c>
      <c r="G650" s="6" t="str">
        <f>IFERROR(__xludf.DUMMYFUNCTION("GOOGLETRANSLATE(E650,""fr"",""it"")"),"Ho incontrato le fabbriche, in particolare gli insegnanti.")</f>
        <v>Ho incontrato le fabbriche, in particolare gli insegnanti.</v>
      </c>
    </row>
    <row r="651">
      <c r="A651" s="4">
        <v>649.0</v>
      </c>
      <c r="B651" s="5" t="s">
        <v>1954</v>
      </c>
      <c r="C651" s="4">
        <v>0.0</v>
      </c>
      <c r="D651" s="5" t="s">
        <v>1955</v>
      </c>
      <c r="E651" s="5" t="s">
        <v>1956</v>
      </c>
      <c r="F651" s="6" t="str">
        <f>IFERROR(__xludf.DUMMYFUNCTION("GOOGLETRANSLATE(D651,""en"",""it"")"),"Ho incontrato professori e più specificamente lavoratori.")</f>
        <v>Ho incontrato professori e più specificamente lavoratori.</v>
      </c>
      <c r="G651" s="6" t="str">
        <f>IFERROR(__xludf.DUMMYFUNCTION("GOOGLETRANSLATE(E651,""fr"",""it"")"),"Ho incontrato gli insegnanti e più in particolare i lavoratori.")</f>
        <v>Ho incontrato gli insegnanti e più in particolare i lavoratori.</v>
      </c>
    </row>
    <row r="652">
      <c r="A652" s="4">
        <v>650.0</v>
      </c>
      <c r="B652" s="5" t="s">
        <v>1957</v>
      </c>
      <c r="C652" s="4">
        <v>1.0</v>
      </c>
      <c r="D652" s="5" t="s">
        <v>1958</v>
      </c>
      <c r="E652" s="5" t="s">
        <v>1959</v>
      </c>
      <c r="F652" s="6" t="str">
        <f>IFERROR(__xludf.DUMMYFUNCTION("GOOGLETRANSLATE(D652,""en"",""it"")"),"Ho incontrato i lavoratori e più specificamente professori.")</f>
        <v>Ho incontrato i lavoratori e più specificamente professori.</v>
      </c>
      <c r="G652" s="6" t="str">
        <f>IFERROR(__xludf.DUMMYFUNCTION("GOOGLETRANSLATE(E652,""fr"",""it"")"),"Ho incontrato i lavoratori, specialmente gli insegnanti.")</f>
        <v>Ho incontrato i lavoratori, specialmente gli insegnanti.</v>
      </c>
    </row>
    <row r="653">
      <c r="A653" s="4">
        <v>651.0</v>
      </c>
      <c r="B653" s="5" t="s">
        <v>1960</v>
      </c>
      <c r="C653" s="4">
        <v>0.0</v>
      </c>
      <c r="D653" s="5" t="s">
        <v>1961</v>
      </c>
      <c r="E653" s="5" t="s">
        <v>1962</v>
      </c>
      <c r="F653" s="6" t="str">
        <f>IFERROR(__xludf.DUMMYFUNCTION("GOOGLETRANSLATE(D653,""en"",""it"")"),"Ho incontrato professori e più specificamente ristoranti.")</f>
        <v>Ho incontrato professori e più specificamente ristoranti.</v>
      </c>
      <c r="G653" s="6" t="str">
        <f>IFERROR(__xludf.DUMMYFUNCTION("GOOGLETRANSLATE(E653,""fr"",""it"")"),"Ho incontrato gli insegnanti, in particolare ristoranti.")</f>
        <v>Ho incontrato gli insegnanti, in particolare ristoranti.</v>
      </c>
    </row>
    <row r="654">
      <c r="A654" s="4">
        <v>652.0</v>
      </c>
      <c r="B654" s="5" t="s">
        <v>1963</v>
      </c>
      <c r="C654" s="4">
        <v>0.0</v>
      </c>
      <c r="D654" s="5" t="s">
        <v>1964</v>
      </c>
      <c r="E654" s="5" t="s">
        <v>1965</v>
      </c>
      <c r="F654" s="6" t="str">
        <f>IFERROR(__xludf.DUMMYFUNCTION("GOOGLETRANSLATE(D654,""en"",""it"")"),"Ho incontrato ristoranti e più specificamente professori.")</f>
        <v>Ho incontrato ristoranti e più specificamente professori.</v>
      </c>
      <c r="G654" s="6" t="str">
        <f>IFERROR(__xludf.DUMMYFUNCTION("GOOGLETRANSLATE(E654,""fr"",""it"")"),"Ho incontrato ristoranti, in particolare insegnanti.")</f>
        <v>Ho incontrato ristoranti, in particolare insegnanti.</v>
      </c>
    </row>
    <row r="655">
      <c r="A655" s="4">
        <v>653.0</v>
      </c>
      <c r="B655" s="5" t="s">
        <v>1966</v>
      </c>
      <c r="C655" s="4">
        <v>0.0</v>
      </c>
      <c r="D655" s="5" t="s">
        <v>1967</v>
      </c>
      <c r="E655" s="5" t="s">
        <v>1968</v>
      </c>
      <c r="F655" s="6" t="str">
        <f>IFERROR(__xludf.DUMMYFUNCTION("GOOGLETRANSLATE(D655,""en"",""it"")"),"Ho incontrato professori e più specificamente scuole.")</f>
        <v>Ho incontrato professori e più specificamente scuole.</v>
      </c>
      <c r="G655" s="6" t="str">
        <f>IFERROR(__xludf.DUMMYFUNCTION("GOOGLETRANSLATE(E655,""fr"",""it"")"),"Ho incontrato gli insegnanti e più scuole in particolare.")</f>
        <v>Ho incontrato gli insegnanti e più scuole in particolare.</v>
      </c>
    </row>
    <row r="656">
      <c r="A656" s="4">
        <v>654.0</v>
      </c>
      <c r="B656" s="5" t="s">
        <v>1969</v>
      </c>
      <c r="C656" s="4">
        <v>0.0</v>
      </c>
      <c r="D656" s="5" t="s">
        <v>1970</v>
      </c>
      <c r="E656" s="5" t="s">
        <v>1971</v>
      </c>
      <c r="F656" s="6" t="str">
        <f>IFERROR(__xludf.DUMMYFUNCTION("GOOGLETRANSLATE(D656,""en"",""it"")"),"Ho incontrato le scuole e più specificamente professori.")</f>
        <v>Ho incontrato le scuole e più specificamente professori.</v>
      </c>
      <c r="G656" s="6" t="str">
        <f>IFERROR(__xludf.DUMMYFUNCTION("GOOGLETRANSLATE(E656,""fr"",""it"")"),"Ho incontrato le scuole, in particolare insegnanti.")</f>
        <v>Ho incontrato le scuole, in particolare insegnanti.</v>
      </c>
    </row>
    <row r="657">
      <c r="A657" s="4">
        <v>655.0</v>
      </c>
      <c r="B657" s="5" t="s">
        <v>1972</v>
      </c>
      <c r="C657" s="4">
        <v>0.0</v>
      </c>
      <c r="D657" s="5" t="s">
        <v>1973</v>
      </c>
      <c r="E657" s="5" t="s">
        <v>1974</v>
      </c>
      <c r="F657" s="6" t="str">
        <f>IFERROR(__xludf.DUMMYFUNCTION("GOOGLETRANSLATE(D657,""en"",""it"")"),"Ho incontrato professori e più specificamente uffici.")</f>
        <v>Ho incontrato professori e più specificamente uffici.</v>
      </c>
      <c r="G657" s="6" t="str">
        <f>IFERROR(__xludf.DUMMYFUNCTION("GOOGLETRANSLATE(E657,""fr"",""it"")"),"Ho incontrato gli insegnanti e più in particolare gli uffici.")</f>
        <v>Ho incontrato gli insegnanti e più in particolare gli uffici.</v>
      </c>
    </row>
    <row r="658">
      <c r="A658" s="4">
        <v>656.0</v>
      </c>
      <c r="B658" s="5" t="s">
        <v>1975</v>
      </c>
      <c r="C658" s="4">
        <v>0.0</v>
      </c>
      <c r="D658" s="5" t="s">
        <v>1976</v>
      </c>
      <c r="E658" s="5" t="s">
        <v>1977</v>
      </c>
      <c r="F658" s="6" t="str">
        <f>IFERROR(__xludf.DUMMYFUNCTION("GOOGLETRANSLATE(D658,""en"",""it"")"),"Ho incontrato uffici e più specificamente professori.")</f>
        <v>Ho incontrato uffici e più specificamente professori.</v>
      </c>
      <c r="G658" s="6" t="str">
        <f>IFERROR(__xludf.DUMMYFUNCTION("GOOGLETRANSLATE(E658,""fr"",""it"")"),"Ho incontrato gli uffici, in particolare gli insegnanti.")</f>
        <v>Ho incontrato gli uffici, in particolare gli insegnanti.</v>
      </c>
    </row>
    <row r="659">
      <c r="A659" s="4">
        <v>657.0</v>
      </c>
      <c r="B659" s="5" t="s">
        <v>1978</v>
      </c>
      <c r="C659" s="4">
        <v>0.0</v>
      </c>
      <c r="D659" s="5" t="s">
        <v>1979</v>
      </c>
      <c r="E659" s="5" t="s">
        <v>1980</v>
      </c>
      <c r="F659" s="6" t="str">
        <f>IFERROR(__xludf.DUMMYFUNCTION("GOOGLETRANSLATE(D659,""en"",""it"")"),"Ho incontrato biologi e più specificamente impiegati.")</f>
        <v>Ho incontrato biologi e più specificamente impiegati.</v>
      </c>
      <c r="G659" s="6" t="str">
        <f>IFERROR(__xludf.DUMMYFUNCTION("GOOGLETRANSLATE(E659,""fr"",""it"")"),"Ho incontrato biologi e più impiegati in particolare.")</f>
        <v>Ho incontrato biologi e più impiegati in particolare.</v>
      </c>
    </row>
    <row r="660">
      <c r="A660" s="4">
        <v>658.0</v>
      </c>
      <c r="B660" s="5" t="s">
        <v>1981</v>
      </c>
      <c r="C660" s="4">
        <v>0.0</v>
      </c>
      <c r="D660" s="5" t="s">
        <v>1982</v>
      </c>
      <c r="E660" s="5" t="s">
        <v>1983</v>
      </c>
      <c r="F660" s="6" t="str">
        <f>IFERROR(__xludf.DUMMYFUNCTION("GOOGLETRANSLATE(D660,""en"",""it"")"),"Ho incontrato gli impiegati e più specificamente i biologi.")</f>
        <v>Ho incontrato gli impiegati e più specificamente i biologi.</v>
      </c>
      <c r="G660" s="6" t="str">
        <f>IFERROR(__xludf.DUMMYFUNCTION("GOOGLETRANSLATE(E660,""fr"",""it"")"),"Ho incontrato gli impiegati e più biologi in particolare.")</f>
        <v>Ho incontrato gli impiegati e più biologi in particolare.</v>
      </c>
    </row>
    <row r="661">
      <c r="A661" s="4">
        <v>659.0</v>
      </c>
      <c r="B661" s="5" t="s">
        <v>1984</v>
      </c>
      <c r="C661" s="4">
        <v>0.0</v>
      </c>
      <c r="D661" s="5" t="s">
        <v>1985</v>
      </c>
      <c r="E661" s="5" t="s">
        <v>1986</v>
      </c>
      <c r="F661" s="6" t="str">
        <f>IFERROR(__xludf.DUMMYFUNCTION("GOOGLETRANSLATE(D661,""en"",""it"")"),"Ho incontrato biologi e più specificamente scienziati.")</f>
        <v>Ho incontrato biologi e più specificamente scienziati.</v>
      </c>
      <c r="G661" s="6" t="str">
        <f>IFERROR(__xludf.DUMMYFUNCTION("GOOGLETRANSLATE(E661,""fr"",""it"")"),"Ho incontrato biologi e più particolarmente scienziati.")</f>
        <v>Ho incontrato biologi e più particolarmente scienziati.</v>
      </c>
    </row>
    <row r="662">
      <c r="A662" s="4">
        <v>660.0</v>
      </c>
      <c r="B662" s="5" t="s">
        <v>1987</v>
      </c>
      <c r="C662" s="4">
        <v>1.0</v>
      </c>
      <c r="D662" s="5" t="s">
        <v>1988</v>
      </c>
      <c r="E662" s="5" t="s">
        <v>1989</v>
      </c>
      <c r="F662" s="6" t="str">
        <f>IFERROR(__xludf.DUMMYFUNCTION("GOOGLETRANSLATE(D662,""en"",""it"")"),"Ho incontrato gli scienziati e più specificamente i biologi.")</f>
        <v>Ho incontrato gli scienziati e più specificamente i biologi.</v>
      </c>
      <c r="G662" s="6" t="str">
        <f>IFERROR(__xludf.DUMMYFUNCTION("GOOGLETRANSLATE(E662,""fr"",""it"")"),"Ho incontrato gli scienziati e più biologi in particolare.")</f>
        <v>Ho incontrato gli scienziati e più biologi in particolare.</v>
      </c>
    </row>
    <row r="663">
      <c r="A663" s="4">
        <v>661.0</v>
      </c>
      <c r="B663" s="5" t="s">
        <v>1990</v>
      </c>
      <c r="C663" s="4">
        <v>0.0</v>
      </c>
      <c r="D663" s="5" t="s">
        <v>1991</v>
      </c>
      <c r="E663" s="5" t="s">
        <v>1992</v>
      </c>
      <c r="F663" s="6" t="str">
        <f>IFERROR(__xludf.DUMMYFUNCTION("GOOGLETRANSLATE(D663,""en"",""it"")"),"Ho incontrato gli scienziati e più specificamente impiegati.")</f>
        <v>Ho incontrato gli scienziati e più specificamente impiegati.</v>
      </c>
      <c r="G663" s="6" t="str">
        <f>IFERROR(__xludf.DUMMYFUNCTION("GOOGLETRANSLATE(E663,""fr"",""it"")"),"Ho incontrato gli scienziati e in particolare gli impiegati.")</f>
        <v>Ho incontrato gli scienziati e in particolare gli impiegati.</v>
      </c>
    </row>
    <row r="664">
      <c r="A664" s="4">
        <v>662.0</v>
      </c>
      <c r="B664" s="5" t="s">
        <v>1993</v>
      </c>
      <c r="C664" s="4">
        <v>0.0</v>
      </c>
      <c r="D664" s="5" t="s">
        <v>1994</v>
      </c>
      <c r="E664" s="5" t="s">
        <v>1995</v>
      </c>
      <c r="F664" s="6" t="str">
        <f>IFERROR(__xludf.DUMMYFUNCTION("GOOGLETRANSLATE(D664,""en"",""it"")"),"Ho incontrato biologi e più camerieri in particolare.")</f>
        <v>Ho incontrato biologi e più camerieri in particolare.</v>
      </c>
      <c r="G664" s="6" t="str">
        <f>IFERROR(__xludf.DUMMYFUNCTION("GOOGLETRANSLATE(E664,""fr"",""it"")"),"Ho incontrato biologi e più in particolare i camerieri.")</f>
        <v>Ho incontrato biologi e più in particolare i camerieri.</v>
      </c>
    </row>
    <row r="665">
      <c r="A665" s="4">
        <v>663.0</v>
      </c>
      <c r="B665" s="5" t="s">
        <v>1996</v>
      </c>
      <c r="C665" s="4">
        <v>0.0</v>
      </c>
      <c r="D665" s="5" t="s">
        <v>1997</v>
      </c>
      <c r="E665" s="5" t="s">
        <v>1998</v>
      </c>
      <c r="F665" s="6" t="str">
        <f>IFERROR(__xludf.DUMMYFUNCTION("GOOGLETRANSLATE(D665,""en"",""it"")"),"Ho incontrato i camerieri e più specificamente i biologi.")</f>
        <v>Ho incontrato i camerieri e più specificamente i biologi.</v>
      </c>
      <c r="G665" s="6" t="str">
        <f>IFERROR(__xludf.DUMMYFUNCTION("GOOGLETRANSLATE(E665,""fr"",""it"")"),"Ho incontrato i server e più biologi in particolare.")</f>
        <v>Ho incontrato i server e più biologi in particolare.</v>
      </c>
    </row>
    <row r="666">
      <c r="A666" s="4">
        <v>664.0</v>
      </c>
      <c r="B666" s="5" t="s">
        <v>1999</v>
      </c>
      <c r="C666" s="4">
        <v>0.0</v>
      </c>
      <c r="D666" s="5" t="s">
        <v>2000</v>
      </c>
      <c r="E666" s="5" t="s">
        <v>2001</v>
      </c>
      <c r="F666" s="6" t="str">
        <f>IFERROR(__xludf.DUMMYFUNCTION("GOOGLETRANSLATE(D666,""en"",""it"")"),"Ho incontrato gli scienziati, e più specificamente i camerieri.")</f>
        <v>Ho incontrato gli scienziati, e più specificamente i camerieri.</v>
      </c>
      <c r="G666" s="6" t="str">
        <f>IFERROR(__xludf.DUMMYFUNCTION("GOOGLETRANSLATE(E666,""fr"",""it"")"),"Ho incontrato gli scienziati e più in particolare i camerieri.")</f>
        <v>Ho incontrato gli scienziati e più in particolare i camerieri.</v>
      </c>
    </row>
    <row r="667">
      <c r="A667" s="4">
        <v>665.0</v>
      </c>
      <c r="B667" s="5" t="s">
        <v>2002</v>
      </c>
      <c r="C667" s="4">
        <v>0.0</v>
      </c>
      <c r="D667" s="5" t="s">
        <v>2003</v>
      </c>
      <c r="E667" s="5" t="s">
        <v>2004</v>
      </c>
      <c r="F667" s="6" t="str">
        <f>IFERROR(__xludf.DUMMYFUNCTION("GOOGLETRANSLATE(D667,""en"",""it"")"),"Ho incontrato biologi e più specificamente custodi.")</f>
        <v>Ho incontrato biologi e più specificamente custodi.</v>
      </c>
      <c r="G667" s="6" t="str">
        <f>IFERROR(__xludf.DUMMYFUNCTION("GOOGLETRANSLATE(E667,""fr"",""it"")"),"Ho incontrato biologi e più guardiani in particolare.")</f>
        <v>Ho incontrato biologi e più guardiani in particolare.</v>
      </c>
    </row>
    <row r="668">
      <c r="A668" s="4">
        <v>666.0</v>
      </c>
      <c r="B668" s="5" t="s">
        <v>2005</v>
      </c>
      <c r="C668" s="4">
        <v>0.0</v>
      </c>
      <c r="D668" s="5" t="s">
        <v>2006</v>
      </c>
      <c r="E668" s="5" t="s">
        <v>2007</v>
      </c>
      <c r="F668" s="6" t="str">
        <f>IFERROR(__xludf.DUMMYFUNCTION("GOOGLETRANSLATE(D668,""en"",""it"")"),"Ho incontrato i custodi e i più specificamente biologi.")</f>
        <v>Ho incontrato i custodi e i più specificamente biologi.</v>
      </c>
      <c r="G668" s="6" t="str">
        <f>IFERROR(__xludf.DUMMYFUNCTION("GOOGLETRANSLATE(E668,""fr"",""it"")"),"Ho incontrato le guardie e più biologi in particolare.")</f>
        <v>Ho incontrato le guardie e più biologi in particolare.</v>
      </c>
    </row>
    <row r="669">
      <c r="A669" s="4">
        <v>667.0</v>
      </c>
      <c r="B669" s="5" t="s">
        <v>2008</v>
      </c>
      <c r="C669" s="4">
        <v>0.0</v>
      </c>
      <c r="D669" s="5" t="s">
        <v>2009</v>
      </c>
      <c r="E669" s="5" t="s">
        <v>2010</v>
      </c>
      <c r="F669" s="6" t="str">
        <f>IFERROR(__xludf.DUMMYFUNCTION("GOOGLETRANSLATE(D669,""en"",""it"")"),"Ho incontrato scienziati e più specificamente custodi.")</f>
        <v>Ho incontrato scienziati e più specificamente custodi.</v>
      </c>
      <c r="G669" s="6" t="str">
        <f>IFERROR(__xludf.DUMMYFUNCTION("GOOGLETRANSLATE(E669,""fr"",""it"")"),"Ho incontrato gli scienziati e più guardiani in particolare.")</f>
        <v>Ho incontrato gli scienziati e più guardiani in particolare.</v>
      </c>
    </row>
    <row r="670">
      <c r="A670" s="4">
        <v>668.0</v>
      </c>
      <c r="B670" s="5" t="s">
        <v>2011</v>
      </c>
      <c r="C670" s="4">
        <v>0.0</v>
      </c>
      <c r="D670" s="5" t="s">
        <v>2012</v>
      </c>
      <c r="E670" s="5" t="s">
        <v>2013</v>
      </c>
      <c r="F670" s="6" t="str">
        <f>IFERROR(__xludf.DUMMYFUNCTION("GOOGLETRANSLATE(D670,""en"",""it"")"),"Ho incontrato biologi e più specificamente i bidelli.")</f>
        <v>Ho incontrato biologi e più specificamente i bidelli.</v>
      </c>
      <c r="G670" s="6" t="str">
        <f>IFERROR(__xludf.DUMMYFUNCTION("GOOGLETRANSLATE(E670,""fr"",""it"")"),"Ho incontrato biologi e più concieti in particolare.")</f>
        <v>Ho incontrato biologi e più concieti in particolare.</v>
      </c>
    </row>
    <row r="671">
      <c r="A671" s="4">
        <v>669.0</v>
      </c>
      <c r="B671" s="5" t="s">
        <v>2014</v>
      </c>
      <c r="C671" s="4">
        <v>0.0</v>
      </c>
      <c r="D671" s="5" t="s">
        <v>2015</v>
      </c>
      <c r="E671" s="5" t="s">
        <v>2016</v>
      </c>
      <c r="F671" s="6" t="str">
        <f>IFERROR(__xludf.DUMMYFUNCTION("GOOGLETRANSLATE(D671,""en"",""it"")"),"Ho incontrato i bidelli, e più specificamente i biologi.")</f>
        <v>Ho incontrato i bidelli, e più specificamente i biologi.</v>
      </c>
      <c r="G671" s="6" t="str">
        <f>IFERROR(__xludf.DUMMYFUNCTION("GOOGLETRANSLATE(E671,""fr"",""it"")"),"Ho incontrato i conciergie e più in particolare i biologi.")</f>
        <v>Ho incontrato i conciergie e più in particolare i biologi.</v>
      </c>
    </row>
    <row r="672">
      <c r="A672" s="4">
        <v>670.0</v>
      </c>
      <c r="B672" s="5" t="s">
        <v>2017</v>
      </c>
      <c r="C672" s="4">
        <v>0.0</v>
      </c>
      <c r="D672" s="5" t="s">
        <v>2018</v>
      </c>
      <c r="E672" s="5" t="s">
        <v>2019</v>
      </c>
      <c r="F672" s="6" t="str">
        <f>IFERROR(__xludf.DUMMYFUNCTION("GOOGLETRANSLATE(D672,""en"",""it"")"),"Ho incontrato gli scienziati e più specificamente i bidelli.")</f>
        <v>Ho incontrato gli scienziati e più specificamente i bidelli.</v>
      </c>
      <c r="G672" s="6" t="str">
        <f>IFERROR(__xludf.DUMMYFUNCTION("GOOGLETRANSLATE(E672,""fr"",""it"")"),"Ho incontrato scienziati e più concieti in particolare.")</f>
        <v>Ho incontrato scienziati e più concieti in particolare.</v>
      </c>
    </row>
    <row r="673">
      <c r="A673" s="4">
        <v>671.0</v>
      </c>
      <c r="B673" s="5" t="s">
        <v>2020</v>
      </c>
      <c r="C673" s="4">
        <v>0.0</v>
      </c>
      <c r="D673" s="5" t="s">
        <v>2021</v>
      </c>
      <c r="E673" s="5" t="s">
        <v>2022</v>
      </c>
      <c r="F673" s="6" t="str">
        <f>IFERROR(__xludf.DUMMYFUNCTION("GOOGLETRANSLATE(D673,""en"",""it"")"),"Ho incontrato i genetisti e più specificamente impiegati.")</f>
        <v>Ho incontrato i genetisti e più specificamente impiegati.</v>
      </c>
      <c r="G673" s="6" t="str">
        <f>IFERROR(__xludf.DUMMYFUNCTION("GOOGLETRANSLATE(E673,""fr"",""it"")"),"Ho incontrato i genetisti e più in particolare i commessi.")</f>
        <v>Ho incontrato i genetisti e più in particolare i commessi.</v>
      </c>
    </row>
    <row r="674">
      <c r="A674" s="4">
        <v>672.0</v>
      </c>
      <c r="B674" s="5" t="s">
        <v>2023</v>
      </c>
      <c r="C674" s="4">
        <v>0.0</v>
      </c>
      <c r="D674" s="5" t="s">
        <v>2024</v>
      </c>
      <c r="E674" s="5" t="s">
        <v>2025</v>
      </c>
      <c r="F674" s="6" t="str">
        <f>IFERROR(__xludf.DUMMYFUNCTION("GOOGLETRANSLATE(D674,""en"",""it"")"),"Ho incontrato gli impiegati e più specificamente genetisti.")</f>
        <v>Ho incontrato gli impiegati e più specificamente genetisti.</v>
      </c>
      <c r="G674" s="6" t="str">
        <f>IFERROR(__xludf.DUMMYFUNCTION("GOOGLETRANSLATE(E674,""fr"",""it"")"),"Ho incontrato gli impiegati, e più in particolare i genetisti.")</f>
        <v>Ho incontrato gli impiegati, e più in particolare i genetisti.</v>
      </c>
    </row>
    <row r="675">
      <c r="A675" s="4">
        <v>673.0</v>
      </c>
      <c r="B675" s="5" t="s">
        <v>2026</v>
      </c>
      <c r="C675" s="4">
        <v>0.0</v>
      </c>
      <c r="D675" s="5" t="s">
        <v>2027</v>
      </c>
      <c r="E675" s="5" t="s">
        <v>2028</v>
      </c>
      <c r="F675" s="6" t="str">
        <f>IFERROR(__xludf.DUMMYFUNCTION("GOOGLETRANSLATE(D675,""en"",""it"")"),"Ho incontrato i genetisti e più specificamente scienziati.")</f>
        <v>Ho incontrato i genetisti e più specificamente scienziati.</v>
      </c>
      <c r="G675" s="6" t="str">
        <f>IFERROR(__xludf.DUMMYFUNCTION("GOOGLETRANSLATE(E675,""fr"",""it"")"),"Ho incontrato i genetisti e più particolarmente scienziati.")</f>
        <v>Ho incontrato i genetisti e più particolarmente scienziati.</v>
      </c>
    </row>
    <row r="676">
      <c r="A676" s="4">
        <v>674.0</v>
      </c>
      <c r="B676" s="5" t="s">
        <v>2029</v>
      </c>
      <c r="C676" s="4">
        <v>1.0</v>
      </c>
      <c r="D676" s="5" t="s">
        <v>2030</v>
      </c>
      <c r="E676" s="5" t="s">
        <v>2031</v>
      </c>
      <c r="F676" s="6" t="str">
        <f>IFERROR(__xludf.DUMMYFUNCTION("GOOGLETRANSLATE(D676,""en"",""it"")"),"Ho incontrato gli scienziati e più specificamente genetisti.")</f>
        <v>Ho incontrato gli scienziati e più specificamente genetisti.</v>
      </c>
      <c r="G676" s="6" t="str">
        <f>IFERROR(__xludf.DUMMYFUNCTION("GOOGLETRANSLATE(E676,""fr"",""it"")"),"Ho incontrato gli scienziati, in particolare i genetisti.")</f>
        <v>Ho incontrato gli scienziati, in particolare i genetisti.</v>
      </c>
    </row>
    <row r="677">
      <c r="A677" s="4">
        <v>675.0</v>
      </c>
      <c r="B677" s="5" t="s">
        <v>2032</v>
      </c>
      <c r="C677" s="4">
        <v>0.0</v>
      </c>
      <c r="D677" s="5" t="s">
        <v>2033</v>
      </c>
      <c r="E677" s="5" t="s">
        <v>2034</v>
      </c>
      <c r="F677" s="6" t="str">
        <f>IFERROR(__xludf.DUMMYFUNCTION("GOOGLETRANSLATE(D677,""en"",""it"")"),"Ho incontrato i genetisti e più camerieri in particolare.")</f>
        <v>Ho incontrato i genetisti e più camerieri in particolare.</v>
      </c>
      <c r="G677" s="6" t="str">
        <f>IFERROR(__xludf.DUMMYFUNCTION("GOOGLETRANSLATE(E677,""fr"",""it"")"),"Ho incontrato i genetisti, e più in particolare i camerieri.")</f>
        <v>Ho incontrato i genetisti, e più in particolare i camerieri.</v>
      </c>
    </row>
    <row r="678">
      <c r="A678" s="4">
        <v>676.0</v>
      </c>
      <c r="B678" s="5" t="s">
        <v>2035</v>
      </c>
      <c r="C678" s="4">
        <v>0.0</v>
      </c>
      <c r="D678" s="5" t="s">
        <v>2036</v>
      </c>
      <c r="E678" s="5" t="s">
        <v>2037</v>
      </c>
      <c r="F678" s="6" t="str">
        <f>IFERROR(__xludf.DUMMYFUNCTION("GOOGLETRANSLATE(D678,""en"",""it"")"),"Ho incontrato i camerieri e più specificamente genetisti.")</f>
        <v>Ho incontrato i camerieri e più specificamente genetisti.</v>
      </c>
      <c r="G678" s="6" t="str">
        <f>IFERROR(__xludf.DUMMYFUNCTION("GOOGLETRANSLATE(E678,""fr"",""it"")"),"Ho incontrato i server, e più in particolare i genetisti.")</f>
        <v>Ho incontrato i server, e più in particolare i genetisti.</v>
      </c>
    </row>
    <row r="679">
      <c r="A679" s="4">
        <v>677.0</v>
      </c>
      <c r="B679" s="5" t="s">
        <v>2038</v>
      </c>
      <c r="C679" s="4">
        <v>0.0</v>
      </c>
      <c r="D679" s="5" t="s">
        <v>2039</v>
      </c>
      <c r="E679" s="5" t="s">
        <v>2040</v>
      </c>
      <c r="F679" s="6" t="str">
        <f>IFERROR(__xludf.DUMMYFUNCTION("GOOGLETRANSLATE(D679,""en"",""it"")"),"Ho incontrato i genetisti e più specificamente custodi.")</f>
        <v>Ho incontrato i genetisti e più specificamente custodi.</v>
      </c>
      <c r="G679" s="6" t="str">
        <f>IFERROR(__xludf.DUMMYFUNCTION("GOOGLETRANSLATE(E679,""fr"",""it"")"),"Ho incontrato i genetisti e più in particolare le guardie.")</f>
        <v>Ho incontrato i genetisti e più in particolare le guardie.</v>
      </c>
    </row>
    <row r="680">
      <c r="A680" s="4">
        <v>678.0</v>
      </c>
      <c r="B680" s="5" t="s">
        <v>2041</v>
      </c>
      <c r="C680" s="4">
        <v>0.0</v>
      </c>
      <c r="D680" s="5" t="s">
        <v>2042</v>
      </c>
      <c r="E680" s="5" t="s">
        <v>2043</v>
      </c>
      <c r="F680" s="6" t="str">
        <f>IFERROR(__xludf.DUMMYFUNCTION("GOOGLETRANSLATE(D680,""en"",""it"")"),"Ho incontrato custodi e più specificamente genetisti.")</f>
        <v>Ho incontrato custodi e più specificamente genetisti.</v>
      </c>
      <c r="G680" s="6" t="str">
        <f>IFERROR(__xludf.DUMMYFUNCTION("GOOGLETRANSLATE(E680,""fr"",""it"")"),"Ho incontrato le guardie e più in particolare i genetisti.")</f>
        <v>Ho incontrato le guardie e più in particolare i genetisti.</v>
      </c>
    </row>
    <row r="681">
      <c r="A681" s="4">
        <v>679.0</v>
      </c>
      <c r="B681" s="5" t="s">
        <v>2044</v>
      </c>
      <c r="C681" s="4">
        <v>0.0</v>
      </c>
      <c r="D681" s="5" t="s">
        <v>2045</v>
      </c>
      <c r="E681" s="5" t="s">
        <v>2046</v>
      </c>
      <c r="F681" s="6" t="str">
        <f>IFERROR(__xludf.DUMMYFUNCTION("GOOGLETRANSLATE(D681,""en"",""it"")"),"Ho incontrato i genetisti e più specificamente i bidelli.")</f>
        <v>Ho incontrato i genetisti e più specificamente i bidelli.</v>
      </c>
      <c r="G681" s="6" t="str">
        <f>IFERROR(__xludf.DUMMYFUNCTION("GOOGLETRANSLATE(E681,""fr"",""it"")"),"Ho incontrato i genetisti e più concieti in particolare.")</f>
        <v>Ho incontrato i genetisti e più concieti in particolare.</v>
      </c>
    </row>
    <row r="682">
      <c r="A682" s="4">
        <v>680.0</v>
      </c>
      <c r="B682" s="5" t="s">
        <v>2047</v>
      </c>
      <c r="C682" s="4">
        <v>0.0</v>
      </c>
      <c r="D682" s="5" t="s">
        <v>2048</v>
      </c>
      <c r="E682" s="5" t="s">
        <v>2049</v>
      </c>
      <c r="F682" s="6" t="str">
        <f>IFERROR(__xludf.DUMMYFUNCTION("GOOGLETRANSLATE(D682,""en"",""it"")"),"Ho incontrato bidelli, e più specificamente genetisti.")</f>
        <v>Ho incontrato bidelli, e più specificamente genetisti.</v>
      </c>
      <c r="G682" s="6" t="str">
        <f>IFERROR(__xludf.DUMMYFUNCTION("GOOGLETRANSLATE(E682,""fr"",""it"")"),"Ho incontrato i concierges e più particolarmente genetisti.")</f>
        <v>Ho incontrato i concierges e più particolarmente genetisti.</v>
      </c>
    </row>
    <row r="683">
      <c r="A683" s="4">
        <v>681.0</v>
      </c>
      <c r="B683" s="5" t="s">
        <v>2050</v>
      </c>
      <c r="C683" s="4">
        <v>0.0</v>
      </c>
      <c r="D683" s="5" t="s">
        <v>2051</v>
      </c>
      <c r="E683" s="5" t="s">
        <v>2052</v>
      </c>
      <c r="F683" s="6" t="str">
        <f>IFERROR(__xludf.DUMMYFUNCTION("GOOGLETRANSLATE(D683,""en"",""it"")"),"Ho incontrato gli astronomi e più specificamente impiegati.")</f>
        <v>Ho incontrato gli astronomi e più specificamente impiegati.</v>
      </c>
      <c r="G683" s="6" t="str">
        <f>IFERROR(__xludf.DUMMYFUNCTION("GOOGLETRANSLATE(E683,""fr"",""it"")"),"Ho incontrato gli astronomi, e in particolare gli impiegati.")</f>
        <v>Ho incontrato gli astronomi, e in particolare gli impiegati.</v>
      </c>
    </row>
    <row r="684">
      <c r="A684" s="4">
        <v>682.0</v>
      </c>
      <c r="B684" s="5" t="s">
        <v>2053</v>
      </c>
      <c r="C684" s="4">
        <v>0.0</v>
      </c>
      <c r="D684" s="5" t="s">
        <v>2054</v>
      </c>
      <c r="E684" s="5" t="s">
        <v>2055</v>
      </c>
      <c r="F684" s="6" t="str">
        <f>IFERROR(__xludf.DUMMYFUNCTION("GOOGLETRANSLATE(D684,""en"",""it"")"),"Ho incontrato gli impiegati, e più specificamente gli astronomi.")</f>
        <v>Ho incontrato gli impiegati, e più specificamente gli astronomi.</v>
      </c>
      <c r="G684" s="6" t="str">
        <f>IFERROR(__xludf.DUMMYFUNCTION("GOOGLETRANSLATE(E684,""fr"",""it"")"),"Ho incontrato gli impiegati e più in particolare gli astronomi.")</f>
        <v>Ho incontrato gli impiegati e più in particolare gli astronomi.</v>
      </c>
    </row>
    <row r="685">
      <c r="A685" s="4">
        <v>683.0</v>
      </c>
      <c r="B685" s="5" t="s">
        <v>2056</v>
      </c>
      <c r="C685" s="4">
        <v>0.0</v>
      </c>
      <c r="D685" s="5" t="s">
        <v>2057</v>
      </c>
      <c r="E685" s="5" t="s">
        <v>2058</v>
      </c>
      <c r="F685" s="6" t="str">
        <f>IFERROR(__xludf.DUMMYFUNCTION("GOOGLETRANSLATE(D685,""en"",""it"")"),"Ho incontrato gli astronomi e più specificamente scienziati.")</f>
        <v>Ho incontrato gli astronomi e più specificamente scienziati.</v>
      </c>
      <c r="G685" s="6" t="str">
        <f>IFERROR(__xludf.DUMMYFUNCTION("GOOGLETRANSLATE(E685,""fr"",""it"")"),"Ho incontrato gli astronomi e più particolarmente scienziati.")</f>
        <v>Ho incontrato gli astronomi e più particolarmente scienziati.</v>
      </c>
    </row>
    <row r="686">
      <c r="A686" s="4">
        <v>684.0</v>
      </c>
      <c r="B686" s="5" t="s">
        <v>2059</v>
      </c>
      <c r="C686" s="4">
        <v>1.0</v>
      </c>
      <c r="D686" s="5" t="s">
        <v>2060</v>
      </c>
      <c r="E686" s="5" t="s">
        <v>2061</v>
      </c>
      <c r="F686" s="6" t="str">
        <f>IFERROR(__xludf.DUMMYFUNCTION("GOOGLETRANSLATE(D686,""en"",""it"")"),"Ho incontrato scienziati e più specificamente astronomi.")</f>
        <v>Ho incontrato scienziati e più specificamente astronomi.</v>
      </c>
      <c r="G686" s="6" t="str">
        <f>IFERROR(__xludf.DUMMYFUNCTION("GOOGLETRANSLATE(E686,""fr"",""it"")"),"Ho incontrato gli scienziati e più gli astronomi in particolare.")</f>
        <v>Ho incontrato gli scienziati e più gli astronomi in particolare.</v>
      </c>
    </row>
    <row r="687">
      <c r="A687" s="4">
        <v>685.0</v>
      </c>
      <c r="B687" s="5" t="s">
        <v>2062</v>
      </c>
      <c r="C687" s="4">
        <v>0.0</v>
      </c>
      <c r="D687" s="5" t="s">
        <v>2063</v>
      </c>
      <c r="E687" s="5" t="s">
        <v>2064</v>
      </c>
      <c r="F687" s="6" t="str">
        <f>IFERROR(__xludf.DUMMYFUNCTION("GOOGLETRANSLATE(D687,""en"",""it"")"),"Ho incontrato gli astronomi e più specificamente i camerieri.")</f>
        <v>Ho incontrato gli astronomi e più specificamente i camerieri.</v>
      </c>
      <c r="G687" s="6" t="str">
        <f>IFERROR(__xludf.DUMMYFUNCTION("GOOGLETRANSLATE(E687,""fr"",""it"")"),"Ho incontrato gli astronomi e più in particolare i camerieri.")</f>
        <v>Ho incontrato gli astronomi e più in particolare i camerieri.</v>
      </c>
    </row>
    <row r="688">
      <c r="A688" s="4">
        <v>686.0</v>
      </c>
      <c r="B688" s="5" t="s">
        <v>2065</v>
      </c>
      <c r="C688" s="4">
        <v>0.0</v>
      </c>
      <c r="D688" s="5" t="s">
        <v>2066</v>
      </c>
      <c r="E688" s="5" t="s">
        <v>2067</v>
      </c>
      <c r="F688" s="6" t="str">
        <f>IFERROR(__xludf.DUMMYFUNCTION("GOOGLETRANSLATE(D688,""en"",""it"")"),"Ho incontrato i camerieri e più specificamente gli astronomi.")</f>
        <v>Ho incontrato i camerieri e più specificamente gli astronomi.</v>
      </c>
      <c r="G688" s="6" t="str">
        <f>IFERROR(__xludf.DUMMYFUNCTION("GOOGLETRANSLATE(E688,""fr"",""it"")"),"Ho incontrato i camerieri e più gli astronomi in particolare.")</f>
        <v>Ho incontrato i camerieri e più gli astronomi in particolare.</v>
      </c>
    </row>
    <row r="689">
      <c r="A689" s="4">
        <v>687.0</v>
      </c>
      <c r="B689" s="5" t="s">
        <v>2068</v>
      </c>
      <c r="C689" s="4">
        <v>0.0</v>
      </c>
      <c r="D689" s="5" t="s">
        <v>2069</v>
      </c>
      <c r="E689" s="5" t="s">
        <v>2070</v>
      </c>
      <c r="F689" s="6" t="str">
        <f>IFERROR(__xludf.DUMMYFUNCTION("GOOGLETRANSLATE(D689,""en"",""it"")"),"Ho incontrato gli astronomi e più specificamente custodi.")</f>
        <v>Ho incontrato gli astronomi e più specificamente custodi.</v>
      </c>
      <c r="G689" s="6" t="str">
        <f>IFERROR(__xludf.DUMMYFUNCTION("GOOGLETRANSLATE(E689,""fr"",""it"")"),"Ho incontrato gli astronomi e più guardiani in particolare.")</f>
        <v>Ho incontrato gli astronomi e più guardiani in particolare.</v>
      </c>
    </row>
    <row r="690">
      <c r="A690" s="4">
        <v>688.0</v>
      </c>
      <c r="B690" s="5" t="s">
        <v>2071</v>
      </c>
      <c r="C690" s="4">
        <v>0.0</v>
      </c>
      <c r="D690" s="5" t="s">
        <v>2072</v>
      </c>
      <c r="E690" s="5" t="s">
        <v>2073</v>
      </c>
      <c r="F690" s="6" t="str">
        <f>IFERROR(__xludf.DUMMYFUNCTION("GOOGLETRANSLATE(D690,""en"",""it"")"),"Ho incontrato custodi e più specificamente gli astronomi.")</f>
        <v>Ho incontrato custodi e più specificamente gli astronomi.</v>
      </c>
      <c r="G690" s="6" t="str">
        <f>IFERROR(__xludf.DUMMYFUNCTION("GOOGLETRANSLATE(E690,""fr"",""it"")"),"Ho incontrato le guardie e più astronomi in particolare.")</f>
        <v>Ho incontrato le guardie e più astronomi in particolare.</v>
      </c>
    </row>
    <row r="691">
      <c r="A691" s="4">
        <v>689.0</v>
      </c>
      <c r="B691" s="5" t="s">
        <v>2074</v>
      </c>
      <c r="C691" s="4">
        <v>0.0</v>
      </c>
      <c r="D691" s="5" t="s">
        <v>2075</v>
      </c>
      <c r="E691" s="5" t="s">
        <v>2076</v>
      </c>
      <c r="F691" s="6" t="str">
        <f>IFERROR(__xludf.DUMMYFUNCTION("GOOGLETRANSLATE(D691,""en"",""it"")"),"Ho incontrato gli astronomi e più specificamente i bidelli.")</f>
        <v>Ho incontrato gli astronomi e più specificamente i bidelli.</v>
      </c>
      <c r="G691" s="6" t="str">
        <f>IFERROR(__xludf.DUMMYFUNCTION("GOOGLETRANSLATE(E691,""fr"",""it"")"),"Ho incontrato gli astronomi e più concieti in particolare.")</f>
        <v>Ho incontrato gli astronomi e più concieti in particolare.</v>
      </c>
    </row>
    <row r="692">
      <c r="A692" s="4">
        <v>690.0</v>
      </c>
      <c r="B692" s="5" t="s">
        <v>2077</v>
      </c>
      <c r="C692" s="4">
        <v>0.0</v>
      </c>
      <c r="D692" s="5" t="s">
        <v>2078</v>
      </c>
      <c r="E692" s="5" t="s">
        <v>2079</v>
      </c>
      <c r="F692" s="6" t="str">
        <f>IFERROR(__xludf.DUMMYFUNCTION("GOOGLETRANSLATE(D692,""en"",""it"")"),"Ho incontrato i bidelli, e più specificamente gli astronomi.")</f>
        <v>Ho incontrato i bidelli, e più specificamente gli astronomi.</v>
      </c>
      <c r="G692" s="6" t="str">
        <f>IFERROR(__xludf.DUMMYFUNCTION("GOOGLETRANSLATE(E692,""fr"",""it"")"),"Ho incontrato i conciergie e più in particolare gli astronomi.")</f>
        <v>Ho incontrato i conciergie e più in particolare gli astronomi.</v>
      </c>
    </row>
    <row r="693">
      <c r="A693" s="4">
        <v>691.0</v>
      </c>
      <c r="B693" s="5" t="s">
        <v>2080</v>
      </c>
      <c r="C693" s="4">
        <v>0.0</v>
      </c>
      <c r="D693" s="5" t="s">
        <v>2081</v>
      </c>
      <c r="E693" s="5" t="s">
        <v>2082</v>
      </c>
      <c r="F693" s="6" t="str">
        <f>IFERROR(__xludf.DUMMYFUNCTION("GOOGLETRANSLATE(D693,""en"",""it"")"),"Ho incontrato fisici e più specificamente impiegati.")</f>
        <v>Ho incontrato fisici e più specificamente impiegati.</v>
      </c>
      <c r="G693" s="6" t="str">
        <f>IFERROR(__xludf.DUMMYFUNCTION("GOOGLETRANSLATE(E693,""fr"",""it"")"),"Ho incontrato fisici, e in particolare gli impiegati.")</f>
        <v>Ho incontrato fisici, e in particolare gli impiegati.</v>
      </c>
    </row>
    <row r="694">
      <c r="A694" s="4">
        <v>692.0</v>
      </c>
      <c r="B694" s="5" t="s">
        <v>2083</v>
      </c>
      <c r="C694" s="4">
        <v>0.0</v>
      </c>
      <c r="D694" s="5" t="s">
        <v>2084</v>
      </c>
      <c r="E694" s="5" t="s">
        <v>2085</v>
      </c>
      <c r="F694" s="6" t="str">
        <f>IFERROR(__xludf.DUMMYFUNCTION("GOOGLETRANSLATE(D694,""en"",""it"")"),"Ho incontrato gli impiegati e più specificamente fisici.")</f>
        <v>Ho incontrato gli impiegati e più specificamente fisici.</v>
      </c>
      <c r="G694" s="6" t="str">
        <f>IFERROR(__xludf.DUMMYFUNCTION("GOOGLETRANSLATE(E694,""fr"",""it"")"),"Ho incontrato gli impiegati e più fisici in particolare.")</f>
        <v>Ho incontrato gli impiegati e più fisici in particolare.</v>
      </c>
    </row>
    <row r="695">
      <c r="A695" s="4">
        <v>693.0</v>
      </c>
      <c r="B695" s="5" t="s">
        <v>2086</v>
      </c>
      <c r="C695" s="4">
        <v>0.0</v>
      </c>
      <c r="D695" s="5" t="s">
        <v>2087</v>
      </c>
      <c r="E695" s="5" t="s">
        <v>2088</v>
      </c>
      <c r="F695" s="6" t="str">
        <f>IFERROR(__xludf.DUMMYFUNCTION("GOOGLETRANSLATE(D695,""en"",""it"")"),"Ho incontrato fisici e più specificamente scienziati.")</f>
        <v>Ho incontrato fisici e più specificamente scienziati.</v>
      </c>
      <c r="G695" s="6" t="str">
        <f>IFERROR(__xludf.DUMMYFUNCTION("GOOGLETRANSLATE(E695,""fr"",""it"")"),"Ho incontrato i fisici e più particolarmente scienziati.")</f>
        <v>Ho incontrato i fisici e più particolarmente scienziati.</v>
      </c>
    </row>
    <row r="696">
      <c r="A696" s="4">
        <v>694.0</v>
      </c>
      <c r="B696" s="5" t="s">
        <v>2089</v>
      </c>
      <c r="C696" s="4">
        <v>1.0</v>
      </c>
      <c r="D696" s="5" t="s">
        <v>2090</v>
      </c>
      <c r="E696" s="5" t="s">
        <v>2091</v>
      </c>
      <c r="F696" s="6" t="str">
        <f>IFERROR(__xludf.DUMMYFUNCTION("GOOGLETRANSLATE(D696,""en"",""it"")"),"Ho incontrato gli scienziati e più specificamente fisici.")</f>
        <v>Ho incontrato gli scienziati e più specificamente fisici.</v>
      </c>
      <c r="G696" s="6" t="str">
        <f>IFERROR(__xludf.DUMMYFUNCTION("GOOGLETRANSLATE(E696,""fr"",""it"")"),"Ho incontrato gli scienziati e più fisici in particolare.")</f>
        <v>Ho incontrato gli scienziati e più fisici in particolare.</v>
      </c>
    </row>
    <row r="697">
      <c r="A697" s="4">
        <v>695.0</v>
      </c>
      <c r="B697" s="5" t="s">
        <v>2092</v>
      </c>
      <c r="C697" s="4">
        <v>0.0</v>
      </c>
      <c r="D697" s="5" t="s">
        <v>2093</v>
      </c>
      <c r="E697" s="5" t="s">
        <v>2094</v>
      </c>
      <c r="F697" s="6" t="str">
        <f>IFERROR(__xludf.DUMMYFUNCTION("GOOGLETRANSLATE(D697,""en"",""it"")"),"Ho incontrato i fisici, e più specificamente i camerieri.")</f>
        <v>Ho incontrato i fisici, e più specificamente i camerieri.</v>
      </c>
      <c r="G697" s="6" t="str">
        <f>IFERROR(__xludf.DUMMYFUNCTION("GOOGLETRANSLATE(E697,""fr"",""it"")"),"Ho incontrato i fisici e più in particolare i camerieri.")</f>
        <v>Ho incontrato i fisici e più in particolare i camerieri.</v>
      </c>
    </row>
    <row r="698">
      <c r="A698" s="4">
        <v>696.0</v>
      </c>
      <c r="B698" s="5" t="s">
        <v>2095</v>
      </c>
      <c r="C698" s="4">
        <v>0.0</v>
      </c>
      <c r="D698" s="5" t="s">
        <v>2096</v>
      </c>
      <c r="E698" s="5" t="s">
        <v>2097</v>
      </c>
      <c r="F698" s="6" t="str">
        <f>IFERROR(__xludf.DUMMYFUNCTION("GOOGLETRANSLATE(D698,""en"",""it"")"),"Ho incontrato i camerieri e più specificamente fisici.")</f>
        <v>Ho incontrato i camerieri e più specificamente fisici.</v>
      </c>
      <c r="G698" s="6" t="str">
        <f>IFERROR(__xludf.DUMMYFUNCTION("GOOGLETRANSLATE(E698,""fr"",""it"")"),"Ho incontrato i server e più fisici in particolare.")</f>
        <v>Ho incontrato i server e più fisici in particolare.</v>
      </c>
    </row>
    <row r="699">
      <c r="A699" s="4">
        <v>697.0</v>
      </c>
      <c r="B699" s="5" t="s">
        <v>2098</v>
      </c>
      <c r="C699" s="4">
        <v>0.0</v>
      </c>
      <c r="D699" s="5" t="s">
        <v>2099</v>
      </c>
      <c r="E699" s="5" t="s">
        <v>2100</v>
      </c>
      <c r="F699" s="6" t="str">
        <f>IFERROR(__xludf.DUMMYFUNCTION("GOOGLETRANSLATE(D699,""en"",""it"")"),"Ho incontrato fisici e più specificamente custodi.")</f>
        <v>Ho incontrato fisici e più specificamente custodi.</v>
      </c>
      <c r="G699" s="6" t="str">
        <f>IFERROR(__xludf.DUMMYFUNCTION("GOOGLETRANSLATE(E699,""fr"",""it"")"),"Ho incontrato fisici e più guardiani in particolare.")</f>
        <v>Ho incontrato fisici e più guardiani in particolare.</v>
      </c>
    </row>
    <row r="700">
      <c r="A700" s="4">
        <v>698.0</v>
      </c>
      <c r="B700" s="5" t="s">
        <v>2101</v>
      </c>
      <c r="C700" s="4">
        <v>0.0</v>
      </c>
      <c r="D700" s="5" t="s">
        <v>2102</v>
      </c>
      <c r="E700" s="5" t="s">
        <v>2103</v>
      </c>
      <c r="F700" s="6" t="str">
        <f>IFERROR(__xludf.DUMMYFUNCTION("GOOGLETRANSLATE(D700,""en"",""it"")"),"Ho incontrato custodi e più specificamente fisici.")</f>
        <v>Ho incontrato custodi e più specificamente fisici.</v>
      </c>
      <c r="G700" s="6" t="str">
        <f>IFERROR(__xludf.DUMMYFUNCTION("GOOGLETRANSLATE(E700,""fr"",""it"")"),"Ho incontrato le guardie e più fisici in particolare.")</f>
        <v>Ho incontrato le guardie e più fisici in particolare.</v>
      </c>
    </row>
    <row r="701">
      <c r="A701" s="4">
        <v>699.0</v>
      </c>
      <c r="B701" s="5" t="s">
        <v>2104</v>
      </c>
      <c r="C701" s="4">
        <v>0.0</v>
      </c>
      <c r="D701" s="5" t="s">
        <v>2105</v>
      </c>
      <c r="E701" s="5" t="s">
        <v>2106</v>
      </c>
      <c r="F701" s="6" t="str">
        <f>IFERROR(__xludf.DUMMYFUNCTION("GOOGLETRANSLATE(D701,""en"",""it"")"),"Ho incontrato fisici e più specificamente i bidelli.")</f>
        <v>Ho incontrato fisici e più specificamente i bidelli.</v>
      </c>
      <c r="G701" s="6" t="str">
        <f>IFERROR(__xludf.DUMMYFUNCTION("GOOGLETRANSLATE(E701,""fr"",""it"")"),"Ho incontrato fisici e più concieti in particolare.")</f>
        <v>Ho incontrato fisici e più concieti in particolare.</v>
      </c>
    </row>
    <row r="702">
      <c r="A702" s="4">
        <v>700.0</v>
      </c>
      <c r="B702" s="5" t="s">
        <v>2107</v>
      </c>
      <c r="C702" s="4">
        <v>0.0</v>
      </c>
      <c r="D702" s="5" t="s">
        <v>2108</v>
      </c>
      <c r="E702" s="5" t="s">
        <v>2109</v>
      </c>
      <c r="F702" s="6" t="str">
        <f>IFERROR(__xludf.DUMMYFUNCTION("GOOGLETRANSLATE(D702,""en"",""it"")"),"Ho incontrato i bidelli, e più specificamente fisici.")</f>
        <v>Ho incontrato i bidelli, e più specificamente fisici.</v>
      </c>
      <c r="G702" s="6" t="str">
        <f>IFERROR(__xludf.DUMMYFUNCTION("GOOGLETRANSLATE(E702,""fr"",""it"")"),"Ho incontrato i conciergie e più fisici in particolare.")</f>
        <v>Ho incontrato i conciergie e più fisici in particolare.</v>
      </c>
    </row>
    <row r="703">
      <c r="A703" s="4">
        <v>701.0</v>
      </c>
      <c r="B703" s="5" t="s">
        <v>2110</v>
      </c>
      <c r="C703" s="4">
        <v>0.0</v>
      </c>
      <c r="D703" s="5" t="s">
        <v>2111</v>
      </c>
      <c r="E703" s="5" t="s">
        <v>2112</v>
      </c>
      <c r="F703" s="6" t="str">
        <f>IFERROR(__xludf.DUMMYFUNCTION("GOOGLETRANSLATE(D703,""en"",""it"")"),"Mi piacciono gli abeti, ad eccezione dell'erba.")</f>
        <v>Mi piacciono gli abeti, ad eccezione dell'erba.</v>
      </c>
      <c r="G703" s="6" t="str">
        <f>IFERROR(__xludf.DUMMYFUNCTION("GOOGLETRANSLATE(E703,""fr"",""it"")"),"Adoro gli abeti, tranne il prato.")</f>
        <v>Adoro gli abeti, tranne il prato.</v>
      </c>
    </row>
    <row r="704">
      <c r="A704" s="4">
        <v>702.0</v>
      </c>
      <c r="B704" s="5" t="s">
        <v>2113</v>
      </c>
      <c r="C704" s="4">
        <v>0.0</v>
      </c>
      <c r="D704" s="5" t="s">
        <v>2114</v>
      </c>
      <c r="E704" s="5" t="s">
        <v>2115</v>
      </c>
      <c r="F704" s="6" t="str">
        <f>IFERROR(__xludf.DUMMYFUNCTION("GOOGLETRANSLATE(D704,""en"",""it"")"),"Mi piace l'erba, eccetto gli abeti.")</f>
        <v>Mi piace l'erba, eccetto gli abeti.</v>
      </c>
      <c r="G704" s="6" t="str">
        <f>IFERROR(__xludf.DUMMYFUNCTION("GOOGLETRANSLATE(E704,""fr"",""it"")"),"Adoro il prato, tranne gli abeti.")</f>
        <v>Adoro il prato, tranne gli abeti.</v>
      </c>
    </row>
    <row r="705">
      <c r="A705" s="4">
        <v>703.0</v>
      </c>
      <c r="B705" s="5" t="s">
        <v>2116</v>
      </c>
      <c r="C705" s="4">
        <v>0.0</v>
      </c>
      <c r="D705" s="5" t="s">
        <v>2117</v>
      </c>
      <c r="E705" s="5" t="s">
        <v>2118</v>
      </c>
      <c r="F705" s="6" t="str">
        <f>IFERROR(__xludf.DUMMYFUNCTION("GOOGLETRANSLATE(D705,""en"",""it"")"),"Mi piacciono gli abeti, tranne gli alberi.")</f>
        <v>Mi piacciono gli abeti, tranne gli alberi.</v>
      </c>
      <c r="G705" s="6" t="str">
        <f>IFERROR(__xludf.DUMMYFUNCTION("GOOGLETRANSLATE(E705,""fr"",""it"")"),"Adoro gli abeti tranne gli alberi.")</f>
        <v>Adoro gli abeti tranne gli alberi.</v>
      </c>
    </row>
    <row r="706">
      <c r="A706" s="4">
        <v>704.0</v>
      </c>
      <c r="B706" s="5" t="s">
        <v>2119</v>
      </c>
      <c r="C706" s="4">
        <v>1.0</v>
      </c>
      <c r="D706" s="5" t="s">
        <v>2120</v>
      </c>
      <c r="E706" s="5" t="s">
        <v>2121</v>
      </c>
      <c r="F706" s="6" t="str">
        <f>IFERROR(__xludf.DUMMYFUNCTION("GOOGLETRANSLATE(D706,""en"",""it"")"),"Mi piacciono gli alberi, eccetto gli abeti.")</f>
        <v>Mi piacciono gli alberi, eccetto gli abeti.</v>
      </c>
      <c r="G706" s="6" t="str">
        <f>IFERROR(__xludf.DUMMYFUNCTION("GOOGLETRANSLATE(E706,""fr"",""it"")"),"Amo gli alberi tranne gli abeti.")</f>
        <v>Amo gli alberi tranne gli abeti.</v>
      </c>
    </row>
    <row r="707">
      <c r="A707" s="4">
        <v>705.0</v>
      </c>
      <c r="B707" s="5" t="s">
        <v>2122</v>
      </c>
      <c r="C707" s="4">
        <v>0.0</v>
      </c>
      <c r="D707" s="5" t="s">
        <v>2123</v>
      </c>
      <c r="E707" s="5" t="s">
        <v>2124</v>
      </c>
      <c r="F707" s="6" t="str">
        <f>IFERROR(__xludf.DUMMYFUNCTION("GOOGLETRANSLATE(D707,""en"",""it"")"),"Mi piacciono gli abeti, tranne gli animali.")</f>
        <v>Mi piacciono gli abeti, tranne gli animali.</v>
      </c>
      <c r="G707" s="6" t="str">
        <f>IFERROR(__xludf.DUMMYFUNCTION("GOOGLETRANSLATE(E707,""fr"",""it"")"),"Adoro l'abete, tranne gli animali.")</f>
        <v>Adoro l'abete, tranne gli animali.</v>
      </c>
    </row>
    <row r="708">
      <c r="A708" s="4">
        <v>706.0</v>
      </c>
      <c r="B708" s="5" t="s">
        <v>2125</v>
      </c>
      <c r="C708" s="4">
        <v>0.0</v>
      </c>
      <c r="D708" s="5" t="s">
        <v>2126</v>
      </c>
      <c r="E708" s="5" t="s">
        <v>2127</v>
      </c>
      <c r="F708" s="6" t="str">
        <f>IFERROR(__xludf.DUMMYFUNCTION("GOOGLETRANSLATE(D708,""en"",""it"")"),"Mi piacciono gli animali, eccetto gli abeti.")</f>
        <v>Mi piacciono gli animali, eccetto gli abeti.</v>
      </c>
      <c r="G708" s="6" t="str">
        <f>IFERROR(__xludf.DUMMYFUNCTION("GOOGLETRANSLATE(E708,""fr"",""it"")"),"Amo gli animali tranne gli abeti.")</f>
        <v>Amo gli animali tranne gli abeti.</v>
      </c>
    </row>
    <row r="709">
      <c r="A709" s="4">
        <v>707.0</v>
      </c>
      <c r="B709" s="5" t="s">
        <v>2128</v>
      </c>
      <c r="C709" s="4">
        <v>0.0</v>
      </c>
      <c r="D709" s="5" t="s">
        <v>2129</v>
      </c>
      <c r="E709" s="5" t="s">
        <v>2130</v>
      </c>
      <c r="F709" s="6" t="str">
        <f>IFERROR(__xludf.DUMMYFUNCTION("GOOGLETRANSLATE(D709,""en"",""it"")"),"Mi piacciono i Beagles, ad eccezione dei conigli.")</f>
        <v>Mi piacciono i Beagles, ad eccezione dei conigli.</v>
      </c>
      <c r="G709" s="6" t="str">
        <f>IFERROR(__xludf.DUMMYFUNCTION("GOOGLETRANSLATE(E709,""fr"",""it"")"),"Amo Beagles, ad eccezione dei conigli.")</f>
        <v>Amo Beagles, ad eccezione dei conigli.</v>
      </c>
    </row>
    <row r="710">
      <c r="A710" s="4">
        <v>708.0</v>
      </c>
      <c r="B710" s="5" t="s">
        <v>2131</v>
      </c>
      <c r="C710" s="4">
        <v>0.0</v>
      </c>
      <c r="D710" s="5" t="s">
        <v>2132</v>
      </c>
      <c r="E710" s="5" t="s">
        <v>2133</v>
      </c>
      <c r="F710" s="6" t="str">
        <f>IFERROR(__xludf.DUMMYFUNCTION("GOOGLETRANSLATE(D710,""en"",""it"")"),"Mi piacciono gli abeti, tranne i cespugli.")</f>
        <v>Mi piacciono gli abeti, tranne i cespugli.</v>
      </c>
      <c r="G710" s="6" t="str">
        <f>IFERROR(__xludf.DUMMYFUNCTION("GOOGLETRANSLATE(E710,""fr"",""it"")"),"Adoro gli abeti, tranne i cespugli.")</f>
        <v>Adoro gli abeti, tranne i cespugli.</v>
      </c>
    </row>
    <row r="711">
      <c r="A711" s="4">
        <v>709.0</v>
      </c>
      <c r="B711" s="5" t="s">
        <v>2134</v>
      </c>
      <c r="C711" s="4">
        <v>0.0</v>
      </c>
      <c r="D711" s="5" t="s">
        <v>2135</v>
      </c>
      <c r="E711" s="5" t="s">
        <v>2136</v>
      </c>
      <c r="F711" s="6" t="str">
        <f>IFERROR(__xludf.DUMMYFUNCTION("GOOGLETRANSLATE(D711,""en"",""it"")"),"Mi piacciono i cespugli, eccetto gli abeti.")</f>
        <v>Mi piacciono i cespugli, eccetto gli abeti.</v>
      </c>
      <c r="G711" s="6" t="str">
        <f>IFERROR(__xludf.DUMMYFUNCTION("GOOGLETRANSLATE(E711,""fr"",""it"")"),"Amo i cespugli, eccetto gli abeti.")</f>
        <v>Amo i cespugli, eccetto gli abeti.</v>
      </c>
    </row>
    <row r="712">
      <c r="A712" s="4">
        <v>710.0</v>
      </c>
      <c r="B712" s="5" t="s">
        <v>2137</v>
      </c>
      <c r="C712" s="4">
        <v>0.0</v>
      </c>
      <c r="D712" s="5" t="s">
        <v>2138</v>
      </c>
      <c r="E712" s="5" t="s">
        <v>2139</v>
      </c>
      <c r="F712" s="6" t="str">
        <f>IFERROR(__xludf.DUMMYFUNCTION("GOOGLETRANSLATE(D712,""en"",""it"")"),"Mi piacciono gli abeti, tranne gli arbusti.")</f>
        <v>Mi piacciono gli abeti, tranne gli arbusti.</v>
      </c>
      <c r="G712" s="6" t="str">
        <f>IFERROR(__xludf.DUMMYFUNCTION("GOOGLETRANSLATE(E712,""fr"",""it"")"),"Adoro gli abeti, tranne gli arbusti.")</f>
        <v>Adoro gli abeti, tranne gli arbusti.</v>
      </c>
    </row>
    <row r="713">
      <c r="A713" s="4">
        <v>711.0</v>
      </c>
      <c r="B713" s="5" t="s">
        <v>2140</v>
      </c>
      <c r="C713" s="4">
        <v>0.0</v>
      </c>
      <c r="D713" s="5" t="s">
        <v>2141</v>
      </c>
      <c r="E713" s="5" t="s">
        <v>2142</v>
      </c>
      <c r="F713" s="6" t="str">
        <f>IFERROR(__xludf.DUMMYFUNCTION("GOOGLETRANSLATE(D713,""en"",""it"")"),"Mi piacciono gli arbusti, eccetto gli abeti.")</f>
        <v>Mi piacciono gli arbusti, eccetto gli abeti.</v>
      </c>
      <c r="G713" s="6" t="str">
        <f>IFERROR(__xludf.DUMMYFUNCTION("GOOGLETRANSLATE(E713,""fr"",""it"")"),"Amo gli arbusti, eccetto gli abeti.")</f>
        <v>Amo gli arbusti, eccetto gli abeti.</v>
      </c>
    </row>
    <row r="714">
      <c r="A714" s="4">
        <v>712.0</v>
      </c>
      <c r="B714" s="5" t="s">
        <v>2143</v>
      </c>
      <c r="C714" s="4">
        <v>0.0</v>
      </c>
      <c r="D714" s="5" t="s">
        <v>2144</v>
      </c>
      <c r="E714" s="5" t="s">
        <v>2145</v>
      </c>
      <c r="F714" s="6" t="str">
        <f>IFERROR(__xludf.DUMMYFUNCTION("GOOGLETRANSLATE(D714,""en"",""it"")"),"Mi piacciono i conigli, tranne Beagles.")</f>
        <v>Mi piacciono i conigli, tranne Beagles.</v>
      </c>
      <c r="G714" s="6" t="str">
        <f>IFERROR(__xludf.DUMMYFUNCTION("GOOGLETRANSLATE(E714,""fr"",""it"")"),"Amo i conigli, tranne i Beagles.")</f>
        <v>Amo i conigli, tranne i Beagles.</v>
      </c>
    </row>
    <row r="715">
      <c r="A715" s="4">
        <v>713.0</v>
      </c>
      <c r="B715" s="5" t="s">
        <v>2146</v>
      </c>
      <c r="C715" s="4">
        <v>0.0</v>
      </c>
      <c r="D715" s="5" t="s">
        <v>2147</v>
      </c>
      <c r="E715" s="5" t="s">
        <v>2148</v>
      </c>
      <c r="F715" s="6" t="str">
        <f>IFERROR(__xludf.DUMMYFUNCTION("GOOGLETRANSLATE(D715,""en"",""it"")"),"Mi piacciono i pini, ad eccezione dell'erba.")</f>
        <v>Mi piacciono i pini, ad eccezione dell'erba.</v>
      </c>
      <c r="G715" s="6" t="str">
        <f>IFERROR(__xludf.DUMMYFUNCTION("GOOGLETRANSLATE(E715,""fr"",""it"")"),"Adoro i pini tranne il prato.")</f>
        <v>Adoro i pini tranne il prato.</v>
      </c>
    </row>
    <row r="716">
      <c r="A716" s="4">
        <v>714.0</v>
      </c>
      <c r="B716" s="5" t="s">
        <v>2149</v>
      </c>
      <c r="C716" s="4">
        <v>0.0</v>
      </c>
      <c r="D716" s="5" t="s">
        <v>2150</v>
      </c>
      <c r="E716" s="5" t="s">
        <v>2151</v>
      </c>
      <c r="F716" s="6" t="str">
        <f>IFERROR(__xludf.DUMMYFUNCTION("GOOGLETRANSLATE(D716,""en"",""it"")"),"Mi piace l'erba, tranne i pini.")</f>
        <v>Mi piace l'erba, tranne i pini.</v>
      </c>
      <c r="G716" s="6" t="str">
        <f>IFERROR(__xludf.DUMMYFUNCTION("GOOGLETRANSLATE(E716,""fr"",""it"")"),"Adoro il prato tranne i pini.")</f>
        <v>Adoro il prato tranne i pini.</v>
      </c>
    </row>
    <row r="717">
      <c r="A717" s="4">
        <v>715.0</v>
      </c>
      <c r="B717" s="5" t="s">
        <v>2152</v>
      </c>
      <c r="C717" s="4">
        <v>0.0</v>
      </c>
      <c r="D717" s="5" t="s">
        <v>2153</v>
      </c>
      <c r="E717" s="5" t="s">
        <v>2154</v>
      </c>
      <c r="F717" s="6" t="str">
        <f>IFERROR(__xludf.DUMMYFUNCTION("GOOGLETRANSLATE(D717,""en"",""it"")"),"Mi piacciono i pini, tranne gli alberi.")</f>
        <v>Mi piacciono i pini, tranne gli alberi.</v>
      </c>
      <c r="G717" s="6" t="str">
        <f>IFERROR(__xludf.DUMMYFUNCTION("GOOGLETRANSLATE(E717,""fr"",""it"")"),"Adoro i pini tranne gli alberi.")</f>
        <v>Adoro i pini tranne gli alberi.</v>
      </c>
    </row>
    <row r="718">
      <c r="A718" s="4">
        <v>716.0</v>
      </c>
      <c r="B718" s="5" t="s">
        <v>2155</v>
      </c>
      <c r="C718" s="4">
        <v>1.0</v>
      </c>
      <c r="D718" s="5" t="s">
        <v>2156</v>
      </c>
      <c r="E718" s="5" t="s">
        <v>2157</v>
      </c>
      <c r="F718" s="6" t="str">
        <f>IFERROR(__xludf.DUMMYFUNCTION("GOOGLETRANSLATE(D718,""en"",""it"")"),"Mi piacciono gli alberi, tranne i pini.")</f>
        <v>Mi piacciono gli alberi, tranne i pini.</v>
      </c>
      <c r="G718" s="6" t="str">
        <f>IFERROR(__xludf.DUMMYFUNCTION("GOOGLETRANSLATE(E718,""fr"",""it"")"),"Amo gli alberi tranne i pini.")</f>
        <v>Amo gli alberi tranne i pini.</v>
      </c>
    </row>
    <row r="719">
      <c r="A719" s="4">
        <v>717.0</v>
      </c>
      <c r="B719" s="5" t="s">
        <v>2158</v>
      </c>
      <c r="C719" s="4">
        <v>0.0</v>
      </c>
      <c r="D719" s="5" t="s">
        <v>2159</v>
      </c>
      <c r="E719" s="5" t="s">
        <v>2160</v>
      </c>
      <c r="F719" s="6" t="str">
        <f>IFERROR(__xludf.DUMMYFUNCTION("GOOGLETRANSLATE(D719,""en"",""it"")"),"Mi piacciono i pini, tranne gli animali.")</f>
        <v>Mi piacciono i pini, tranne gli animali.</v>
      </c>
      <c r="G719" s="6" t="str">
        <f>IFERROR(__xludf.DUMMYFUNCTION("GOOGLETRANSLATE(E719,""fr"",""it"")"),"Adoro i pini tranne gli animali.")</f>
        <v>Adoro i pini tranne gli animali.</v>
      </c>
    </row>
    <row r="720">
      <c r="A720" s="4">
        <v>718.0</v>
      </c>
      <c r="B720" s="5" t="s">
        <v>2161</v>
      </c>
      <c r="C720" s="4">
        <v>0.0</v>
      </c>
      <c r="D720" s="5" t="s">
        <v>2162</v>
      </c>
      <c r="E720" s="5" t="s">
        <v>2163</v>
      </c>
      <c r="F720" s="6" t="str">
        <f>IFERROR(__xludf.DUMMYFUNCTION("GOOGLETRANSLATE(D720,""en"",""it"")"),"Mi piacciono gli animali, tranne i pini.")</f>
        <v>Mi piacciono gli animali, tranne i pini.</v>
      </c>
      <c r="G720" s="6" t="str">
        <f>IFERROR(__xludf.DUMMYFUNCTION("GOOGLETRANSLATE(E720,""fr"",""it"")"),"Amo gli animali tranne i pini.")</f>
        <v>Amo gli animali tranne i pini.</v>
      </c>
    </row>
    <row r="721">
      <c r="A721" s="4">
        <v>719.0</v>
      </c>
      <c r="B721" s="5" t="s">
        <v>2164</v>
      </c>
      <c r="C721" s="4">
        <v>0.0</v>
      </c>
      <c r="D721" s="5" t="s">
        <v>2165</v>
      </c>
      <c r="E721" s="5" t="s">
        <v>2166</v>
      </c>
      <c r="F721" s="6" t="str">
        <f>IFERROR(__xludf.DUMMYFUNCTION("GOOGLETRANSLATE(D721,""en"",""it"")"),"Mi piacciono i pini, tranne i cespugli.")</f>
        <v>Mi piacciono i pini, tranne i cespugli.</v>
      </c>
      <c r="G721" s="6" t="str">
        <f>IFERROR(__xludf.DUMMYFUNCTION("GOOGLETRANSLATE(E721,""fr"",""it"")"),"Adoro i pini tranne i cespugli.")</f>
        <v>Adoro i pini tranne i cespugli.</v>
      </c>
    </row>
    <row r="722">
      <c r="A722" s="4">
        <v>720.0</v>
      </c>
      <c r="B722" s="5" t="s">
        <v>2167</v>
      </c>
      <c r="C722" s="4">
        <v>0.0</v>
      </c>
      <c r="D722" s="5" t="s">
        <v>2168</v>
      </c>
      <c r="E722" s="5" t="s">
        <v>2169</v>
      </c>
      <c r="F722" s="6" t="str">
        <f>IFERROR(__xludf.DUMMYFUNCTION("GOOGLETRANSLATE(D722,""en"",""it"")"),"Mi piacciono i cespugli, tranne i pini.")</f>
        <v>Mi piacciono i cespugli, tranne i pini.</v>
      </c>
      <c r="G722" s="6" t="str">
        <f>IFERROR(__xludf.DUMMYFUNCTION("GOOGLETRANSLATE(E722,""fr"",""it"")"),"Amo i cespugli tranne i pini.")</f>
        <v>Amo i cespugli tranne i pini.</v>
      </c>
    </row>
    <row r="723">
      <c r="A723" s="4">
        <v>721.0</v>
      </c>
      <c r="B723" s="5" t="s">
        <v>2170</v>
      </c>
      <c r="C723" s="4">
        <v>0.0</v>
      </c>
      <c r="D723" s="5" t="s">
        <v>2171</v>
      </c>
      <c r="E723" s="5" t="s">
        <v>2172</v>
      </c>
      <c r="F723" s="6" t="str">
        <f>IFERROR(__xludf.DUMMYFUNCTION("GOOGLETRANSLATE(D723,""en"",""it"")"),"Mi piacciono i pini, ad eccezione degli arbusti.")</f>
        <v>Mi piacciono i pini, ad eccezione degli arbusti.</v>
      </c>
      <c r="G723" s="6" t="str">
        <f>IFERROR(__xludf.DUMMYFUNCTION("GOOGLETRANSLATE(E723,""fr"",""it"")"),"Adoro i pini tranne arbusti.")</f>
        <v>Adoro i pini tranne arbusti.</v>
      </c>
    </row>
    <row r="724">
      <c r="A724" s="4">
        <v>722.0</v>
      </c>
      <c r="B724" s="5" t="s">
        <v>2173</v>
      </c>
      <c r="C724" s="4">
        <v>0.0</v>
      </c>
      <c r="D724" s="5" t="s">
        <v>2174</v>
      </c>
      <c r="E724" s="5" t="s">
        <v>2175</v>
      </c>
      <c r="F724" s="6" t="str">
        <f>IFERROR(__xludf.DUMMYFUNCTION("GOOGLETRANSLATE(D724,""en"",""it"")"),"Mi piacciono gli arbusti, tranne i pini.")</f>
        <v>Mi piacciono gli arbusti, tranne i pini.</v>
      </c>
      <c r="G724" s="6" t="str">
        <f>IFERROR(__xludf.DUMMYFUNCTION("GOOGLETRANSLATE(E724,""fr"",""it"")"),"Amo gli arbusti tranne i pini.")</f>
        <v>Amo gli arbusti tranne i pini.</v>
      </c>
    </row>
    <row r="725">
      <c r="A725" s="4">
        <v>723.0</v>
      </c>
      <c r="B725" s="5" t="s">
        <v>2176</v>
      </c>
      <c r="C725" s="4">
        <v>0.0</v>
      </c>
      <c r="D725" s="5" t="s">
        <v>2177</v>
      </c>
      <c r="E725" s="5" t="s">
        <v>2178</v>
      </c>
      <c r="F725" s="6" t="str">
        <f>IFERROR(__xludf.DUMMYFUNCTION("GOOGLETRANSLATE(D725,""en"",""it"")"),"Io uso poliestere, eccetto il legno.")</f>
        <v>Io uso poliestere, eccetto il legno.</v>
      </c>
      <c r="G725" s="6" t="str">
        <f>IFERROR(__xludf.DUMMYFUNCTION("GOOGLETRANSLATE(E725,""fr"",""it"")"),"Io uso il poliestere, tranne il legno.")</f>
        <v>Io uso il poliestere, tranne il legno.</v>
      </c>
    </row>
    <row r="726">
      <c r="A726" s="4">
        <v>724.0</v>
      </c>
      <c r="B726" s="5" t="s">
        <v>2179</v>
      </c>
      <c r="C726" s="4">
        <v>0.0</v>
      </c>
      <c r="D726" s="5" t="s">
        <v>2180</v>
      </c>
      <c r="E726" s="5" t="s">
        <v>2181</v>
      </c>
      <c r="F726" s="6" t="str">
        <f>IFERROR(__xludf.DUMMYFUNCTION("GOOGLETRANSLATE(D726,""en"",""it"")"),"Io uso il legno, tranne il poliestere.")</f>
        <v>Io uso il legno, tranne il poliestere.</v>
      </c>
      <c r="G726" s="6" t="str">
        <f>IFERROR(__xludf.DUMMYFUNCTION("GOOGLETRANSLATE(E726,""fr"",""it"")"),"Io uso il legno, tranne il poliestere.")</f>
        <v>Io uso il legno, tranne il poliestere.</v>
      </c>
    </row>
    <row r="727">
      <c r="A727" s="4">
        <v>725.0</v>
      </c>
      <c r="B727" s="5" t="s">
        <v>2182</v>
      </c>
      <c r="C727" s="4">
        <v>0.0</v>
      </c>
      <c r="D727" s="5" t="s">
        <v>2183</v>
      </c>
      <c r="E727" s="5" t="s">
        <v>2184</v>
      </c>
      <c r="F727" s="6" t="str">
        <f>IFERROR(__xludf.DUMMYFUNCTION("GOOGLETRANSLATE(D727,""en"",""it"")"),"Io uso poliestere, tranne la plastica.")</f>
        <v>Io uso poliestere, tranne la plastica.</v>
      </c>
      <c r="G727" s="6" t="str">
        <f>IFERROR(__xludf.DUMMYFUNCTION("GOOGLETRANSLATE(E727,""fr"",""it"")"),"Io uso il poliestere, tranne la plastica.")</f>
        <v>Io uso il poliestere, tranne la plastica.</v>
      </c>
    </row>
    <row r="728">
      <c r="A728" s="4">
        <v>726.0</v>
      </c>
      <c r="B728" s="5" t="s">
        <v>2185</v>
      </c>
      <c r="C728" s="4">
        <v>1.0</v>
      </c>
      <c r="D728" s="5" t="s">
        <v>2186</v>
      </c>
      <c r="E728" s="5" t="s">
        <v>2187</v>
      </c>
      <c r="F728" s="6" t="str">
        <f>IFERROR(__xludf.DUMMYFUNCTION("GOOGLETRANSLATE(D728,""en"",""it"")"),"Io uso la plastica, tranne il poliestere.")</f>
        <v>Io uso la plastica, tranne il poliestere.</v>
      </c>
      <c r="G728" s="6" t="str">
        <f>IFERROR(__xludf.DUMMYFUNCTION("GOOGLETRANSLATE(E728,""fr"",""it"")"),"Io uso la plastica tranne il poliestere.")</f>
        <v>Io uso la plastica tranne il poliestere.</v>
      </c>
    </row>
    <row r="729">
      <c r="A729" s="4">
        <v>727.0</v>
      </c>
      <c r="B729" s="5" t="s">
        <v>2188</v>
      </c>
      <c r="C729" s="4">
        <v>0.0</v>
      </c>
      <c r="D729" s="5" t="s">
        <v>2189</v>
      </c>
      <c r="E729" s="5" t="s">
        <v>2190</v>
      </c>
      <c r="F729" s="6" t="str">
        <f>IFERROR(__xludf.DUMMYFUNCTION("GOOGLETRANSLATE(D729,""en"",""it"")"),"Io uso la plastica, eccetto il legno.")</f>
        <v>Io uso la plastica, eccetto il legno.</v>
      </c>
      <c r="G729" s="6" t="str">
        <f>IFERROR(__xludf.DUMMYFUNCTION("GOOGLETRANSLATE(E729,""fr"",""it"")"),"Io uso la plastica tranne il legno.")</f>
        <v>Io uso la plastica tranne il legno.</v>
      </c>
    </row>
    <row r="730">
      <c r="A730" s="4">
        <v>728.0</v>
      </c>
      <c r="B730" s="5" t="s">
        <v>2191</v>
      </c>
      <c r="C730" s="4">
        <v>0.0</v>
      </c>
      <c r="D730" s="5" t="s">
        <v>2192</v>
      </c>
      <c r="E730" s="5" t="s">
        <v>2193</v>
      </c>
      <c r="F730" s="6" t="str">
        <f>IFERROR(__xludf.DUMMYFUNCTION("GOOGLETRANSLATE(D730,""en"",""it"")"),"Io uso poliestere, tranne il cotone.")</f>
        <v>Io uso poliestere, tranne il cotone.</v>
      </c>
      <c r="G730" s="6" t="str">
        <f>IFERROR(__xludf.DUMMYFUNCTION("GOOGLETRANSLATE(E730,""fr"",""it"")"),"Io uso il poliestere, tranne il cotone.")</f>
        <v>Io uso il poliestere, tranne il cotone.</v>
      </c>
    </row>
    <row r="731">
      <c r="A731" s="4">
        <v>729.0</v>
      </c>
      <c r="B731" s="5" t="s">
        <v>2194</v>
      </c>
      <c r="C731" s="4">
        <v>0.0</v>
      </c>
      <c r="D731" s="5" t="s">
        <v>2195</v>
      </c>
      <c r="E731" s="5" t="s">
        <v>2196</v>
      </c>
      <c r="F731" s="6" t="str">
        <f>IFERROR(__xludf.DUMMYFUNCTION("GOOGLETRANSLATE(D731,""en"",""it"")"),"Uso il cotone, tranne il poliestere.")</f>
        <v>Uso il cotone, tranne il poliestere.</v>
      </c>
      <c r="G731" s="6" t="str">
        <f>IFERROR(__xludf.DUMMYFUNCTION("GOOGLETRANSLATE(E731,""fr"",""it"")"),"Uso il cotone tranne il poliestere.")</f>
        <v>Uso il cotone tranne il poliestere.</v>
      </c>
    </row>
    <row r="732">
      <c r="A732" s="4">
        <v>730.0</v>
      </c>
      <c r="B732" s="5" t="s">
        <v>2197</v>
      </c>
      <c r="C732" s="4">
        <v>0.0</v>
      </c>
      <c r="D732" s="5" t="s">
        <v>2198</v>
      </c>
      <c r="E732" s="5" t="s">
        <v>2199</v>
      </c>
      <c r="F732" s="6" t="str">
        <f>IFERROR(__xludf.DUMMYFUNCTION("GOOGLETRANSLATE(D732,""en"",""it"")"),"Io uso la plastica, tranne il cotone.")</f>
        <v>Io uso la plastica, tranne il cotone.</v>
      </c>
      <c r="G732" s="6" t="str">
        <f>IFERROR(__xludf.DUMMYFUNCTION("GOOGLETRANSLATE(E732,""fr"",""it"")"),"Io uso la plastica tranne il cotone.")</f>
        <v>Io uso la plastica tranne il cotone.</v>
      </c>
    </row>
    <row r="733">
      <c r="A733" s="4">
        <v>731.0</v>
      </c>
      <c r="B733" s="5" t="s">
        <v>2200</v>
      </c>
      <c r="C733" s="4">
        <v>0.0</v>
      </c>
      <c r="D733" s="5" t="s">
        <v>2201</v>
      </c>
      <c r="E733" s="5" t="s">
        <v>2202</v>
      </c>
      <c r="F733" s="6" t="str">
        <f>IFERROR(__xludf.DUMMYFUNCTION("GOOGLETRANSLATE(D733,""en"",""it"")"),"Io uso poliestere, tranne il vetro.")</f>
        <v>Io uso poliestere, tranne il vetro.</v>
      </c>
      <c r="G733" s="6" t="str">
        <f>IFERROR(__xludf.DUMMYFUNCTION("GOOGLETRANSLATE(E733,""fr"",""it"")"),"Io uso il poliestere, tranne il vetro.")</f>
        <v>Io uso il poliestere, tranne il vetro.</v>
      </c>
    </row>
    <row r="734">
      <c r="A734" s="4">
        <v>732.0</v>
      </c>
      <c r="B734" s="5" t="s">
        <v>2203</v>
      </c>
      <c r="C734" s="4">
        <v>0.0</v>
      </c>
      <c r="D734" s="5" t="s">
        <v>2204</v>
      </c>
      <c r="E734" s="5" t="s">
        <v>2205</v>
      </c>
      <c r="F734" s="6" t="str">
        <f>IFERROR(__xludf.DUMMYFUNCTION("GOOGLETRANSLATE(D734,""en"",""it"")"),"Io uso il vetro, tranne il poliestere.")</f>
        <v>Io uso il vetro, tranne il poliestere.</v>
      </c>
      <c r="G734" s="6" t="str">
        <f>IFERROR(__xludf.DUMMYFUNCTION("GOOGLETRANSLATE(E734,""fr"",""it"")"),"Io uso il vetro tranne il poliestere.")</f>
        <v>Io uso il vetro tranne il poliestere.</v>
      </c>
    </row>
    <row r="735">
      <c r="A735" s="4">
        <v>733.0</v>
      </c>
      <c r="B735" s="5" t="s">
        <v>2206</v>
      </c>
      <c r="C735" s="4">
        <v>0.0</v>
      </c>
      <c r="D735" s="5" t="s">
        <v>2207</v>
      </c>
      <c r="E735" s="5" t="s">
        <v>2208</v>
      </c>
      <c r="F735" s="6" t="str">
        <f>IFERROR(__xludf.DUMMYFUNCTION("GOOGLETRANSLATE(D735,""en"",""it"")"),"Io uso la plastica, tranne il vetro.")</f>
        <v>Io uso la plastica, tranne il vetro.</v>
      </c>
      <c r="G735" s="6" t="str">
        <f>IFERROR(__xludf.DUMMYFUNCTION("GOOGLETRANSLATE(E735,""fr"",""it"")"),"Io uso la plastica tranne il vetro.")</f>
        <v>Io uso la plastica tranne il vetro.</v>
      </c>
    </row>
    <row r="736">
      <c r="A736" s="4">
        <v>734.0</v>
      </c>
      <c r="B736" s="5" t="s">
        <v>2209</v>
      </c>
      <c r="C736" s="4">
        <v>0.0</v>
      </c>
      <c r="D736" s="5" t="s">
        <v>2210</v>
      </c>
      <c r="E736" s="5" t="s">
        <v>2211</v>
      </c>
      <c r="F736" s="6" t="str">
        <f>IFERROR(__xludf.DUMMYFUNCTION("GOOGLETRANSLATE(D736,""en"",""it"")"),"Io uso poliestere, tranne la pelle.")</f>
        <v>Io uso poliestere, tranne la pelle.</v>
      </c>
      <c r="G736" s="6" t="str">
        <f>IFERROR(__xludf.DUMMYFUNCTION("GOOGLETRANSLATE(E736,""fr"",""it"")"),"Io uso il poliestere, tranne la pelle.")</f>
        <v>Io uso il poliestere, tranne la pelle.</v>
      </c>
    </row>
    <row r="737">
      <c r="A737" s="4">
        <v>735.0</v>
      </c>
      <c r="B737" s="5" t="s">
        <v>2212</v>
      </c>
      <c r="C737" s="4">
        <v>0.0</v>
      </c>
      <c r="D737" s="5" t="s">
        <v>2213</v>
      </c>
      <c r="E737" s="5" t="s">
        <v>2214</v>
      </c>
      <c r="F737" s="6" t="str">
        <f>IFERROR(__xludf.DUMMYFUNCTION("GOOGLETRANSLATE(D737,""en"",""it"")"),"Io uso la pelle, tranne il poliestere.")</f>
        <v>Io uso la pelle, tranne il poliestere.</v>
      </c>
      <c r="G737" s="6" t="str">
        <f>IFERROR(__xludf.DUMMYFUNCTION("GOOGLETRANSLATE(E737,""fr"",""it"")"),"Io uso la pelle, tranne il poliestere.")</f>
        <v>Io uso la pelle, tranne il poliestere.</v>
      </c>
    </row>
    <row r="738">
      <c r="A738" s="4">
        <v>736.0</v>
      </c>
      <c r="B738" s="5" t="s">
        <v>2215</v>
      </c>
      <c r="C738" s="4">
        <v>0.0</v>
      </c>
      <c r="D738" s="5" t="s">
        <v>2216</v>
      </c>
      <c r="E738" s="5" t="s">
        <v>2217</v>
      </c>
      <c r="F738" s="6" t="str">
        <f>IFERROR(__xludf.DUMMYFUNCTION("GOOGLETRANSLATE(D738,""en"",""it"")"),"Io uso la plastica, eccetto la pelle.")</f>
        <v>Io uso la plastica, eccetto la pelle.</v>
      </c>
      <c r="G738" s="6" t="str">
        <f>IFERROR(__xludf.DUMMYFUNCTION("GOOGLETRANSLATE(E738,""fr"",""it"")"),"Io uso la plastica tranne la pelle.")</f>
        <v>Io uso la plastica tranne la pelle.</v>
      </c>
    </row>
    <row r="739">
      <c r="A739" s="4">
        <v>737.0</v>
      </c>
      <c r="B739" s="5" t="s">
        <v>2218</v>
      </c>
      <c r="C739" s="4">
        <v>0.0</v>
      </c>
      <c r="D739" s="5" t="s">
        <v>2219</v>
      </c>
      <c r="E739" s="5" t="s">
        <v>2220</v>
      </c>
      <c r="F739" s="6" t="str">
        <f>IFERROR(__xludf.DUMMYFUNCTION("GOOGLETRANSLATE(D739,""en"",""it"")"),"Io uso il nylon, tranne il legno.")</f>
        <v>Io uso il nylon, tranne il legno.</v>
      </c>
      <c r="G739" s="6" t="str">
        <f>IFERROR(__xludf.DUMMYFUNCTION("GOOGLETRANSLATE(E739,""fr"",""it"")"),"Io uso il nylon, tranne il legno.")</f>
        <v>Io uso il nylon, tranne il legno.</v>
      </c>
    </row>
    <row r="740">
      <c r="A740" s="4">
        <v>738.0</v>
      </c>
      <c r="B740" s="5" t="s">
        <v>2221</v>
      </c>
      <c r="C740" s="4">
        <v>0.0</v>
      </c>
      <c r="D740" s="5" t="s">
        <v>2222</v>
      </c>
      <c r="E740" s="5" t="s">
        <v>2223</v>
      </c>
      <c r="F740" s="6" t="str">
        <f>IFERROR(__xludf.DUMMYFUNCTION("GOOGLETRANSLATE(D740,""en"",""it"")"),"Io uso il legno, ad eccezione del nylon.")</f>
        <v>Io uso il legno, ad eccezione del nylon.</v>
      </c>
      <c r="G740" s="6" t="str">
        <f>IFERROR(__xludf.DUMMYFUNCTION("GOOGLETRANSLATE(E740,""fr"",""it"")"),"Io uso il legno, ad eccezione del nylon.")</f>
        <v>Io uso il legno, ad eccezione del nylon.</v>
      </c>
    </row>
    <row r="741">
      <c r="A741" s="4">
        <v>739.0</v>
      </c>
      <c r="B741" s="5" t="s">
        <v>2224</v>
      </c>
      <c r="C741" s="4">
        <v>0.0</v>
      </c>
      <c r="D741" s="5" t="s">
        <v>2225</v>
      </c>
      <c r="E741" s="5" t="s">
        <v>2226</v>
      </c>
      <c r="F741" s="6" t="str">
        <f>IFERROR(__xludf.DUMMYFUNCTION("GOOGLETRANSLATE(D741,""en"",""it"")"),"Io uso il nylon, tranne la plastica.")</f>
        <v>Io uso il nylon, tranne la plastica.</v>
      </c>
      <c r="G741" s="6" t="str">
        <f>IFERROR(__xludf.DUMMYFUNCTION("GOOGLETRANSLATE(E741,""fr"",""it"")"),"Io uso il nylon, tranne la plastica.")</f>
        <v>Io uso il nylon, tranne la plastica.</v>
      </c>
    </row>
    <row r="742">
      <c r="A742" s="4">
        <v>740.0</v>
      </c>
      <c r="B742" s="5" t="s">
        <v>2227</v>
      </c>
      <c r="C742" s="4">
        <v>1.0</v>
      </c>
      <c r="D742" s="5" t="s">
        <v>2228</v>
      </c>
      <c r="E742" s="5" t="s">
        <v>2229</v>
      </c>
      <c r="F742" s="6" t="str">
        <f>IFERROR(__xludf.DUMMYFUNCTION("GOOGLETRANSLATE(D742,""en"",""it"")"),"Io uso la plastica, ad eccezione del nylon.")</f>
        <v>Io uso la plastica, ad eccezione del nylon.</v>
      </c>
      <c r="G742" s="6" t="str">
        <f>IFERROR(__xludf.DUMMYFUNCTION("GOOGLETRANSLATE(E742,""fr"",""it"")"),"Io uso la plastica tranne il nylon.")</f>
        <v>Io uso la plastica tranne il nylon.</v>
      </c>
    </row>
    <row r="743">
      <c r="A743" s="4">
        <v>741.0</v>
      </c>
      <c r="B743" s="5" t="s">
        <v>2230</v>
      </c>
      <c r="C743" s="4">
        <v>0.0</v>
      </c>
      <c r="D743" s="5" t="s">
        <v>2231</v>
      </c>
      <c r="E743" s="5" t="s">
        <v>2232</v>
      </c>
      <c r="F743" s="6" t="str">
        <f>IFERROR(__xludf.DUMMYFUNCTION("GOOGLETRANSLATE(D743,""en"",""it"")"),"Io uso nylon, tranne il cotone.")</f>
        <v>Io uso nylon, tranne il cotone.</v>
      </c>
      <c r="G743" s="6" t="str">
        <f>IFERROR(__xludf.DUMMYFUNCTION("GOOGLETRANSLATE(E743,""fr"",""it"")"),"Io uso nylon, tranne il cotone.")</f>
        <v>Io uso nylon, tranne il cotone.</v>
      </c>
    </row>
    <row r="744">
      <c r="A744" s="4">
        <v>742.0</v>
      </c>
      <c r="B744" s="5" t="s">
        <v>2233</v>
      </c>
      <c r="C744" s="4">
        <v>0.0</v>
      </c>
      <c r="D744" s="5" t="s">
        <v>2234</v>
      </c>
      <c r="E744" s="5" t="s">
        <v>2235</v>
      </c>
      <c r="F744" s="6" t="str">
        <f>IFERROR(__xludf.DUMMYFUNCTION("GOOGLETRANSLATE(D744,""en"",""it"")"),"Io uso cotone, ad eccezione del nylon.")</f>
        <v>Io uso cotone, ad eccezione del nylon.</v>
      </c>
      <c r="G744" s="6" t="str">
        <f>IFERROR(__xludf.DUMMYFUNCTION("GOOGLETRANSLATE(E744,""fr"",""it"")"),"Uso il cotone tranne il nylon.")</f>
        <v>Uso il cotone tranne il nylon.</v>
      </c>
    </row>
    <row r="745">
      <c r="A745" s="4">
        <v>743.0</v>
      </c>
      <c r="B745" s="5" t="s">
        <v>2236</v>
      </c>
      <c r="C745" s="4">
        <v>0.0</v>
      </c>
      <c r="D745" s="5" t="s">
        <v>2237</v>
      </c>
      <c r="E745" s="5" t="s">
        <v>2238</v>
      </c>
      <c r="F745" s="6" t="str">
        <f>IFERROR(__xludf.DUMMYFUNCTION("GOOGLETRANSLATE(D745,""en"",""it"")"),"Io uso il nylon, tranne il vetro.")</f>
        <v>Io uso il nylon, tranne il vetro.</v>
      </c>
      <c r="G745" s="6" t="str">
        <f>IFERROR(__xludf.DUMMYFUNCTION("GOOGLETRANSLATE(E745,""fr"",""it"")"),"Io uso il nylon, tranne il vetro.")</f>
        <v>Io uso il nylon, tranne il vetro.</v>
      </c>
    </row>
    <row r="746">
      <c r="A746" s="4">
        <v>744.0</v>
      </c>
      <c r="B746" s="5" t="s">
        <v>2239</v>
      </c>
      <c r="C746" s="4">
        <v>0.0</v>
      </c>
      <c r="D746" s="5" t="s">
        <v>2240</v>
      </c>
      <c r="E746" s="5" t="s">
        <v>2241</v>
      </c>
      <c r="F746" s="6" t="str">
        <f>IFERROR(__xludf.DUMMYFUNCTION("GOOGLETRANSLATE(D746,""en"",""it"")"),"Io uso il vetro, ad eccezione del nylon.")</f>
        <v>Io uso il vetro, ad eccezione del nylon.</v>
      </c>
      <c r="G746" s="6" t="str">
        <f>IFERROR(__xludf.DUMMYFUNCTION("GOOGLETRANSLATE(E746,""fr"",""it"")"),"Io uso il vetro, ad eccezione del nylon.")</f>
        <v>Io uso il vetro, ad eccezione del nylon.</v>
      </c>
    </row>
    <row r="747">
      <c r="A747" s="4">
        <v>745.0</v>
      </c>
      <c r="B747" s="5" t="s">
        <v>2242</v>
      </c>
      <c r="C747" s="4">
        <v>0.0</v>
      </c>
      <c r="D747" s="5" t="s">
        <v>2243</v>
      </c>
      <c r="E747" s="5" t="s">
        <v>2244</v>
      </c>
      <c r="F747" s="6" t="str">
        <f>IFERROR(__xludf.DUMMYFUNCTION("GOOGLETRANSLATE(D747,""en"",""it"")"),"Io uso nylon, tranne la pelle.")</f>
        <v>Io uso nylon, tranne la pelle.</v>
      </c>
      <c r="G747" s="6" t="str">
        <f>IFERROR(__xludf.DUMMYFUNCTION("GOOGLETRANSLATE(E747,""fr"",""it"")"),"Io uso il nylon, tranne la pelle.")</f>
        <v>Io uso il nylon, tranne la pelle.</v>
      </c>
    </row>
    <row r="748">
      <c r="A748" s="4">
        <v>746.0</v>
      </c>
      <c r="B748" s="5" t="s">
        <v>2245</v>
      </c>
      <c r="C748" s="4">
        <v>0.0</v>
      </c>
      <c r="D748" s="5" t="s">
        <v>2246</v>
      </c>
      <c r="E748" s="5" t="s">
        <v>2247</v>
      </c>
      <c r="F748" s="6" t="str">
        <f>IFERROR(__xludf.DUMMYFUNCTION("GOOGLETRANSLATE(D748,""en"",""it"")"),"Io uso la pelle, ad eccezione del nylon.")</f>
        <v>Io uso la pelle, ad eccezione del nylon.</v>
      </c>
      <c r="G748" s="6" t="str">
        <f>IFERROR(__xludf.DUMMYFUNCTION("GOOGLETRANSLATE(E748,""fr"",""it"")"),"Io uso la pelle, ad eccezione del nylon.")</f>
        <v>Io uso la pelle, ad eccezione del nylon.</v>
      </c>
    </row>
    <row r="749">
      <c r="A749" s="4">
        <v>747.0</v>
      </c>
      <c r="B749" s="5" t="s">
        <v>2248</v>
      </c>
      <c r="C749" s="4">
        <v>0.0</v>
      </c>
      <c r="D749" s="5" t="s">
        <v>2249</v>
      </c>
      <c r="E749" s="5" t="s">
        <v>2250</v>
      </c>
      <c r="F749" s="6" t="str">
        <f>IFERROR(__xludf.DUMMYFUNCTION("GOOGLETRANSLATE(D749,""en"",""it"")"),"Io uso il vinile, tranne il legno.")</f>
        <v>Io uso il vinile, tranne il legno.</v>
      </c>
      <c r="G749" s="6" t="str">
        <f>IFERROR(__xludf.DUMMYFUNCTION("GOOGLETRANSLATE(E749,""fr"",""it"")"),"Io uso il vinile, tranne il legno.")</f>
        <v>Io uso il vinile, tranne il legno.</v>
      </c>
    </row>
    <row r="750">
      <c r="A750" s="4">
        <v>748.0</v>
      </c>
      <c r="B750" s="5" t="s">
        <v>2251</v>
      </c>
      <c r="C750" s="4">
        <v>0.0</v>
      </c>
      <c r="D750" s="5" t="s">
        <v>2252</v>
      </c>
      <c r="E750" s="5" t="s">
        <v>2253</v>
      </c>
      <c r="F750" s="6" t="str">
        <f>IFERROR(__xludf.DUMMYFUNCTION("GOOGLETRANSLATE(D750,""en"",""it"")"),"Io uso il legno, tranne il vinile.")</f>
        <v>Io uso il legno, tranne il vinile.</v>
      </c>
      <c r="G750" s="6" t="str">
        <f>IFERROR(__xludf.DUMMYFUNCTION("GOOGLETRANSLATE(E750,""fr"",""it"")"),"Io uso il legno, tranne il vinile.")</f>
        <v>Io uso il legno, tranne il vinile.</v>
      </c>
    </row>
    <row r="751">
      <c r="A751" s="4">
        <v>749.0</v>
      </c>
      <c r="B751" s="5" t="s">
        <v>2254</v>
      </c>
      <c r="C751" s="4">
        <v>0.0</v>
      </c>
      <c r="D751" s="5" t="s">
        <v>2255</v>
      </c>
      <c r="E751" s="5" t="s">
        <v>2256</v>
      </c>
      <c r="F751" s="6" t="str">
        <f>IFERROR(__xludf.DUMMYFUNCTION("GOOGLETRANSLATE(D751,""en"",""it"")"),"Io uso il vinile, tranne la plastica.")</f>
        <v>Io uso il vinile, tranne la plastica.</v>
      </c>
      <c r="G751" s="6" t="str">
        <f>IFERROR(__xludf.DUMMYFUNCTION("GOOGLETRANSLATE(E751,""fr"",""it"")"),"Io uso il vinile, tranne la plastica.")</f>
        <v>Io uso il vinile, tranne la plastica.</v>
      </c>
    </row>
    <row r="752">
      <c r="A752" s="4">
        <v>750.0</v>
      </c>
      <c r="B752" s="5" t="s">
        <v>2257</v>
      </c>
      <c r="C752" s="4">
        <v>1.0</v>
      </c>
      <c r="D752" s="5" t="s">
        <v>2258</v>
      </c>
      <c r="E752" s="5" t="s">
        <v>2259</v>
      </c>
      <c r="F752" s="6" t="str">
        <f>IFERROR(__xludf.DUMMYFUNCTION("GOOGLETRANSLATE(D752,""en"",""it"")"),"Io uso la plastica, tranne il vinile.")</f>
        <v>Io uso la plastica, tranne il vinile.</v>
      </c>
      <c r="G752" s="6" t="str">
        <f>IFERROR(__xludf.DUMMYFUNCTION("GOOGLETRANSLATE(E752,""fr"",""it"")"),"Io uso la plastica tranne il vinile.")</f>
        <v>Io uso la plastica tranne il vinile.</v>
      </c>
    </row>
    <row r="753">
      <c r="A753" s="4">
        <v>751.0</v>
      </c>
      <c r="B753" s="5" t="s">
        <v>2260</v>
      </c>
      <c r="C753" s="4">
        <v>0.0</v>
      </c>
      <c r="D753" s="5" t="s">
        <v>2261</v>
      </c>
      <c r="E753" s="5" t="s">
        <v>2262</v>
      </c>
      <c r="F753" s="6" t="str">
        <f>IFERROR(__xludf.DUMMYFUNCTION("GOOGLETRANSLATE(D753,""en"",""it"")"),"Io uso il vinile, tranne il cotone.")</f>
        <v>Io uso il vinile, tranne il cotone.</v>
      </c>
      <c r="G753" s="6" t="str">
        <f>IFERROR(__xludf.DUMMYFUNCTION("GOOGLETRANSLATE(E753,""fr"",""it"")"),"Io uso il vinile, tranne il cotone.")</f>
        <v>Io uso il vinile, tranne il cotone.</v>
      </c>
    </row>
    <row r="754">
      <c r="A754" s="4">
        <v>752.0</v>
      </c>
      <c r="B754" s="5" t="s">
        <v>2263</v>
      </c>
      <c r="C754" s="4">
        <v>0.0</v>
      </c>
      <c r="D754" s="5" t="s">
        <v>2264</v>
      </c>
      <c r="E754" s="5" t="s">
        <v>2265</v>
      </c>
      <c r="F754" s="6" t="str">
        <f>IFERROR(__xludf.DUMMYFUNCTION("GOOGLETRANSLATE(D754,""en"",""it"")"),"Io uso cotone, tranne il vinile.")</f>
        <v>Io uso cotone, tranne il vinile.</v>
      </c>
      <c r="G754" s="6" t="str">
        <f>IFERROR(__xludf.DUMMYFUNCTION("GOOGLETRANSLATE(E754,""fr"",""it"")"),"Uso il cotone tranne il vinile.")</f>
        <v>Uso il cotone tranne il vinile.</v>
      </c>
    </row>
    <row r="755">
      <c r="A755" s="4">
        <v>753.0</v>
      </c>
      <c r="B755" s="5" t="s">
        <v>2266</v>
      </c>
      <c r="C755" s="4">
        <v>0.0</v>
      </c>
      <c r="D755" s="5" t="s">
        <v>2267</v>
      </c>
      <c r="E755" s="5" t="s">
        <v>2268</v>
      </c>
      <c r="F755" s="6" t="str">
        <f>IFERROR(__xludf.DUMMYFUNCTION("GOOGLETRANSLATE(D755,""en"",""it"")"),"Io uso il vinile, tranne il vetro.")</f>
        <v>Io uso il vinile, tranne il vetro.</v>
      </c>
      <c r="G755" s="6" t="str">
        <f>IFERROR(__xludf.DUMMYFUNCTION("GOOGLETRANSLATE(E755,""fr"",""it"")"),"Io uso il vinile, tranne il vetro.")</f>
        <v>Io uso il vinile, tranne il vetro.</v>
      </c>
    </row>
    <row r="756">
      <c r="A756" s="4">
        <v>754.0</v>
      </c>
      <c r="B756" s="5" t="s">
        <v>2269</v>
      </c>
      <c r="C756" s="4">
        <v>0.0</v>
      </c>
      <c r="D756" s="5" t="s">
        <v>2270</v>
      </c>
      <c r="E756" s="5" t="s">
        <v>2271</v>
      </c>
      <c r="F756" s="6" t="str">
        <f>IFERROR(__xludf.DUMMYFUNCTION("GOOGLETRANSLATE(D756,""en"",""it"")"),"Io uso il vetro, tranne il vinile.")</f>
        <v>Io uso il vetro, tranne il vinile.</v>
      </c>
      <c r="G756" s="6" t="str">
        <f>IFERROR(__xludf.DUMMYFUNCTION("GOOGLETRANSLATE(E756,""fr"",""it"")"),"Io uso il vetro, tranne il vinile.")</f>
        <v>Io uso il vetro, tranne il vinile.</v>
      </c>
    </row>
    <row r="757">
      <c r="A757" s="4">
        <v>755.0</v>
      </c>
      <c r="B757" s="5" t="s">
        <v>2272</v>
      </c>
      <c r="C757" s="4">
        <v>0.0</v>
      </c>
      <c r="D757" s="5" t="s">
        <v>2273</v>
      </c>
      <c r="E757" s="5" t="s">
        <v>2274</v>
      </c>
      <c r="F757" s="6" t="str">
        <f>IFERROR(__xludf.DUMMYFUNCTION("GOOGLETRANSLATE(D757,""en"",""it"")"),"Io uso il vinile, tranne la pelle.")</f>
        <v>Io uso il vinile, tranne la pelle.</v>
      </c>
      <c r="G757" s="6" t="str">
        <f>IFERROR(__xludf.DUMMYFUNCTION("GOOGLETRANSLATE(E757,""fr"",""it"")"),"Io uso il vinile, tranne la pelle.")</f>
        <v>Io uso il vinile, tranne la pelle.</v>
      </c>
    </row>
    <row r="758">
      <c r="A758" s="4">
        <v>756.0</v>
      </c>
      <c r="B758" s="5" t="s">
        <v>2275</v>
      </c>
      <c r="C758" s="4">
        <v>0.0</v>
      </c>
      <c r="D758" s="5" t="s">
        <v>2276</v>
      </c>
      <c r="E758" s="5" t="s">
        <v>2277</v>
      </c>
      <c r="F758" s="6" t="str">
        <f>IFERROR(__xludf.DUMMYFUNCTION("GOOGLETRANSLATE(D758,""en"",""it"")"),"Io uso la pelle, tranne il vinile.")</f>
        <v>Io uso la pelle, tranne il vinile.</v>
      </c>
      <c r="G758" s="6" t="str">
        <f>IFERROR(__xludf.DUMMYFUNCTION("GOOGLETRANSLATE(E758,""fr"",""it"")"),"Io uso la pelle, tranne il vinile.")</f>
        <v>Io uso la pelle, tranne il vinile.</v>
      </c>
    </row>
    <row r="759">
      <c r="A759" s="4">
        <v>757.0</v>
      </c>
      <c r="B759" s="5" t="s">
        <v>2278</v>
      </c>
      <c r="C759" s="4">
        <v>0.0</v>
      </c>
      <c r="D759" s="5" t="s">
        <v>2279</v>
      </c>
      <c r="E759" s="5" t="s">
        <v>2280</v>
      </c>
      <c r="F759" s="6" t="str">
        <f>IFERROR(__xludf.DUMMYFUNCTION("GOOGLETRANSLATE(D759,""en"",""it"")"),"Io uso PVC, eccetto il legno.")</f>
        <v>Io uso PVC, eccetto il legno.</v>
      </c>
      <c r="G759" s="6" t="str">
        <f>IFERROR(__xludf.DUMMYFUNCTION("GOOGLETRANSLATE(E759,""fr"",""it"")"),"Io uso il PVC tranne il legno.")</f>
        <v>Io uso il PVC tranne il legno.</v>
      </c>
    </row>
    <row r="760">
      <c r="A760" s="4">
        <v>758.0</v>
      </c>
      <c r="B760" s="5" t="s">
        <v>2281</v>
      </c>
      <c r="C760" s="4">
        <v>0.0</v>
      </c>
      <c r="D760" s="5" t="s">
        <v>2282</v>
      </c>
      <c r="E760" s="5" t="s">
        <v>2283</v>
      </c>
      <c r="F760" s="6" t="str">
        <f>IFERROR(__xludf.DUMMYFUNCTION("GOOGLETRANSLATE(D760,""en"",""it"")"),"Io uso il legno, tranne PVC.")</f>
        <v>Io uso il legno, tranne PVC.</v>
      </c>
      <c r="G760" s="6" t="str">
        <f>IFERROR(__xludf.DUMMYFUNCTION("GOOGLETRANSLATE(E760,""fr"",""it"")"),"Io uso il legno, tranne il PVC.")</f>
        <v>Io uso il legno, tranne il PVC.</v>
      </c>
    </row>
    <row r="761">
      <c r="A761" s="4">
        <v>759.0</v>
      </c>
      <c r="B761" s="5" t="s">
        <v>2284</v>
      </c>
      <c r="C761" s="4">
        <v>0.0</v>
      </c>
      <c r="D761" s="5" t="s">
        <v>2285</v>
      </c>
      <c r="E761" s="5" t="s">
        <v>2286</v>
      </c>
      <c r="F761" s="6" t="str">
        <f>IFERROR(__xludf.DUMMYFUNCTION("GOOGLETRANSLATE(D761,""en"",""it"")"),"Io uso PVC, tranne la plastica.")</f>
        <v>Io uso PVC, tranne la plastica.</v>
      </c>
      <c r="G761" s="6" t="str">
        <f>IFERROR(__xludf.DUMMYFUNCTION("GOOGLETRANSLATE(E761,""fr"",""it"")"),"Io uso il PVC tranne la plastica.")</f>
        <v>Io uso il PVC tranne la plastica.</v>
      </c>
    </row>
    <row r="762">
      <c r="A762" s="4">
        <v>760.0</v>
      </c>
      <c r="B762" s="5" t="s">
        <v>2287</v>
      </c>
      <c r="C762" s="4">
        <v>1.0</v>
      </c>
      <c r="D762" s="5" t="s">
        <v>2288</v>
      </c>
      <c r="E762" s="5" t="s">
        <v>2289</v>
      </c>
      <c r="F762" s="6" t="str">
        <f>IFERROR(__xludf.DUMMYFUNCTION("GOOGLETRANSLATE(D762,""en"",""it"")"),"Io uso la plastica, tranne il PVC.")</f>
        <v>Io uso la plastica, tranne il PVC.</v>
      </c>
      <c r="G762" s="6" t="str">
        <f>IFERROR(__xludf.DUMMYFUNCTION("GOOGLETRANSLATE(E762,""fr"",""it"")"),"Io uso la plastica tranne il PVC.")</f>
        <v>Io uso la plastica tranne il PVC.</v>
      </c>
    </row>
    <row r="763">
      <c r="A763" s="4">
        <v>761.0</v>
      </c>
      <c r="B763" s="5" t="s">
        <v>2290</v>
      </c>
      <c r="C763" s="4">
        <v>0.0</v>
      </c>
      <c r="D763" s="5" t="s">
        <v>2291</v>
      </c>
      <c r="E763" s="5" t="s">
        <v>2292</v>
      </c>
      <c r="F763" s="6" t="str">
        <f>IFERROR(__xludf.DUMMYFUNCTION("GOOGLETRANSLATE(D763,""en"",""it"")"),"Io uso il PVC, tranne il cotone.")</f>
        <v>Io uso il PVC, tranne il cotone.</v>
      </c>
      <c r="G763" s="6" t="str">
        <f>IFERROR(__xludf.DUMMYFUNCTION("GOOGLETRANSLATE(E763,""fr"",""it"")"),"Io uso il PVC, tranne il cotone.")</f>
        <v>Io uso il PVC, tranne il cotone.</v>
      </c>
    </row>
    <row r="764">
      <c r="A764" s="4">
        <v>762.0</v>
      </c>
      <c r="B764" s="5" t="s">
        <v>2293</v>
      </c>
      <c r="C764" s="4">
        <v>0.0</v>
      </c>
      <c r="D764" s="5" t="s">
        <v>2294</v>
      </c>
      <c r="E764" s="5" t="s">
        <v>2295</v>
      </c>
      <c r="F764" s="6" t="str">
        <f>IFERROR(__xludf.DUMMYFUNCTION("GOOGLETRANSLATE(D764,""en"",""it"")"),"Io uso cotone, tranne PVC.")</f>
        <v>Io uso cotone, tranne PVC.</v>
      </c>
      <c r="G764" s="6" t="str">
        <f>IFERROR(__xludf.DUMMYFUNCTION("GOOGLETRANSLATE(E764,""fr"",""it"")"),"Io uso cotone tranne PVC.")</f>
        <v>Io uso cotone tranne PVC.</v>
      </c>
    </row>
    <row r="765">
      <c r="A765" s="4">
        <v>763.0</v>
      </c>
      <c r="B765" s="5" t="s">
        <v>2296</v>
      </c>
      <c r="C765" s="4">
        <v>0.0</v>
      </c>
      <c r="D765" s="5" t="s">
        <v>2297</v>
      </c>
      <c r="E765" s="5" t="s">
        <v>2298</v>
      </c>
      <c r="F765" s="6" t="str">
        <f>IFERROR(__xludf.DUMMYFUNCTION("GOOGLETRANSLATE(D765,""en"",""it"")"),"Io uso PVC, tranne il vetro.")</f>
        <v>Io uso PVC, tranne il vetro.</v>
      </c>
      <c r="G765" s="6" t="str">
        <f>IFERROR(__xludf.DUMMYFUNCTION("GOOGLETRANSLATE(E765,""fr"",""it"")"),"Io uso il PVC tranne il vetro.")</f>
        <v>Io uso il PVC tranne il vetro.</v>
      </c>
    </row>
    <row r="766">
      <c r="A766" s="4">
        <v>764.0</v>
      </c>
      <c r="B766" s="5" t="s">
        <v>2299</v>
      </c>
      <c r="C766" s="4">
        <v>0.0</v>
      </c>
      <c r="D766" s="5" t="s">
        <v>2300</v>
      </c>
      <c r="E766" s="5" t="s">
        <v>2301</v>
      </c>
      <c r="F766" s="6" t="str">
        <f>IFERROR(__xludf.DUMMYFUNCTION("GOOGLETRANSLATE(D766,""en"",""it"")"),"Io uso vetro, tranne PVC.")</f>
        <v>Io uso vetro, tranne PVC.</v>
      </c>
      <c r="G766" s="6" t="str">
        <f>IFERROR(__xludf.DUMMYFUNCTION("GOOGLETRANSLATE(E766,""fr"",""it"")"),"Io uso vetro, tranne PVC.")</f>
        <v>Io uso vetro, tranne PVC.</v>
      </c>
    </row>
    <row r="767">
      <c r="A767" s="4">
        <v>765.0</v>
      </c>
      <c r="B767" s="5" t="s">
        <v>2302</v>
      </c>
      <c r="C767" s="4">
        <v>0.0</v>
      </c>
      <c r="D767" s="5" t="s">
        <v>2303</v>
      </c>
      <c r="E767" s="5" t="s">
        <v>2304</v>
      </c>
      <c r="F767" s="6" t="str">
        <f>IFERROR(__xludf.DUMMYFUNCTION("GOOGLETRANSLATE(D767,""en"",""it"")"),"Io uso PVC, ad eccezione della pelle.")</f>
        <v>Io uso PVC, ad eccezione della pelle.</v>
      </c>
      <c r="G767" s="6" t="str">
        <f>IFERROR(__xludf.DUMMYFUNCTION("GOOGLETRANSLATE(E767,""fr"",""it"")"),"Io uso il PVC tranne la pelle.")</f>
        <v>Io uso il PVC tranne la pelle.</v>
      </c>
    </row>
    <row r="768">
      <c r="A768" s="4">
        <v>766.0</v>
      </c>
      <c r="B768" s="5" t="s">
        <v>2305</v>
      </c>
      <c r="C768" s="4">
        <v>0.0</v>
      </c>
      <c r="D768" s="5" t="s">
        <v>2306</v>
      </c>
      <c r="E768" s="5" t="s">
        <v>2307</v>
      </c>
      <c r="F768" s="6" t="str">
        <f>IFERROR(__xludf.DUMMYFUNCTION("GOOGLETRANSLATE(D768,""en"",""it"")"),"Io uso pelle, tranne PVC.")</f>
        <v>Io uso pelle, tranne PVC.</v>
      </c>
      <c r="G768" s="6" t="str">
        <f>IFERROR(__xludf.DUMMYFUNCTION("GOOGLETRANSLATE(E768,""fr"",""it"")"),"Io uso la pelle, tranne il PVC.")</f>
        <v>Io uso la pelle, tranne il PVC.</v>
      </c>
    </row>
    <row r="769">
      <c r="A769" s="4">
        <v>767.0</v>
      </c>
      <c r="B769" s="5" t="s">
        <v>2308</v>
      </c>
      <c r="C769" s="4">
        <v>0.0</v>
      </c>
      <c r="D769" s="5" t="s">
        <v>2309</v>
      </c>
      <c r="E769" s="5" t="s">
        <v>2310</v>
      </c>
      <c r="F769" s="6" t="str">
        <f>IFERROR(__xludf.DUMMYFUNCTION("GOOGLETRANSLATE(D769,""en"",""it"")"),"Mi piacciono i cani, tranne i pappagalli.")</f>
        <v>Mi piacciono i cani, tranne i pappagalli.</v>
      </c>
      <c r="G769" s="6" t="str">
        <f>IFERROR(__xludf.DUMMYFUNCTION("GOOGLETRANSLATE(E769,""fr"",""it"")"),"Mi piacciono i cani, tranne i perroutqui.")</f>
        <v>Mi piacciono i cani, tranne i perroutqui.</v>
      </c>
    </row>
    <row r="770">
      <c r="A770" s="4">
        <v>768.0</v>
      </c>
      <c r="B770" s="5" t="s">
        <v>2311</v>
      </c>
      <c r="C770" s="4">
        <v>0.0</v>
      </c>
      <c r="D770" s="5" t="s">
        <v>2312</v>
      </c>
      <c r="E770" s="5" t="s">
        <v>2313</v>
      </c>
      <c r="F770" s="6" t="str">
        <f>IFERROR(__xludf.DUMMYFUNCTION("GOOGLETRANSLATE(D770,""en"",""it"")"),"Mi piacciono le sedie, tranne la posate.")</f>
        <v>Mi piacciono le sedie, tranne la posate.</v>
      </c>
      <c r="G770" s="6" t="str">
        <f>IFERROR(__xludf.DUMMYFUNCTION("GOOGLETRANSLATE(E770,""fr"",""it"")"),"Apprezzo le sedie tranne la posate.")</f>
        <v>Apprezzo le sedie tranne la posate.</v>
      </c>
    </row>
    <row r="771">
      <c r="A771" s="4">
        <v>769.0</v>
      </c>
      <c r="B771" s="5" t="s">
        <v>2314</v>
      </c>
      <c r="C771" s="4">
        <v>0.0</v>
      </c>
      <c r="D771" s="5" t="s">
        <v>2315</v>
      </c>
      <c r="E771" s="5" t="s">
        <v>2316</v>
      </c>
      <c r="F771" s="6" t="str">
        <f>IFERROR(__xludf.DUMMYFUNCTION("GOOGLETRANSLATE(D771,""en"",""it"")"),"Mi piacciono le posate, tranne le sedie.")</f>
        <v>Mi piacciono le posate, tranne le sedie.</v>
      </c>
      <c r="G771" s="6" t="str">
        <f>IFERROR(__xludf.DUMMYFUNCTION("GOOGLETRANSLATE(E771,""fr"",""it"")"),"Apprezzo le posate tranne le sedie.")</f>
        <v>Apprezzo le posate tranne le sedie.</v>
      </c>
    </row>
    <row r="772">
      <c r="A772" s="4">
        <v>770.0</v>
      </c>
      <c r="B772" s="5" t="s">
        <v>2317</v>
      </c>
      <c r="C772" s="4">
        <v>0.0</v>
      </c>
      <c r="D772" s="5" t="s">
        <v>2318</v>
      </c>
      <c r="E772" s="5" t="s">
        <v>2319</v>
      </c>
      <c r="F772" s="6" t="str">
        <f>IFERROR(__xludf.DUMMYFUNCTION("GOOGLETRANSLATE(D772,""en"",""it"")"),"Mi piacciono le sedie, tranne i mobili.")</f>
        <v>Mi piacciono le sedie, tranne i mobili.</v>
      </c>
      <c r="G772" s="6" t="str">
        <f>IFERROR(__xludf.DUMMYFUNCTION("GOOGLETRANSLATE(E772,""fr"",""it"")"),"Apprezzo le sedie tranne i mobili.")</f>
        <v>Apprezzo le sedie tranne i mobili.</v>
      </c>
    </row>
    <row r="773">
      <c r="A773" s="4">
        <v>771.0</v>
      </c>
      <c r="B773" s="5" t="s">
        <v>2320</v>
      </c>
      <c r="C773" s="4">
        <v>1.0</v>
      </c>
      <c r="D773" s="5" t="s">
        <v>2321</v>
      </c>
      <c r="E773" s="5" t="s">
        <v>2322</v>
      </c>
      <c r="F773" s="6" t="str">
        <f>IFERROR(__xludf.DUMMYFUNCTION("GOOGLETRANSLATE(D773,""en"",""it"")"),"Mi piacciono i mobili, tranne le sedie.")</f>
        <v>Mi piacciono i mobili, tranne le sedie.</v>
      </c>
      <c r="G773" s="6" t="str">
        <f>IFERROR(__xludf.DUMMYFUNCTION("GOOGLETRANSLATE(E773,""fr"",""it"")"),"Apprezzo i mobili tranne le sedie.")</f>
        <v>Apprezzo i mobili tranne le sedie.</v>
      </c>
    </row>
    <row r="774">
      <c r="A774" s="4">
        <v>772.0</v>
      </c>
      <c r="B774" s="5" t="s">
        <v>2323</v>
      </c>
      <c r="C774" s="4">
        <v>0.0</v>
      </c>
      <c r="D774" s="5" t="s">
        <v>2324</v>
      </c>
      <c r="E774" s="5" t="s">
        <v>2325</v>
      </c>
      <c r="F774" s="6" t="str">
        <f>IFERROR(__xludf.DUMMYFUNCTION("GOOGLETRANSLATE(D774,""en"",""it"")"),"Mi piacciono i mobili, tranne la posate.")</f>
        <v>Mi piacciono i mobili, tranne la posate.</v>
      </c>
      <c r="G774" s="6" t="str">
        <f>IFERROR(__xludf.DUMMYFUNCTION("GOOGLETRANSLATE(E774,""fr"",""it"")"),"Apprezzo i mobili tranne la posate.")</f>
        <v>Apprezzo i mobili tranne la posate.</v>
      </c>
    </row>
    <row r="775">
      <c r="A775" s="4">
        <v>773.0</v>
      </c>
      <c r="B775" s="5" t="s">
        <v>2326</v>
      </c>
      <c r="C775" s="4">
        <v>0.0</v>
      </c>
      <c r="D775" s="5" t="s">
        <v>2327</v>
      </c>
      <c r="E775" s="5" t="s">
        <v>2328</v>
      </c>
      <c r="F775" s="6" t="str">
        <f>IFERROR(__xludf.DUMMYFUNCTION("GOOGLETRANSLATE(D775,""en"",""it"")"),"Mi piacciono le sedie, tranne i dipinti.")</f>
        <v>Mi piacciono le sedie, tranne i dipinti.</v>
      </c>
      <c r="G775" s="6" t="str">
        <f>IFERROR(__xludf.DUMMYFUNCTION("GOOGLETRANSLATE(E775,""fr"",""it"")"),"Apprezzo le sedie tranne i dipinti.")</f>
        <v>Apprezzo le sedie tranne i dipinti.</v>
      </c>
    </row>
    <row r="776">
      <c r="A776" s="4">
        <v>774.0</v>
      </c>
      <c r="B776" s="5" t="s">
        <v>2329</v>
      </c>
      <c r="C776" s="4">
        <v>0.0</v>
      </c>
      <c r="D776" s="5" t="s">
        <v>2330</v>
      </c>
      <c r="E776" s="5" t="s">
        <v>2331</v>
      </c>
      <c r="F776" s="6" t="str">
        <f>IFERROR(__xludf.DUMMYFUNCTION("GOOGLETRANSLATE(D776,""en"",""it"")"),"Mi piacciono i dipinti, tranne le sedie.")</f>
        <v>Mi piacciono i dipinti, tranne le sedie.</v>
      </c>
      <c r="G776" s="6" t="str">
        <f>IFERROR(__xludf.DUMMYFUNCTION("GOOGLETRANSLATE(E776,""fr"",""it"")"),"Apprezzo i dipinti tranne le sedie.")</f>
        <v>Apprezzo i dipinti tranne le sedie.</v>
      </c>
    </row>
    <row r="777">
      <c r="A777" s="4">
        <v>775.0</v>
      </c>
      <c r="B777" s="5" t="s">
        <v>2332</v>
      </c>
      <c r="C777" s="4">
        <v>0.0</v>
      </c>
      <c r="D777" s="5" t="s">
        <v>2333</v>
      </c>
      <c r="E777" s="5" t="s">
        <v>2334</v>
      </c>
      <c r="F777" s="6" t="str">
        <f>IFERROR(__xludf.DUMMYFUNCTION("GOOGLETRANSLATE(D777,""en"",""it"")"),"Mi piacciono i mobili, tranne i dipinti.")</f>
        <v>Mi piacciono i mobili, tranne i dipinti.</v>
      </c>
      <c r="G777" s="6" t="str">
        <f>IFERROR(__xludf.DUMMYFUNCTION("GOOGLETRANSLATE(E777,""fr"",""it"")"),"Apprezzo i mobili tranne i dipinti.")</f>
        <v>Apprezzo i mobili tranne i dipinti.</v>
      </c>
    </row>
    <row r="778">
      <c r="A778" s="4">
        <v>776.0</v>
      </c>
      <c r="B778" s="5" t="s">
        <v>2335</v>
      </c>
      <c r="C778" s="4">
        <v>0.0</v>
      </c>
      <c r="D778" s="5" t="s">
        <v>2336</v>
      </c>
      <c r="E778" s="5" t="s">
        <v>2337</v>
      </c>
      <c r="F778" s="6" t="str">
        <f>IFERROR(__xludf.DUMMYFUNCTION("GOOGLETRANSLATE(D778,""en"",""it"")"),"Mi piacciono le sedie, tranne lo sfondo.")</f>
        <v>Mi piacciono le sedie, tranne lo sfondo.</v>
      </c>
      <c r="G778" s="6" t="str">
        <f>IFERROR(__xludf.DUMMYFUNCTION("GOOGLETRANSLATE(E778,""fr"",""it"")"),"Apprezzo le sedie tranne la carta da parati.")</f>
        <v>Apprezzo le sedie tranne la carta da parati.</v>
      </c>
    </row>
    <row r="779">
      <c r="A779" s="4">
        <v>777.0</v>
      </c>
      <c r="B779" s="5" t="s">
        <v>2338</v>
      </c>
      <c r="C779" s="4">
        <v>0.0</v>
      </c>
      <c r="D779" s="5" t="s">
        <v>2339</v>
      </c>
      <c r="E779" s="5" t="s">
        <v>2340</v>
      </c>
      <c r="F779" s="6" t="str">
        <f>IFERROR(__xludf.DUMMYFUNCTION("GOOGLETRANSLATE(D779,""en"",""it"")"),"Mi piace sfondo, tranne sedie.")</f>
        <v>Mi piace sfondo, tranne sedie.</v>
      </c>
      <c r="G779" s="6" t="str">
        <f>IFERROR(__xludf.DUMMYFUNCTION("GOOGLETRANSLATE(E779,""fr"",""it"")"),"Apprezzo la carta da parati, tranne le sedie.")</f>
        <v>Apprezzo la carta da parati, tranne le sedie.</v>
      </c>
    </row>
    <row r="780">
      <c r="A780" s="4">
        <v>778.0</v>
      </c>
      <c r="B780" s="5" t="s">
        <v>2341</v>
      </c>
      <c r="C780" s="4">
        <v>0.0</v>
      </c>
      <c r="D780" s="5" t="s">
        <v>2342</v>
      </c>
      <c r="E780" s="5" t="s">
        <v>2343</v>
      </c>
      <c r="F780" s="6" t="str">
        <f>IFERROR(__xludf.DUMMYFUNCTION("GOOGLETRANSLATE(D780,""en"",""it"")"),"Mi piacciono i mobili, tranne lo sfondo.")</f>
        <v>Mi piacciono i mobili, tranne lo sfondo.</v>
      </c>
      <c r="G780" s="6" t="str">
        <f>IFERROR(__xludf.DUMMYFUNCTION("GOOGLETRANSLATE(E780,""fr"",""it"")"),"Apprezzo i mobili tranne la carta da parati.")</f>
        <v>Apprezzo i mobili tranne la carta da parati.</v>
      </c>
    </row>
    <row r="781">
      <c r="A781" s="4">
        <v>779.0</v>
      </c>
      <c r="B781" s="5" t="s">
        <v>2344</v>
      </c>
      <c r="C781" s="4">
        <v>0.0</v>
      </c>
      <c r="D781" s="5" t="s">
        <v>2345</v>
      </c>
      <c r="E781" s="5" t="s">
        <v>2346</v>
      </c>
      <c r="F781" s="6" t="str">
        <f>IFERROR(__xludf.DUMMYFUNCTION("GOOGLETRANSLATE(D781,""en"",""it"")"),"Mi piacciono le sedie, tranne il parquet.")</f>
        <v>Mi piacciono le sedie, tranne il parquet.</v>
      </c>
      <c r="G781" s="6" t="str">
        <f>IFERROR(__xludf.DUMMYFUNCTION("GOOGLETRANSLATE(E781,""fr"",""it"")"),"Apprezzo le sedie tranne il pavimento.")</f>
        <v>Apprezzo le sedie tranne il pavimento.</v>
      </c>
    </row>
    <row r="782">
      <c r="A782" s="4">
        <v>780.0</v>
      </c>
      <c r="B782" s="5" t="s">
        <v>2347</v>
      </c>
      <c r="C782" s="4">
        <v>0.0</v>
      </c>
      <c r="D782" s="5" t="s">
        <v>2348</v>
      </c>
      <c r="E782" s="5" t="s">
        <v>2349</v>
      </c>
      <c r="F782" s="6" t="str">
        <f>IFERROR(__xludf.DUMMYFUNCTION("GOOGLETRANSLATE(D782,""en"",""it"")"),"Mi piace il parquet, tranne sedie.")</f>
        <v>Mi piace il parquet, tranne sedie.</v>
      </c>
      <c r="G782" s="6" t="str">
        <f>IFERROR(__xludf.DUMMYFUNCTION("GOOGLETRANSLATE(E782,""fr"",""it"")"),"Apprezzo il parquet, tranne le sedie.")</f>
        <v>Apprezzo il parquet, tranne le sedie.</v>
      </c>
    </row>
    <row r="783">
      <c r="A783" s="4">
        <v>781.0</v>
      </c>
      <c r="B783" s="5" t="s">
        <v>2350</v>
      </c>
      <c r="C783" s="4">
        <v>0.0</v>
      </c>
      <c r="D783" s="5" t="s">
        <v>2351</v>
      </c>
      <c r="E783" s="5" t="s">
        <v>2352</v>
      </c>
      <c r="F783" s="6" t="str">
        <f>IFERROR(__xludf.DUMMYFUNCTION("GOOGLETRANSLATE(D783,""en"",""it"")"),"Mi piacciono i pappagalli, tranne i gatti.")</f>
        <v>Mi piacciono i pappagalli, tranne i gatti.</v>
      </c>
      <c r="G783" s="6" t="str">
        <f>IFERROR(__xludf.DUMMYFUNCTION("GOOGLETRANSLATE(E783,""fr"",""it"")"),"Amo perrouches, tranne i gatti.")</f>
        <v>Amo perrouches, tranne i gatti.</v>
      </c>
    </row>
    <row r="784">
      <c r="A784" s="4">
        <v>782.0</v>
      </c>
      <c r="B784" s="5" t="s">
        <v>2353</v>
      </c>
      <c r="C784" s="4">
        <v>0.0</v>
      </c>
      <c r="D784" s="5" t="s">
        <v>2354</v>
      </c>
      <c r="E784" s="5" t="s">
        <v>2355</v>
      </c>
      <c r="F784" s="6" t="str">
        <f>IFERROR(__xludf.DUMMYFUNCTION("GOOGLETRANSLATE(D784,""en"",""it"")"),"Mi piacciono i mobili, tranne il parquet.")</f>
        <v>Mi piacciono i mobili, tranne il parquet.</v>
      </c>
      <c r="G784" s="6" t="str">
        <f>IFERROR(__xludf.DUMMYFUNCTION("GOOGLETRANSLATE(E784,""fr"",""it"")"),"Apprezzo i mobili tranne il pavimento.")</f>
        <v>Apprezzo i mobili tranne il pavimento.</v>
      </c>
    </row>
    <row r="785">
      <c r="A785" s="4">
        <v>783.0</v>
      </c>
      <c r="B785" s="5" t="s">
        <v>2356</v>
      </c>
      <c r="C785" s="4">
        <v>0.0</v>
      </c>
      <c r="D785" s="5" t="s">
        <v>2357</v>
      </c>
      <c r="E785" s="5" t="s">
        <v>2358</v>
      </c>
      <c r="F785" s="6" t="str">
        <f>IFERROR(__xludf.DUMMYFUNCTION("GOOGLETRANSLATE(D785,""en"",""it"")"),"Mi piacciono i gatti, tranne i pappagalli.")</f>
        <v>Mi piacciono i gatti, tranne i pappagalli.</v>
      </c>
      <c r="G785" s="6" t="str">
        <f>IFERROR(__xludf.DUMMYFUNCTION("GOOGLETRANSLATE(E785,""fr"",""it"")"),"Mi piacciono i gatti, tranne i perroutqui.")</f>
        <v>Mi piacciono i gatti, tranne i perroutqui.</v>
      </c>
    </row>
    <row r="786">
      <c r="A786" s="4">
        <v>784.0</v>
      </c>
      <c r="B786" s="5" t="s">
        <v>2359</v>
      </c>
      <c r="C786" s="4">
        <v>0.0</v>
      </c>
      <c r="D786" s="5" t="s">
        <v>2360</v>
      </c>
      <c r="E786" s="5" t="s">
        <v>2361</v>
      </c>
      <c r="F786" s="6" t="str">
        <f>IFERROR(__xludf.DUMMYFUNCTION("GOOGLETRANSLATE(D786,""en"",""it"")"),"Mi piacciono i pappagalli, tranne gli uccelli.")</f>
        <v>Mi piacciono i pappagalli, tranne gli uccelli.</v>
      </c>
      <c r="G786" s="6" t="str">
        <f>IFERROR(__xludf.DUMMYFUNCTION("GOOGLETRANSLATE(E786,""fr"",""it"")"),"Amo perrouches, tranne gli uccelli.")</f>
        <v>Amo perrouches, tranne gli uccelli.</v>
      </c>
    </row>
    <row r="787">
      <c r="A787" s="4">
        <v>785.0</v>
      </c>
      <c r="B787" s="5" t="s">
        <v>2362</v>
      </c>
      <c r="C787" s="4">
        <v>0.0</v>
      </c>
      <c r="D787" s="5" t="s">
        <v>2363</v>
      </c>
      <c r="E787" s="5" t="s">
        <v>2364</v>
      </c>
      <c r="F787" s="6" t="str">
        <f>IFERROR(__xludf.DUMMYFUNCTION("GOOGLETRANSLATE(D787,""en"",""it"")"),"Mi piacciono i tavoli, tranne la posate.")</f>
        <v>Mi piacciono i tavoli, tranne la posate.</v>
      </c>
      <c r="G787" s="6" t="str">
        <f>IFERROR(__xludf.DUMMYFUNCTION("GOOGLETRANSLATE(E787,""fr"",""it"")"),"Apprezzo i tavoli, tranne la posate.")</f>
        <v>Apprezzo i tavoli, tranne la posate.</v>
      </c>
    </row>
    <row r="788">
      <c r="A788" s="4">
        <v>786.0</v>
      </c>
      <c r="B788" s="5" t="s">
        <v>2365</v>
      </c>
      <c r="C788" s="4">
        <v>0.0</v>
      </c>
      <c r="D788" s="5" t="s">
        <v>2366</v>
      </c>
      <c r="E788" s="5" t="s">
        <v>2367</v>
      </c>
      <c r="F788" s="6" t="str">
        <f>IFERROR(__xludf.DUMMYFUNCTION("GOOGLETRANSLATE(D788,""en"",""it"")"),"Mi piacciono le posate, tranne i tavoli.")</f>
        <v>Mi piacciono le posate, tranne i tavoli.</v>
      </c>
      <c r="G788" s="6" t="str">
        <f>IFERROR(__xludf.DUMMYFUNCTION("GOOGLETRANSLATE(E788,""fr"",""it"")"),"Apprezzo le posate, tranne i tavoli.")</f>
        <v>Apprezzo le posate, tranne i tavoli.</v>
      </c>
    </row>
    <row r="789">
      <c r="A789" s="4">
        <v>787.0</v>
      </c>
      <c r="B789" s="5" t="s">
        <v>2368</v>
      </c>
      <c r="C789" s="4">
        <v>0.0</v>
      </c>
      <c r="D789" s="5" t="s">
        <v>2369</v>
      </c>
      <c r="E789" s="5" t="s">
        <v>2370</v>
      </c>
      <c r="F789" s="6" t="str">
        <f>IFERROR(__xludf.DUMMYFUNCTION("GOOGLETRANSLATE(D789,""en"",""it"")"),"Mi piacciono i tavoli, tranne i mobili.")</f>
        <v>Mi piacciono i tavoli, tranne i mobili.</v>
      </c>
      <c r="G789" s="6" t="str">
        <f>IFERROR(__xludf.DUMMYFUNCTION("GOOGLETRANSLATE(E789,""fr"",""it"")"),"Apprezzo i tavoli tranne i mobili.")</f>
        <v>Apprezzo i tavoli tranne i mobili.</v>
      </c>
    </row>
    <row r="790">
      <c r="A790" s="4">
        <v>788.0</v>
      </c>
      <c r="B790" s="5" t="s">
        <v>2371</v>
      </c>
      <c r="C790" s="4">
        <v>1.0</v>
      </c>
      <c r="D790" s="5" t="s">
        <v>2372</v>
      </c>
      <c r="E790" s="5" t="s">
        <v>2373</v>
      </c>
      <c r="F790" s="6" t="str">
        <f>IFERROR(__xludf.DUMMYFUNCTION("GOOGLETRANSLATE(D790,""en"",""it"")"),"Mi piacciono i mobili, tranne i tavoli.")</f>
        <v>Mi piacciono i mobili, tranne i tavoli.</v>
      </c>
      <c r="G790" s="6" t="str">
        <f>IFERROR(__xludf.DUMMYFUNCTION("GOOGLETRANSLATE(E790,""fr"",""it"")"),"Apprezzo i mobili tranne i tavoli.")</f>
        <v>Apprezzo i mobili tranne i tavoli.</v>
      </c>
    </row>
    <row r="791">
      <c r="A791" s="4">
        <v>789.0</v>
      </c>
      <c r="B791" s="5" t="s">
        <v>2374</v>
      </c>
      <c r="C791" s="4">
        <v>0.0</v>
      </c>
      <c r="D791" s="5" t="s">
        <v>2375</v>
      </c>
      <c r="E791" s="5" t="s">
        <v>2376</v>
      </c>
      <c r="F791" s="6" t="str">
        <f>IFERROR(__xludf.DUMMYFUNCTION("GOOGLETRANSLATE(D791,""en"",""it"")"),"Mi piacciono i tavoli, tranne i dipinti.")</f>
        <v>Mi piacciono i tavoli, tranne i dipinti.</v>
      </c>
      <c r="G791" s="6" t="str">
        <f>IFERROR(__xludf.DUMMYFUNCTION("GOOGLETRANSLATE(E791,""fr"",""it"")"),"Apprezzo i tavoli, tranne i dipinti.")</f>
        <v>Apprezzo i tavoli, tranne i dipinti.</v>
      </c>
    </row>
    <row r="792">
      <c r="A792" s="4">
        <v>790.0</v>
      </c>
      <c r="B792" s="5" t="s">
        <v>2377</v>
      </c>
      <c r="C792" s="4">
        <v>0.0</v>
      </c>
      <c r="D792" s="5" t="s">
        <v>2378</v>
      </c>
      <c r="E792" s="5" t="s">
        <v>2379</v>
      </c>
      <c r="F792" s="6" t="str">
        <f>IFERROR(__xludf.DUMMYFUNCTION("GOOGLETRANSLATE(D792,""en"",""it"")"),"Mi piacciono i dipinti, tranne i tavoli.")</f>
        <v>Mi piacciono i dipinti, tranne i tavoli.</v>
      </c>
      <c r="G792" s="6" t="str">
        <f>IFERROR(__xludf.DUMMYFUNCTION("GOOGLETRANSLATE(E792,""fr"",""it"")"),"Apprezzo i dipinti tranne i tavoli.")</f>
        <v>Apprezzo i dipinti tranne i tavoli.</v>
      </c>
    </row>
    <row r="793">
      <c r="A793" s="4">
        <v>791.0</v>
      </c>
      <c r="B793" s="5" t="s">
        <v>2380</v>
      </c>
      <c r="C793" s="4">
        <v>1.0</v>
      </c>
      <c r="D793" s="5" t="s">
        <v>2381</v>
      </c>
      <c r="E793" s="5" t="s">
        <v>2382</v>
      </c>
      <c r="F793" s="6" t="str">
        <f>IFERROR(__xludf.DUMMYFUNCTION("GOOGLETRANSLATE(D793,""en"",""it"")"),"Mi piacciono gli uccelli, tranne i pappagalli.")</f>
        <v>Mi piacciono gli uccelli, tranne i pappagalli.</v>
      </c>
      <c r="G793" s="6" t="str">
        <f>IFERROR(__xludf.DUMMYFUNCTION("GOOGLETRANSLATE(E793,""fr"",""it"")"),"Mi piacciono gli uccelli, tranne i perroutqui.")</f>
        <v>Mi piacciono gli uccelli, tranne i perroutqui.</v>
      </c>
    </row>
    <row r="794">
      <c r="A794" s="4">
        <v>792.0</v>
      </c>
      <c r="B794" s="5" t="s">
        <v>2383</v>
      </c>
      <c r="C794" s="4">
        <v>0.0</v>
      </c>
      <c r="D794" s="5" t="s">
        <v>2384</v>
      </c>
      <c r="E794" s="5" t="s">
        <v>2385</v>
      </c>
      <c r="F794" s="6" t="str">
        <f>IFERROR(__xludf.DUMMYFUNCTION("GOOGLETRANSLATE(D794,""en"",""it"")"),"Mi piacciono i tavoli, tranne lo sfondo.")</f>
        <v>Mi piacciono i tavoli, tranne lo sfondo.</v>
      </c>
      <c r="G794" s="6" t="str">
        <f>IFERROR(__xludf.DUMMYFUNCTION("GOOGLETRANSLATE(E794,""fr"",""it"")"),"Apprezzo i tavoli, tranne lo sfondo.")</f>
        <v>Apprezzo i tavoli, tranne lo sfondo.</v>
      </c>
    </row>
    <row r="795">
      <c r="A795" s="4">
        <v>793.0</v>
      </c>
      <c r="B795" s="5" t="s">
        <v>2386</v>
      </c>
      <c r="C795" s="4">
        <v>0.0</v>
      </c>
      <c r="D795" s="5" t="s">
        <v>2387</v>
      </c>
      <c r="E795" s="5" t="s">
        <v>2388</v>
      </c>
      <c r="F795" s="6" t="str">
        <f>IFERROR(__xludf.DUMMYFUNCTION("GOOGLETRANSLATE(D795,""en"",""it"")"),"Mi piace lo sfondo, tranne tavoli.")</f>
        <v>Mi piace lo sfondo, tranne tavoli.</v>
      </c>
      <c r="G795" s="6" t="str">
        <f>IFERROR(__xludf.DUMMYFUNCTION("GOOGLETRANSLATE(E795,""fr"",""it"")"),"Apprezzo la carta da parati, tranne i tavoli.")</f>
        <v>Apprezzo la carta da parati, tranne i tavoli.</v>
      </c>
    </row>
    <row r="796">
      <c r="A796" s="4">
        <v>794.0</v>
      </c>
      <c r="B796" s="5" t="s">
        <v>2389</v>
      </c>
      <c r="C796" s="4">
        <v>0.0</v>
      </c>
      <c r="D796" s="5" t="s">
        <v>2390</v>
      </c>
      <c r="E796" s="5" t="s">
        <v>2391</v>
      </c>
      <c r="F796" s="6" t="str">
        <f>IFERROR(__xludf.DUMMYFUNCTION("GOOGLETRANSLATE(D796,""en"",""it"")"),"Mi piacciono i tavoli, tranne il parquet.")</f>
        <v>Mi piacciono i tavoli, tranne il parquet.</v>
      </c>
      <c r="G796" s="6" t="str">
        <f>IFERROR(__xludf.DUMMYFUNCTION("GOOGLETRANSLATE(E796,""fr"",""it"")"),"Apprezzo i tavoli, tranne il pavimento.")</f>
        <v>Apprezzo i tavoli, tranne il pavimento.</v>
      </c>
    </row>
    <row r="797">
      <c r="A797" s="4">
        <v>795.0</v>
      </c>
      <c r="B797" s="5" t="s">
        <v>2392</v>
      </c>
      <c r="C797" s="4">
        <v>0.0</v>
      </c>
      <c r="D797" s="5" t="s">
        <v>2393</v>
      </c>
      <c r="E797" s="5" t="s">
        <v>2394</v>
      </c>
      <c r="F797" s="6" t="str">
        <f>IFERROR(__xludf.DUMMYFUNCTION("GOOGLETRANSLATE(D797,""en"",""it"")"),"Mi piace il parquet, tranne tavoli.")</f>
        <v>Mi piace il parquet, tranne tavoli.</v>
      </c>
      <c r="G797" s="6" t="str">
        <f>IFERROR(__xludf.DUMMYFUNCTION("GOOGLETRANSLATE(E797,""fr"",""it"")"),"Apprezzo il parquet, tranne i tavoli.")</f>
        <v>Apprezzo il parquet, tranne i tavoli.</v>
      </c>
    </row>
    <row r="798">
      <c r="A798" s="4">
        <v>796.0</v>
      </c>
      <c r="B798" s="5" t="s">
        <v>2395</v>
      </c>
      <c r="C798" s="4">
        <v>0.0</v>
      </c>
      <c r="D798" s="5" t="s">
        <v>2396</v>
      </c>
      <c r="E798" s="5" t="s">
        <v>2397</v>
      </c>
      <c r="F798" s="6" t="str">
        <f>IFERROR(__xludf.DUMMYFUNCTION("GOOGLETRANSLATE(D798,""en"",""it"")"),"Mi piacciono gli uccelli, tranne i gatti.")</f>
        <v>Mi piacciono gli uccelli, tranne i gatti.</v>
      </c>
      <c r="G798" s="6" t="str">
        <f>IFERROR(__xludf.DUMMYFUNCTION("GOOGLETRANSLATE(E798,""fr"",""it"")"),"Mi piacciono gli uccelli, tranne i gatti.")</f>
        <v>Mi piacciono gli uccelli, tranne i gatti.</v>
      </c>
    </row>
    <row r="799">
      <c r="A799" s="4">
        <v>797.0</v>
      </c>
      <c r="B799" s="5" t="s">
        <v>2398</v>
      </c>
      <c r="C799" s="4">
        <v>0.0</v>
      </c>
      <c r="D799" s="5" t="s">
        <v>2399</v>
      </c>
      <c r="E799" s="5" t="s">
        <v>2400</v>
      </c>
      <c r="F799" s="6" t="str">
        <f>IFERROR(__xludf.DUMMYFUNCTION("GOOGLETRANSLATE(D799,""en"",""it"")"),"Mi piacciono i pappagalli, tranne i criceti.")</f>
        <v>Mi piacciono i pappagalli, tranne i criceti.</v>
      </c>
      <c r="G799" s="6" t="str">
        <f>IFERROR(__xludf.DUMMYFUNCTION("GOOGLETRANSLATE(E799,""fr"",""it"")"),"Amo perrouches, tranne i criceti.")</f>
        <v>Amo perrouches, tranne i criceti.</v>
      </c>
    </row>
    <row r="800">
      <c r="A800" s="4">
        <v>798.0</v>
      </c>
      <c r="B800" s="5" t="s">
        <v>2401</v>
      </c>
      <c r="C800" s="4">
        <v>0.0</v>
      </c>
      <c r="D800" s="5" t="s">
        <v>2402</v>
      </c>
      <c r="E800" s="5" t="s">
        <v>2403</v>
      </c>
      <c r="F800" s="6" t="str">
        <f>IFERROR(__xludf.DUMMYFUNCTION("GOOGLETRANSLATE(D800,""en"",""it"")"),"Mi piacciono i criceti, tranne i pappagalli.")</f>
        <v>Mi piacciono i criceti, tranne i pappagalli.</v>
      </c>
      <c r="G800" s="6" t="str">
        <f>IFERROR(__xludf.DUMMYFUNCTION("GOOGLETRANSLATE(E800,""fr"",""it"")"),"Mi piacciono i criceti, tranne i perrouches.")</f>
        <v>Mi piacciono i criceti, tranne i perrouches.</v>
      </c>
    </row>
    <row r="801">
      <c r="A801" s="4">
        <v>799.0</v>
      </c>
      <c r="B801" s="5" t="s">
        <v>2404</v>
      </c>
      <c r="C801" s="4">
        <v>0.0</v>
      </c>
      <c r="D801" s="5" t="s">
        <v>2405</v>
      </c>
      <c r="E801" s="5" t="s">
        <v>2406</v>
      </c>
      <c r="F801" s="6" t="str">
        <f>IFERROR(__xludf.DUMMYFUNCTION("GOOGLETRANSLATE(D801,""en"",""it"")"),"Mi piacciono gli armadi, tranne la posate.")</f>
        <v>Mi piacciono gli armadi, tranne la posate.</v>
      </c>
      <c r="G801" s="6" t="str">
        <f>IFERROR(__xludf.DUMMYFUNCTION("GOOGLETRANSLATE(E801,""fr"",""it"")"),"Apprezzo gli armadietti, tranne la posate.")</f>
        <v>Apprezzo gli armadietti, tranne la posate.</v>
      </c>
    </row>
    <row r="802">
      <c r="A802" s="4">
        <v>800.0</v>
      </c>
      <c r="B802" s="5" t="s">
        <v>2407</v>
      </c>
      <c r="C802" s="4">
        <v>0.0</v>
      </c>
      <c r="D802" s="5" t="s">
        <v>2408</v>
      </c>
      <c r="E802" s="5" t="s">
        <v>2409</v>
      </c>
      <c r="F802" s="6" t="str">
        <f>IFERROR(__xludf.DUMMYFUNCTION("GOOGLETRANSLATE(D802,""en"",""it"")"),"Mi piacciono le posate, tranne gli armadi.")</f>
        <v>Mi piacciono le posate, tranne gli armadi.</v>
      </c>
      <c r="G802" s="6" t="str">
        <f>IFERROR(__xludf.DUMMYFUNCTION("GOOGLETRANSLATE(E802,""fr"",""it"")"),"Apprezzo le posate tranne gli armadietti.")</f>
        <v>Apprezzo le posate tranne gli armadietti.</v>
      </c>
    </row>
    <row r="803">
      <c r="A803" s="4">
        <v>801.0</v>
      </c>
      <c r="B803" s="5" t="s">
        <v>2410</v>
      </c>
      <c r="C803" s="4">
        <v>0.0</v>
      </c>
      <c r="D803" s="5" t="s">
        <v>2411</v>
      </c>
      <c r="E803" s="5" t="s">
        <v>2412</v>
      </c>
      <c r="F803" s="6" t="str">
        <f>IFERROR(__xludf.DUMMYFUNCTION("GOOGLETRANSLATE(D803,""en"",""it"")"),"Mi piacciono gli armadi, tranne i mobili.")</f>
        <v>Mi piacciono gli armadi, tranne i mobili.</v>
      </c>
      <c r="G803" s="6" t="str">
        <f>IFERROR(__xludf.DUMMYFUNCTION("GOOGLETRANSLATE(E803,""fr"",""it"")"),"Apprezzo gli armadietti tranne i mobili.")</f>
        <v>Apprezzo gli armadietti tranne i mobili.</v>
      </c>
    </row>
    <row r="804">
      <c r="A804" s="4">
        <v>802.0</v>
      </c>
      <c r="B804" s="5" t="s">
        <v>2413</v>
      </c>
      <c r="C804" s="4">
        <v>1.0</v>
      </c>
      <c r="D804" s="5" t="s">
        <v>2414</v>
      </c>
      <c r="E804" s="5" t="s">
        <v>2415</v>
      </c>
      <c r="F804" s="6" t="str">
        <f>IFERROR(__xludf.DUMMYFUNCTION("GOOGLETRANSLATE(D804,""en"",""it"")"),"Mi piacciono i mobili, tranne gli armadi.")</f>
        <v>Mi piacciono i mobili, tranne gli armadi.</v>
      </c>
      <c r="G804" s="6" t="str">
        <f>IFERROR(__xludf.DUMMYFUNCTION("GOOGLETRANSLATE(E804,""fr"",""it"")"),"Apprezzo i mobili tranne gli armadietti.")</f>
        <v>Apprezzo i mobili tranne gli armadietti.</v>
      </c>
    </row>
    <row r="805">
      <c r="A805" s="4">
        <v>803.0</v>
      </c>
      <c r="B805" s="5" t="s">
        <v>2416</v>
      </c>
      <c r="C805" s="4">
        <v>0.0</v>
      </c>
      <c r="D805" s="5" t="s">
        <v>2417</v>
      </c>
      <c r="E805" s="5" t="s">
        <v>2418</v>
      </c>
      <c r="F805" s="6" t="str">
        <f>IFERROR(__xludf.DUMMYFUNCTION("GOOGLETRANSLATE(D805,""en"",""it"")"),"Mi piacciono gli armadi, tranne i dipinti.")</f>
        <v>Mi piacciono gli armadi, tranne i dipinti.</v>
      </c>
      <c r="G805" s="6" t="str">
        <f>IFERROR(__xludf.DUMMYFUNCTION("GOOGLETRANSLATE(E805,""fr"",""it"")"),"Apprezzo gli armadietti, tranne i dipinti.")</f>
        <v>Apprezzo gli armadietti, tranne i dipinti.</v>
      </c>
    </row>
    <row r="806">
      <c r="A806" s="4">
        <v>804.0</v>
      </c>
      <c r="B806" s="5" t="s">
        <v>2419</v>
      </c>
      <c r="C806" s="4">
        <v>0.0</v>
      </c>
      <c r="D806" s="5" t="s">
        <v>2420</v>
      </c>
      <c r="E806" s="5" t="s">
        <v>2421</v>
      </c>
      <c r="F806" s="6" t="str">
        <f>IFERROR(__xludf.DUMMYFUNCTION("GOOGLETRANSLATE(D806,""en"",""it"")"),"Mi piacciono i dipinti, tranne gli armadi.")</f>
        <v>Mi piacciono i dipinti, tranne gli armadi.</v>
      </c>
      <c r="G806" s="6" t="str">
        <f>IFERROR(__xludf.DUMMYFUNCTION("GOOGLETRANSLATE(E806,""fr"",""it"")"),"Apprezzo i dipinti tranne gli armadietti.")</f>
        <v>Apprezzo i dipinti tranne gli armadietti.</v>
      </c>
    </row>
    <row r="807">
      <c r="A807" s="4">
        <v>805.0</v>
      </c>
      <c r="B807" s="5" t="s">
        <v>2422</v>
      </c>
      <c r="C807" s="4">
        <v>0.0</v>
      </c>
      <c r="D807" s="5" t="s">
        <v>2423</v>
      </c>
      <c r="E807" s="5" t="s">
        <v>2424</v>
      </c>
      <c r="F807" s="6" t="str">
        <f>IFERROR(__xludf.DUMMYFUNCTION("GOOGLETRANSLATE(D807,""en"",""it"")"),"Mi piacciono gli armadi, tranne lo sfondo.")</f>
        <v>Mi piacciono gli armadi, tranne lo sfondo.</v>
      </c>
      <c r="G807" s="6" t="str">
        <f>IFERROR(__xludf.DUMMYFUNCTION("GOOGLETRANSLATE(E807,""fr"",""it"")"),"Apprezzo gli armadietti, tranne lo sfondo.")</f>
        <v>Apprezzo gli armadietti, tranne lo sfondo.</v>
      </c>
    </row>
    <row r="808">
      <c r="A808" s="4">
        <v>806.0</v>
      </c>
      <c r="B808" s="5" t="s">
        <v>2425</v>
      </c>
      <c r="C808" s="4">
        <v>0.0</v>
      </c>
      <c r="D808" s="5" t="s">
        <v>2426</v>
      </c>
      <c r="E808" s="5" t="s">
        <v>2427</v>
      </c>
      <c r="F808" s="6" t="str">
        <f>IFERROR(__xludf.DUMMYFUNCTION("GOOGLETRANSLATE(D808,""en"",""it"")"),"Mi piace lo sfondo, tranne gli armadi.")</f>
        <v>Mi piace lo sfondo, tranne gli armadi.</v>
      </c>
      <c r="G808" s="6" t="str">
        <f>IFERROR(__xludf.DUMMYFUNCTION("GOOGLETRANSLATE(E808,""fr"",""it"")"),"Apprezzo la carta da parati tranne gli armadietti.")</f>
        <v>Apprezzo la carta da parati tranne gli armadietti.</v>
      </c>
    </row>
    <row r="809">
      <c r="A809" s="4">
        <v>807.0</v>
      </c>
      <c r="B809" s="5" t="s">
        <v>2428</v>
      </c>
      <c r="C809" s="4">
        <v>0.0</v>
      </c>
      <c r="D809" s="5" t="s">
        <v>2429</v>
      </c>
      <c r="E809" s="5" t="s">
        <v>2430</v>
      </c>
      <c r="F809" s="6" t="str">
        <f>IFERROR(__xludf.DUMMYFUNCTION("GOOGLETRANSLATE(D809,""en"",""it"")"),"Mi piacciono gli armadi, tranne il parquet.")</f>
        <v>Mi piacciono gli armadi, tranne il parquet.</v>
      </c>
      <c r="G809" s="6" t="str">
        <f>IFERROR(__xludf.DUMMYFUNCTION("GOOGLETRANSLATE(E809,""fr"",""it"")"),"Apprezzo gli armadietti, tranne il pavimento.")</f>
        <v>Apprezzo gli armadietti, tranne il pavimento.</v>
      </c>
    </row>
    <row r="810">
      <c r="A810" s="4">
        <v>808.0</v>
      </c>
      <c r="B810" s="5" t="s">
        <v>2431</v>
      </c>
      <c r="C810" s="4">
        <v>0.0</v>
      </c>
      <c r="D810" s="5" t="s">
        <v>2432</v>
      </c>
      <c r="E810" s="5" t="s">
        <v>2433</v>
      </c>
      <c r="F810" s="6" t="str">
        <f>IFERROR(__xludf.DUMMYFUNCTION("GOOGLETRANSLATE(D810,""en"",""it"")"),"Mi piace il parquet, tranne gli armadi.")</f>
        <v>Mi piace il parquet, tranne gli armadi.</v>
      </c>
      <c r="G810" s="6" t="str">
        <f>IFERROR(__xludf.DUMMYFUNCTION("GOOGLETRANSLATE(E810,""fr"",""it"")"),"Apprezzo il pavimento, tranne gli armadietti.")</f>
        <v>Apprezzo il pavimento, tranne gli armadietti.</v>
      </c>
    </row>
    <row r="811">
      <c r="A811" s="4">
        <v>809.0</v>
      </c>
      <c r="B811" s="5" t="s">
        <v>2434</v>
      </c>
      <c r="C811" s="4">
        <v>0.0</v>
      </c>
      <c r="D811" s="5" t="s">
        <v>2435</v>
      </c>
      <c r="E811" s="5" t="s">
        <v>2436</v>
      </c>
      <c r="F811" s="6" t="str">
        <f>IFERROR(__xludf.DUMMYFUNCTION("GOOGLETRANSLATE(D811,""en"",""it"")"),"Mi piacciono i husky, tranne i conigli.")</f>
        <v>Mi piacciono i husky, tranne i conigli.</v>
      </c>
      <c r="G811" s="6" t="str">
        <f>IFERROR(__xludf.DUMMYFUNCTION("GOOGLETRANSLATE(E811,""fr"",""it"")"),"Mi piacciono i husky, tranne i conigli.")</f>
        <v>Mi piacciono i husky, tranne i conigli.</v>
      </c>
    </row>
    <row r="812">
      <c r="A812" s="4">
        <v>810.0</v>
      </c>
      <c r="B812" s="5" t="s">
        <v>2437</v>
      </c>
      <c r="C812" s="4">
        <v>0.0</v>
      </c>
      <c r="D812" s="5" t="s">
        <v>2438</v>
      </c>
      <c r="E812" s="5" t="s">
        <v>2439</v>
      </c>
      <c r="F812" s="6" t="str">
        <f>IFERROR(__xludf.DUMMYFUNCTION("GOOGLETRANSLATE(D812,""en"",""it"")"),"Mi piacciono gli uccelli, tranne i criceti.")</f>
        <v>Mi piacciono gli uccelli, tranne i criceti.</v>
      </c>
      <c r="G812" s="6" t="str">
        <f>IFERROR(__xludf.DUMMYFUNCTION("GOOGLETRANSLATE(E812,""fr"",""it"")"),"Mi piacciono gli uccelli, tranne i criceti.")</f>
        <v>Mi piacciono gli uccelli, tranne i criceti.</v>
      </c>
    </row>
    <row r="813">
      <c r="A813" s="4">
        <v>811.0</v>
      </c>
      <c r="B813" s="5" t="s">
        <v>2440</v>
      </c>
      <c r="C813" s="4">
        <v>0.0</v>
      </c>
      <c r="D813" s="5" t="s">
        <v>2441</v>
      </c>
      <c r="E813" s="5" t="s">
        <v>2442</v>
      </c>
      <c r="F813" s="6" t="str">
        <f>IFERROR(__xludf.DUMMYFUNCTION("GOOGLETRANSLATE(D813,""en"",""it"")"),"Mi piacciono i pappagalli, tranne i maiali.")</f>
        <v>Mi piacciono i pappagalli, tranne i maiali.</v>
      </c>
      <c r="G813" s="6" t="str">
        <f>IFERROR(__xludf.DUMMYFUNCTION("GOOGLETRANSLATE(E813,""fr"",""it"")"),"Mi piacciono i perrouches, tranne i maiali.")</f>
        <v>Mi piacciono i perrouches, tranne i maiali.</v>
      </c>
    </row>
    <row r="814">
      <c r="A814" s="4">
        <v>812.0</v>
      </c>
      <c r="B814" s="5" t="s">
        <v>2443</v>
      </c>
      <c r="C814" s="4">
        <v>0.0</v>
      </c>
      <c r="D814" s="5" t="s">
        <v>2444</v>
      </c>
      <c r="E814" s="5" t="s">
        <v>2445</v>
      </c>
      <c r="F814" s="6" t="str">
        <f>IFERROR(__xludf.DUMMYFUNCTION("GOOGLETRANSLATE(D814,""en"",""it"")"),"Mi piacciono i letti, tranne la posate.")</f>
        <v>Mi piacciono i letti, tranne la posate.</v>
      </c>
      <c r="G814" s="6" t="str">
        <f>IFERROR(__xludf.DUMMYFUNCTION("GOOGLETRANSLATE(E814,""fr"",""it"")"),"Apprezzo i letti tranne la posate.")</f>
        <v>Apprezzo i letti tranne la posate.</v>
      </c>
    </row>
    <row r="815">
      <c r="A815" s="4">
        <v>813.0</v>
      </c>
      <c r="B815" s="5" t="s">
        <v>2446</v>
      </c>
      <c r="C815" s="4">
        <v>0.0</v>
      </c>
      <c r="D815" s="5" t="s">
        <v>2447</v>
      </c>
      <c r="E815" s="5" t="s">
        <v>2448</v>
      </c>
      <c r="F815" s="6" t="str">
        <f>IFERROR(__xludf.DUMMYFUNCTION("GOOGLETRANSLATE(D815,""en"",""it"")"),"Mi piacciono le posate, ad eccezione dei letti.")</f>
        <v>Mi piacciono le posate, ad eccezione dei letti.</v>
      </c>
      <c r="G815" s="6" t="str">
        <f>IFERROR(__xludf.DUMMYFUNCTION("GOOGLETRANSLATE(E815,""fr"",""it"")"),"Apprezzo le posate, tranne i letti.")</f>
        <v>Apprezzo le posate, tranne i letti.</v>
      </c>
    </row>
    <row r="816">
      <c r="A816" s="4">
        <v>814.0</v>
      </c>
      <c r="B816" s="5" t="s">
        <v>2449</v>
      </c>
      <c r="C816" s="4">
        <v>0.0</v>
      </c>
      <c r="D816" s="5" t="s">
        <v>2450</v>
      </c>
      <c r="E816" s="5" t="s">
        <v>2451</v>
      </c>
      <c r="F816" s="6" t="str">
        <f>IFERROR(__xludf.DUMMYFUNCTION("GOOGLETRANSLATE(D816,""en"",""it"")"),"Mi piacciono i letti, tranne i mobili.")</f>
        <v>Mi piacciono i letti, tranne i mobili.</v>
      </c>
      <c r="G816" s="6" t="str">
        <f>IFERROR(__xludf.DUMMYFUNCTION("GOOGLETRANSLATE(E816,""fr"",""it"")"),"Apprezzo i letti tranne i mobili.")</f>
        <v>Apprezzo i letti tranne i mobili.</v>
      </c>
    </row>
    <row r="817">
      <c r="A817" s="4">
        <v>815.0</v>
      </c>
      <c r="B817" s="5" t="s">
        <v>2452</v>
      </c>
      <c r="C817" s="4">
        <v>1.0</v>
      </c>
      <c r="D817" s="5" t="s">
        <v>2453</v>
      </c>
      <c r="E817" s="5" t="s">
        <v>2454</v>
      </c>
      <c r="F817" s="6" t="str">
        <f>IFERROR(__xludf.DUMMYFUNCTION("GOOGLETRANSLATE(D817,""en"",""it"")"),"Mi piacciono i mobili, ad eccezione dei letti.")</f>
        <v>Mi piacciono i mobili, ad eccezione dei letti.</v>
      </c>
      <c r="G817" s="6" t="str">
        <f>IFERROR(__xludf.DUMMYFUNCTION("GOOGLETRANSLATE(E817,""fr"",""it"")"),"Apprezzo i mobili tranne i letti.")</f>
        <v>Apprezzo i mobili tranne i letti.</v>
      </c>
    </row>
    <row r="818">
      <c r="A818" s="4">
        <v>816.0</v>
      </c>
      <c r="B818" s="5" t="s">
        <v>2455</v>
      </c>
      <c r="C818" s="4">
        <v>0.0</v>
      </c>
      <c r="D818" s="5" t="s">
        <v>2456</v>
      </c>
      <c r="E818" s="5" t="s">
        <v>2457</v>
      </c>
      <c r="F818" s="6" t="str">
        <f>IFERROR(__xludf.DUMMYFUNCTION("GOOGLETRANSLATE(D818,""en"",""it"")"),"Mi piacciono i letti, tranne i dipinti.")</f>
        <v>Mi piacciono i letti, tranne i dipinti.</v>
      </c>
      <c r="G818" s="6" t="str">
        <f>IFERROR(__xludf.DUMMYFUNCTION("GOOGLETRANSLATE(E818,""fr"",""it"")"),"Apprezzo i letti tranne i dipinti.")</f>
        <v>Apprezzo i letti tranne i dipinti.</v>
      </c>
    </row>
    <row r="819">
      <c r="A819" s="4">
        <v>817.0</v>
      </c>
      <c r="B819" s="5" t="s">
        <v>2458</v>
      </c>
      <c r="C819" s="4">
        <v>0.0</v>
      </c>
      <c r="D819" s="5" t="s">
        <v>2459</v>
      </c>
      <c r="E819" s="5" t="s">
        <v>2460</v>
      </c>
      <c r="F819" s="6" t="str">
        <f>IFERROR(__xludf.DUMMYFUNCTION("GOOGLETRANSLATE(D819,""en"",""it"")"),"Mi piacciono i dipinti, ad eccezione dei letti.")</f>
        <v>Mi piacciono i dipinti, ad eccezione dei letti.</v>
      </c>
      <c r="G819" s="6" t="str">
        <f>IFERROR(__xludf.DUMMYFUNCTION("GOOGLETRANSLATE(E819,""fr"",""it"")"),"Apprezzo i dipinti tranne i letti.")</f>
        <v>Apprezzo i dipinti tranne i letti.</v>
      </c>
    </row>
    <row r="820">
      <c r="A820" s="4">
        <v>818.0</v>
      </c>
      <c r="B820" s="5" t="s">
        <v>2461</v>
      </c>
      <c r="C820" s="4">
        <v>0.0</v>
      </c>
      <c r="D820" s="5" t="s">
        <v>2462</v>
      </c>
      <c r="E820" s="5" t="s">
        <v>2463</v>
      </c>
      <c r="F820" s="6" t="str">
        <f>IFERROR(__xludf.DUMMYFUNCTION("GOOGLETRANSLATE(D820,""en"",""it"")"),"Mi piacciono i maiali, tranne i pappagalli.")</f>
        <v>Mi piacciono i maiali, tranne i pappagalli.</v>
      </c>
      <c r="G820" s="6" t="str">
        <f>IFERROR(__xludf.DUMMYFUNCTION("GOOGLETRANSLATE(E820,""fr"",""it"")"),"Mi piacciono i maiali, tranne i perroutqui.")</f>
        <v>Mi piacciono i maiali, tranne i perroutqui.</v>
      </c>
    </row>
    <row r="821">
      <c r="A821" s="4">
        <v>819.0</v>
      </c>
      <c r="B821" s="5" t="s">
        <v>2464</v>
      </c>
      <c r="C821" s="4">
        <v>0.0</v>
      </c>
      <c r="D821" s="5" t="s">
        <v>2465</v>
      </c>
      <c r="E821" s="5" t="s">
        <v>2466</v>
      </c>
      <c r="F821" s="6" t="str">
        <f>IFERROR(__xludf.DUMMYFUNCTION("GOOGLETRANSLATE(D821,""en"",""it"")"),"Mi piacciono i letti, tranne lo sfondo.")</f>
        <v>Mi piacciono i letti, tranne lo sfondo.</v>
      </c>
      <c r="G821" s="6" t="str">
        <f>IFERROR(__xludf.DUMMYFUNCTION("GOOGLETRANSLATE(E821,""fr"",""it"")"),"Apprezzo i letti tranne la carta da parati.")</f>
        <v>Apprezzo i letti tranne la carta da parati.</v>
      </c>
    </row>
    <row r="822">
      <c r="A822" s="4">
        <v>820.0</v>
      </c>
      <c r="B822" s="5" t="s">
        <v>2467</v>
      </c>
      <c r="C822" s="4">
        <v>0.0</v>
      </c>
      <c r="D822" s="5" t="s">
        <v>2468</v>
      </c>
      <c r="E822" s="5" t="s">
        <v>2469</v>
      </c>
      <c r="F822" s="6" t="str">
        <f>IFERROR(__xludf.DUMMYFUNCTION("GOOGLETRANSLATE(D822,""en"",""it"")"),"Mi piace lo sfondo, ad eccezione dei letti.")</f>
        <v>Mi piace lo sfondo, ad eccezione dei letti.</v>
      </c>
      <c r="G822" s="6" t="str">
        <f>IFERROR(__xludf.DUMMYFUNCTION("GOOGLETRANSLATE(E822,""fr"",""it"")"),"Apprezzo la carta da parati, tranne i letti.")</f>
        <v>Apprezzo la carta da parati, tranne i letti.</v>
      </c>
    </row>
    <row r="823">
      <c r="A823" s="4">
        <v>821.0</v>
      </c>
      <c r="B823" s="5" t="s">
        <v>2470</v>
      </c>
      <c r="C823" s="4">
        <v>0.0</v>
      </c>
      <c r="D823" s="5" t="s">
        <v>2471</v>
      </c>
      <c r="E823" s="5" t="s">
        <v>2472</v>
      </c>
      <c r="F823" s="6" t="str">
        <f>IFERROR(__xludf.DUMMYFUNCTION("GOOGLETRANSLATE(D823,""en"",""it"")"),"Mi piacciono letti, tranne il parquet.")</f>
        <v>Mi piacciono letti, tranne il parquet.</v>
      </c>
      <c r="G823" s="6" t="str">
        <f>IFERROR(__xludf.DUMMYFUNCTION("GOOGLETRANSLATE(E823,""fr"",""it"")"),"Apprezzo i letti tranne il parquet.")</f>
        <v>Apprezzo i letti tranne il parquet.</v>
      </c>
    </row>
    <row r="824">
      <c r="A824" s="4">
        <v>822.0</v>
      </c>
      <c r="B824" s="5" t="s">
        <v>2473</v>
      </c>
      <c r="C824" s="4">
        <v>0.0</v>
      </c>
      <c r="D824" s="5" t="s">
        <v>2474</v>
      </c>
      <c r="E824" s="5" t="s">
        <v>2475</v>
      </c>
      <c r="F824" s="6" t="str">
        <f>IFERROR(__xludf.DUMMYFUNCTION("GOOGLETRANSLATE(D824,""en"",""it"")"),"Mi piace il parquet, ad eccezione dei letti.")</f>
        <v>Mi piace il parquet, ad eccezione dei letti.</v>
      </c>
      <c r="G824" s="6" t="str">
        <f>IFERROR(__xludf.DUMMYFUNCTION("GOOGLETRANSLATE(E824,""fr"",""it"")"),"Apprezzo il parquet, tranne i letti.")</f>
        <v>Apprezzo il parquet, tranne i letti.</v>
      </c>
    </row>
    <row r="825">
      <c r="A825" s="4">
        <v>823.0</v>
      </c>
      <c r="B825" s="5" t="s">
        <v>2476</v>
      </c>
      <c r="C825" s="4">
        <v>0.0</v>
      </c>
      <c r="D825" s="5" t="s">
        <v>2477</v>
      </c>
      <c r="E825" s="5" t="s">
        <v>2478</v>
      </c>
      <c r="F825" s="6" t="str">
        <f>IFERROR(__xludf.DUMMYFUNCTION("GOOGLETRANSLATE(D825,""en"",""it"")"),"Mi piacciono gli uccelli, tranne i maiali.")</f>
        <v>Mi piacciono gli uccelli, tranne i maiali.</v>
      </c>
      <c r="G825" s="6" t="str">
        <f>IFERROR(__xludf.DUMMYFUNCTION("GOOGLETRANSLATE(E825,""fr"",""it"")"),"Mi piacciono gli uccelli, tranne i maiali.")</f>
        <v>Mi piacciono gli uccelli, tranne i maiali.</v>
      </c>
    </row>
    <row r="826">
      <c r="A826" s="4">
        <v>824.0</v>
      </c>
      <c r="B826" s="5" t="s">
        <v>2479</v>
      </c>
      <c r="C826" s="4">
        <v>0.0</v>
      </c>
      <c r="D826" s="5" t="s">
        <v>2480</v>
      </c>
      <c r="E826" s="5" t="s">
        <v>2481</v>
      </c>
      <c r="F826" s="6" t="str">
        <f>IFERROR(__xludf.DUMMYFUNCTION("GOOGLETRANSLATE(D826,""en"",""it"")"),"Mi piace Merlot, tranne Coca-Cola.")</f>
        <v>Mi piace Merlot, tranne Coca-Cola.</v>
      </c>
      <c r="G826" s="6" t="str">
        <f>IFERROR(__xludf.DUMMYFUNCTION("GOOGLETRANSLATE(E826,""fr"",""it"")"),"Apprezzo Merlot, tranne la coca cola.")</f>
        <v>Apprezzo Merlot, tranne la coca cola.</v>
      </c>
    </row>
    <row r="827">
      <c r="A827" s="4">
        <v>825.0</v>
      </c>
      <c r="B827" s="5" t="s">
        <v>2482</v>
      </c>
      <c r="C827" s="4">
        <v>0.0</v>
      </c>
      <c r="D827" s="5" t="s">
        <v>2483</v>
      </c>
      <c r="E827" s="5" t="s">
        <v>2484</v>
      </c>
      <c r="F827" s="6" t="str">
        <f>IFERROR(__xludf.DUMMYFUNCTION("GOOGLETRANSLATE(D827,""en"",""it"")"),"Mi piace Coca-Cola, ad eccezione del Merlot.")</f>
        <v>Mi piace Coca-Cola, ad eccezione del Merlot.</v>
      </c>
      <c r="G827" s="6" t="str">
        <f>IFERROR(__xludf.DUMMYFUNCTION("GOOGLETRANSLATE(E827,""fr"",""it"")"),"Apprezzo Coca Cola, ad eccezione del Merlot.")</f>
        <v>Apprezzo Coca Cola, ad eccezione del Merlot.</v>
      </c>
    </row>
    <row r="828">
      <c r="A828" s="4">
        <v>826.0</v>
      </c>
      <c r="B828" s="5" t="s">
        <v>2485</v>
      </c>
      <c r="C828" s="4">
        <v>0.0</v>
      </c>
      <c r="D828" s="5" t="s">
        <v>2486</v>
      </c>
      <c r="E828" s="5" t="s">
        <v>2487</v>
      </c>
      <c r="F828" s="6" t="str">
        <f>IFERROR(__xludf.DUMMYFUNCTION("GOOGLETRANSLATE(D828,""en"",""it"")"),"Mi piace Merlot, tranne il vino.")</f>
        <v>Mi piace Merlot, tranne il vino.</v>
      </c>
      <c r="G828" s="6" t="str">
        <f>IFERROR(__xludf.DUMMYFUNCTION("GOOGLETRANSLATE(E828,""fr"",""it"")"),"Apprezzo Merlot, tranne il vino.")</f>
        <v>Apprezzo Merlot, tranne il vino.</v>
      </c>
    </row>
    <row r="829">
      <c r="A829" s="4">
        <v>827.0</v>
      </c>
      <c r="B829" s="5" t="s">
        <v>2488</v>
      </c>
      <c r="C829" s="4">
        <v>1.0</v>
      </c>
      <c r="D829" s="5" t="s">
        <v>2489</v>
      </c>
      <c r="E829" s="5" t="s">
        <v>2490</v>
      </c>
      <c r="F829" s="6" t="str">
        <f>IFERROR(__xludf.DUMMYFUNCTION("GOOGLETRANSLATE(D829,""en"",""it"")"),"Mi piace il vino, tranne il Merlot.")</f>
        <v>Mi piace il vino, tranne il Merlot.</v>
      </c>
      <c r="G829" s="6" t="str">
        <f>IFERROR(__xludf.DUMMYFUNCTION("GOOGLETRANSLATE(E829,""fr"",""it"")"),"Apprezzo il vino tranne il Merlot.")</f>
        <v>Apprezzo il vino tranne il Merlot.</v>
      </c>
    </row>
    <row r="830">
      <c r="A830" s="4">
        <v>828.0</v>
      </c>
      <c r="B830" s="5" t="s">
        <v>2491</v>
      </c>
      <c r="C830" s="4">
        <v>0.0</v>
      </c>
      <c r="D830" s="5" t="s">
        <v>2492</v>
      </c>
      <c r="E830" s="5" t="s">
        <v>2493</v>
      </c>
      <c r="F830" s="6" t="str">
        <f>IFERROR(__xludf.DUMMYFUNCTION("GOOGLETRANSLATE(D830,""en"",""it"")"),"Mi piace il vino, tranne Coca-Cola.")</f>
        <v>Mi piace il vino, tranne Coca-Cola.</v>
      </c>
      <c r="G830" s="6" t="str">
        <f>IFERROR(__xludf.DUMMYFUNCTION("GOOGLETRANSLATE(E830,""fr"",""it"")"),"Apprezzo il vino tranne la coca cola.")</f>
        <v>Apprezzo il vino tranne la coca cola.</v>
      </c>
    </row>
    <row r="831">
      <c r="A831" s="4">
        <v>829.0</v>
      </c>
      <c r="B831" s="5" t="s">
        <v>2494</v>
      </c>
      <c r="C831" s="4">
        <v>0.0</v>
      </c>
      <c r="D831" s="5" t="s">
        <v>2495</v>
      </c>
      <c r="E831" s="5" t="s">
        <v>2496</v>
      </c>
      <c r="F831" s="6" t="str">
        <f>IFERROR(__xludf.DUMMYFUNCTION("GOOGLETRANSLATE(D831,""en"",""it"")"),"Mi piace Merlot, tranne l'acqua.")</f>
        <v>Mi piace Merlot, tranne l'acqua.</v>
      </c>
      <c r="G831" s="6" t="str">
        <f>IFERROR(__xludf.DUMMYFUNCTION("GOOGLETRANSLATE(E831,""fr"",""it"")"),"Apprezzo il Merlot, tranne l'acqua.")</f>
        <v>Apprezzo il Merlot, tranne l'acqua.</v>
      </c>
    </row>
    <row r="832">
      <c r="A832" s="4">
        <v>830.0</v>
      </c>
      <c r="B832" s="5" t="s">
        <v>2497</v>
      </c>
      <c r="C832" s="4">
        <v>0.0</v>
      </c>
      <c r="D832" s="5" t="s">
        <v>2498</v>
      </c>
      <c r="E832" s="5" t="s">
        <v>2499</v>
      </c>
      <c r="F832" s="6" t="str">
        <f>IFERROR(__xludf.DUMMYFUNCTION("GOOGLETRANSLATE(D832,""en"",""it"")"),"Mi piace l'acqua, tranne il Merlot.")</f>
        <v>Mi piace l'acqua, tranne il Merlot.</v>
      </c>
      <c r="G832" s="6" t="str">
        <f>IFERROR(__xludf.DUMMYFUNCTION("GOOGLETRANSLATE(E832,""fr"",""it"")"),"Apprezzo l'acqua tranne il Merlot.")</f>
        <v>Apprezzo l'acqua tranne il Merlot.</v>
      </c>
    </row>
    <row r="833">
      <c r="A833" s="4">
        <v>831.0</v>
      </c>
      <c r="B833" s="5" t="s">
        <v>2500</v>
      </c>
      <c r="C833" s="4">
        <v>0.0</v>
      </c>
      <c r="D833" s="5" t="s">
        <v>2501</v>
      </c>
      <c r="E833" s="5" t="s">
        <v>2502</v>
      </c>
      <c r="F833" s="6" t="str">
        <f>IFERROR(__xludf.DUMMYFUNCTION("GOOGLETRANSLATE(D833,""en"",""it"")"),"Mi piacciono i pappagalli, tranne i cani.")</f>
        <v>Mi piacciono i pappagalli, tranne i cani.</v>
      </c>
      <c r="G833" s="6" t="str">
        <f>IFERROR(__xludf.DUMMYFUNCTION("GOOGLETRANSLATE(E833,""fr"",""it"")"),"Mi piacciono i perrouches, tranne i cani.")</f>
        <v>Mi piacciono i perrouches, tranne i cani.</v>
      </c>
    </row>
    <row r="834">
      <c r="A834" s="4">
        <v>832.0</v>
      </c>
      <c r="B834" s="5" t="s">
        <v>2503</v>
      </c>
      <c r="C834" s="4">
        <v>0.0</v>
      </c>
      <c r="D834" s="5" t="s">
        <v>2504</v>
      </c>
      <c r="E834" s="5" t="s">
        <v>2505</v>
      </c>
      <c r="F834" s="6" t="str">
        <f>IFERROR(__xludf.DUMMYFUNCTION("GOOGLETRANSLATE(D834,""en"",""it"")"),"Mi piace il vino, tranne l'acqua.")</f>
        <v>Mi piace il vino, tranne l'acqua.</v>
      </c>
      <c r="G834" s="6" t="str">
        <f>IFERROR(__xludf.DUMMYFUNCTION("GOOGLETRANSLATE(E834,""fr"",""it"")"),"Apprezzo il vino tranne l'acqua.")</f>
        <v>Apprezzo il vino tranne l'acqua.</v>
      </c>
    </row>
    <row r="835">
      <c r="A835" s="4">
        <v>833.0</v>
      </c>
      <c r="B835" s="5" t="s">
        <v>2506</v>
      </c>
      <c r="C835" s="4">
        <v>0.0</v>
      </c>
      <c r="D835" s="5" t="s">
        <v>2507</v>
      </c>
      <c r="E835" s="5" t="s">
        <v>2508</v>
      </c>
      <c r="F835" s="6" t="str">
        <f>IFERROR(__xludf.DUMMYFUNCTION("GOOGLETRANSLATE(D835,""en"",""it"")"),"Mi piace Merlot, tranne Sprite.")</f>
        <v>Mi piace Merlot, tranne Sprite.</v>
      </c>
      <c r="G835" s="6" t="str">
        <f>IFERROR(__xludf.DUMMYFUNCTION("GOOGLETRANSLATE(E835,""fr"",""it"")"),"Apprezzo Merlot, tranne Sprite.")</f>
        <v>Apprezzo Merlot, tranne Sprite.</v>
      </c>
    </row>
    <row r="836">
      <c r="A836" s="4">
        <v>834.0</v>
      </c>
      <c r="B836" s="5" t="s">
        <v>2509</v>
      </c>
      <c r="C836" s="4">
        <v>0.0</v>
      </c>
      <c r="D836" s="5" t="s">
        <v>2510</v>
      </c>
      <c r="E836" s="5" t="s">
        <v>2511</v>
      </c>
      <c r="F836" s="6" t="str">
        <f>IFERROR(__xludf.DUMMYFUNCTION("GOOGLETRANSLATE(D836,""en"",""it"")"),"Mi piace Sprite, tranne il Merlot.")</f>
        <v>Mi piace Sprite, tranne il Merlot.</v>
      </c>
      <c r="G836" s="6" t="str">
        <f>IFERROR(__xludf.DUMMYFUNCTION("GOOGLETRANSLATE(E836,""fr"",""it"")"),"Apprezzo lo sprite, ad eccezione del Merlot.")</f>
        <v>Apprezzo lo sprite, ad eccezione del Merlot.</v>
      </c>
    </row>
    <row r="837">
      <c r="A837" s="4">
        <v>835.0</v>
      </c>
      <c r="B837" s="5" t="s">
        <v>2512</v>
      </c>
      <c r="C837" s="4">
        <v>0.0</v>
      </c>
      <c r="D837" s="5" t="s">
        <v>2513</v>
      </c>
      <c r="E837" s="5" t="s">
        <v>2514</v>
      </c>
      <c r="F837" s="6" t="str">
        <f>IFERROR(__xludf.DUMMYFUNCTION("GOOGLETRANSLATE(D837,""en"",""it"")"),"Mi piace il vino, eccetto Sprite.")</f>
        <v>Mi piace il vino, eccetto Sprite.</v>
      </c>
      <c r="G837" s="6" t="str">
        <f>IFERROR(__xludf.DUMMYFUNCTION("GOOGLETRANSLATE(E837,""fr"",""it"")"),"Apprezzo il vino tranne lo sprite.")</f>
        <v>Apprezzo il vino tranne lo sprite.</v>
      </c>
    </row>
    <row r="838">
      <c r="A838" s="4">
        <v>836.0</v>
      </c>
      <c r="B838" s="5" t="s">
        <v>2515</v>
      </c>
      <c r="C838" s="4">
        <v>0.0</v>
      </c>
      <c r="D838" s="5" t="s">
        <v>2516</v>
      </c>
      <c r="E838" s="5" t="s">
        <v>2517</v>
      </c>
      <c r="F838" s="6" t="str">
        <f>IFERROR(__xludf.DUMMYFUNCTION("GOOGLETRANSLATE(D838,""en"",""it"")"),"Mi piace Merlot, tranne la birra.")</f>
        <v>Mi piace Merlot, tranne la birra.</v>
      </c>
      <c r="G838" s="6" t="str">
        <f>IFERROR(__xludf.DUMMYFUNCTION("GOOGLETRANSLATE(E838,""fr"",""it"")"),"Apprezzo Merlot, tranne la birra.")</f>
        <v>Apprezzo Merlot, tranne la birra.</v>
      </c>
    </row>
    <row r="839">
      <c r="A839" s="4">
        <v>837.0</v>
      </c>
      <c r="B839" s="5" t="s">
        <v>2518</v>
      </c>
      <c r="C839" s="4">
        <v>0.0</v>
      </c>
      <c r="D839" s="5" t="s">
        <v>2519</v>
      </c>
      <c r="E839" s="5" t="s">
        <v>2520</v>
      </c>
      <c r="F839" s="6" t="str">
        <f>IFERROR(__xludf.DUMMYFUNCTION("GOOGLETRANSLATE(D839,""en"",""it"")"),"Mi piace la birra, tranne il merlot.")</f>
        <v>Mi piace la birra, tranne il merlot.</v>
      </c>
      <c r="G839" s="6" t="str">
        <f>IFERROR(__xludf.DUMMYFUNCTION("GOOGLETRANSLATE(E839,""fr"",""it"")"),"Apprezzo la birra tranne il merlot.")</f>
        <v>Apprezzo la birra tranne il merlot.</v>
      </c>
    </row>
    <row r="840">
      <c r="A840" s="4">
        <v>838.0</v>
      </c>
      <c r="B840" s="5" t="s">
        <v>2521</v>
      </c>
      <c r="C840" s="4">
        <v>0.0</v>
      </c>
      <c r="D840" s="5" t="s">
        <v>2522</v>
      </c>
      <c r="E840" s="5" t="s">
        <v>2523</v>
      </c>
      <c r="F840" s="6" t="str">
        <f>IFERROR(__xludf.DUMMYFUNCTION("GOOGLETRANSLATE(D840,""en"",""it"")"),"Mi piace il vino, tranne la birra.")</f>
        <v>Mi piace il vino, tranne la birra.</v>
      </c>
      <c r="G840" s="6" t="str">
        <f>IFERROR(__xludf.DUMMYFUNCTION("GOOGLETRANSLATE(E840,""fr"",""it"")"),"Apprezzo il vino tranne la birra.")</f>
        <v>Apprezzo il vino tranne la birra.</v>
      </c>
    </row>
    <row r="841">
      <c r="A841" s="4">
        <v>839.0</v>
      </c>
      <c r="B841" s="5" t="s">
        <v>2524</v>
      </c>
      <c r="C841" s="4">
        <v>0.0</v>
      </c>
      <c r="D841" s="5" t="s">
        <v>2525</v>
      </c>
      <c r="E841" s="5" t="s">
        <v>2526</v>
      </c>
      <c r="F841" s="6" t="str">
        <f>IFERROR(__xludf.DUMMYFUNCTION("GOOGLETRANSLATE(D841,""en"",""it"")"),"Mi piacciono i conigli, tranne i husky.")</f>
        <v>Mi piacciono i conigli, tranne i husky.</v>
      </c>
      <c r="G841" s="6" t="str">
        <f>IFERROR(__xludf.DUMMYFUNCTION("GOOGLETRANSLATE(E841,""fr"",""it"")"),"Amo i conigli, tranne i husky.")</f>
        <v>Amo i conigli, tranne i husky.</v>
      </c>
    </row>
    <row r="842">
      <c r="A842" s="4">
        <v>840.0</v>
      </c>
      <c r="B842" s="5" t="s">
        <v>2527</v>
      </c>
      <c r="C842" s="4">
        <v>0.0</v>
      </c>
      <c r="D842" s="5" t="s">
        <v>2528</v>
      </c>
      <c r="E842" s="5" t="s">
        <v>2529</v>
      </c>
      <c r="F842" s="6" t="str">
        <f>IFERROR(__xludf.DUMMYFUNCTION("GOOGLETRANSLATE(D842,""en"",""it"")"),"Mi piace Chardonnay, tranne Coca-Cola.")</f>
        <v>Mi piace Chardonnay, tranne Coca-Cola.</v>
      </c>
      <c r="G842" s="6" t="str">
        <f>IFERROR(__xludf.DUMMYFUNCTION("GOOGLETRANSLATE(E842,""fr"",""it"")"),"Apprezzo Chardonnay, tranne Coca Cola.")</f>
        <v>Apprezzo Chardonnay, tranne Coca Cola.</v>
      </c>
    </row>
    <row r="843">
      <c r="A843" s="4">
        <v>841.0</v>
      </c>
      <c r="B843" s="5" t="s">
        <v>2530</v>
      </c>
      <c r="C843" s="4">
        <v>0.0</v>
      </c>
      <c r="D843" s="5" t="s">
        <v>2531</v>
      </c>
      <c r="E843" s="5" t="s">
        <v>2532</v>
      </c>
      <c r="F843" s="6" t="str">
        <f>IFERROR(__xludf.DUMMYFUNCTION("GOOGLETRANSLATE(D843,""en"",""it"")"),"Mi piace Coca-Cola, tranne Chardonnay.")</f>
        <v>Mi piace Coca-Cola, tranne Chardonnay.</v>
      </c>
      <c r="G843" s="6" t="str">
        <f>IFERROR(__xludf.DUMMYFUNCTION("GOOGLETRANSLATE(E843,""fr"",""it"")"),"Apprezzo Coca Cola, tranne Chardonnay.")</f>
        <v>Apprezzo Coca Cola, tranne Chardonnay.</v>
      </c>
    </row>
    <row r="844">
      <c r="A844" s="4">
        <v>842.0</v>
      </c>
      <c r="B844" s="5" t="s">
        <v>2533</v>
      </c>
      <c r="C844" s="4">
        <v>0.0</v>
      </c>
      <c r="D844" s="5" t="s">
        <v>2534</v>
      </c>
      <c r="E844" s="5" t="s">
        <v>2535</v>
      </c>
      <c r="F844" s="6" t="str">
        <f>IFERROR(__xludf.DUMMYFUNCTION("GOOGLETRANSLATE(D844,""en"",""it"")"),"Mi piace Chardonnay, tranne il vino.")</f>
        <v>Mi piace Chardonnay, tranne il vino.</v>
      </c>
      <c r="G844" s="6" t="str">
        <f>IFERROR(__xludf.DUMMYFUNCTION("GOOGLETRANSLATE(E844,""fr"",""it"")"),"Apprezzo lo Chardonnay, tranne il vino.")</f>
        <v>Apprezzo lo Chardonnay, tranne il vino.</v>
      </c>
    </row>
    <row r="845">
      <c r="A845" s="4">
        <v>843.0</v>
      </c>
      <c r="B845" s="5" t="s">
        <v>2536</v>
      </c>
      <c r="C845" s="4">
        <v>1.0</v>
      </c>
      <c r="D845" s="5" t="s">
        <v>2537</v>
      </c>
      <c r="E845" s="5" t="s">
        <v>2538</v>
      </c>
      <c r="F845" s="6" t="str">
        <f>IFERROR(__xludf.DUMMYFUNCTION("GOOGLETRANSLATE(D845,""en"",""it"")"),"Mi piace il vino, tranne Chardonnay.")</f>
        <v>Mi piace il vino, tranne Chardonnay.</v>
      </c>
      <c r="G845" s="6" t="str">
        <f>IFERROR(__xludf.DUMMYFUNCTION("GOOGLETRANSLATE(E845,""fr"",""it"")"),"Apprezzo il vino tranne Chardonnay.")</f>
        <v>Apprezzo il vino tranne Chardonnay.</v>
      </c>
    </row>
    <row r="846">
      <c r="A846" s="4">
        <v>844.0</v>
      </c>
      <c r="B846" s="5" t="s">
        <v>2539</v>
      </c>
      <c r="C846" s="4">
        <v>0.0</v>
      </c>
      <c r="D846" s="5" t="s">
        <v>2540</v>
      </c>
      <c r="E846" s="5" t="s">
        <v>2541</v>
      </c>
      <c r="F846" s="6" t="str">
        <f>IFERROR(__xludf.DUMMYFUNCTION("GOOGLETRANSLATE(D846,""en"",""it"")"),"Mi piace Chardonnay, tranne l'acqua.")</f>
        <v>Mi piace Chardonnay, tranne l'acqua.</v>
      </c>
      <c r="G846" s="6" t="str">
        <f>IFERROR(__xludf.DUMMYFUNCTION("GOOGLETRANSLATE(E846,""fr"",""it"")"),"Apprezzo lo Chardonnay, tranne l'acqua.")</f>
        <v>Apprezzo lo Chardonnay, tranne l'acqua.</v>
      </c>
    </row>
    <row r="847">
      <c r="A847" s="4">
        <v>845.0</v>
      </c>
      <c r="B847" s="5" t="s">
        <v>2542</v>
      </c>
      <c r="C847" s="4">
        <v>0.0</v>
      </c>
      <c r="D847" s="5" t="s">
        <v>2543</v>
      </c>
      <c r="E847" s="5" t="s">
        <v>2544</v>
      </c>
      <c r="F847" s="6" t="str">
        <f>IFERROR(__xludf.DUMMYFUNCTION("GOOGLETRANSLATE(D847,""en"",""it"")"),"Mi piace l'acqua, tranne Chardonnay.")</f>
        <v>Mi piace l'acqua, tranne Chardonnay.</v>
      </c>
      <c r="G847" s="6" t="str">
        <f>IFERROR(__xludf.DUMMYFUNCTION("GOOGLETRANSLATE(E847,""fr"",""it"")"),"Apprezzo l'acqua tranne Chardonnay.")</f>
        <v>Apprezzo l'acqua tranne Chardonnay.</v>
      </c>
    </row>
    <row r="848">
      <c r="A848" s="4">
        <v>846.0</v>
      </c>
      <c r="B848" s="5" t="s">
        <v>2545</v>
      </c>
      <c r="C848" s="4">
        <v>0.0</v>
      </c>
      <c r="D848" s="5" t="s">
        <v>2546</v>
      </c>
      <c r="E848" s="5" t="s">
        <v>2547</v>
      </c>
      <c r="F848" s="6" t="str">
        <f>IFERROR(__xludf.DUMMYFUNCTION("GOOGLETRANSLATE(D848,""en"",""it"")"),"Mi piacciono gli uccelli, tranne i cani.")</f>
        <v>Mi piacciono gli uccelli, tranne i cani.</v>
      </c>
      <c r="G848" s="6" t="str">
        <f>IFERROR(__xludf.DUMMYFUNCTION("GOOGLETRANSLATE(E848,""fr"",""it"")"),"Mi piacciono gli uccelli, tranne i cani.")</f>
        <v>Mi piacciono gli uccelli, tranne i cani.</v>
      </c>
    </row>
    <row r="849">
      <c r="A849" s="4">
        <v>847.0</v>
      </c>
      <c r="B849" s="5" t="s">
        <v>2548</v>
      </c>
      <c r="C849" s="4">
        <v>0.0</v>
      </c>
      <c r="D849" s="5" t="s">
        <v>2549</v>
      </c>
      <c r="E849" s="5" t="s">
        <v>2550</v>
      </c>
      <c r="F849" s="6" t="str">
        <f>IFERROR(__xludf.DUMMYFUNCTION("GOOGLETRANSLATE(D849,""en"",""it"")"),"Mi piace Chardonnay, tranne lo sprite.")</f>
        <v>Mi piace Chardonnay, tranne lo sprite.</v>
      </c>
      <c r="G849" s="6" t="str">
        <f>IFERROR(__xludf.DUMMYFUNCTION("GOOGLETRANSLATE(E849,""fr"",""it"")"),"Apprezzo Chardonnay, tranne lo sprite.")</f>
        <v>Apprezzo Chardonnay, tranne lo sprite.</v>
      </c>
    </row>
    <row r="850">
      <c r="A850" s="4">
        <v>848.0</v>
      </c>
      <c r="B850" s="5" t="s">
        <v>2551</v>
      </c>
      <c r="C850" s="4">
        <v>0.0</v>
      </c>
      <c r="D850" s="5" t="s">
        <v>2552</v>
      </c>
      <c r="E850" s="5" t="s">
        <v>2553</v>
      </c>
      <c r="F850" s="6" t="str">
        <f>IFERROR(__xludf.DUMMYFUNCTION("GOOGLETRANSLATE(D850,""en"",""it"")"),"Mi piace Sprite, tranne Chardonnay.")</f>
        <v>Mi piace Sprite, tranne Chardonnay.</v>
      </c>
      <c r="G850" s="6" t="str">
        <f>IFERROR(__xludf.DUMMYFUNCTION("GOOGLETRANSLATE(E850,""fr"",""it"")"),"Apprezzo lo sprite, tranne Chardonnay.")</f>
        <v>Apprezzo lo sprite, tranne Chardonnay.</v>
      </c>
    </row>
    <row r="851">
      <c r="A851" s="4">
        <v>849.0</v>
      </c>
      <c r="B851" s="5" t="s">
        <v>2554</v>
      </c>
      <c r="C851" s="4">
        <v>0.0</v>
      </c>
      <c r="D851" s="5" t="s">
        <v>2555</v>
      </c>
      <c r="E851" s="5" t="s">
        <v>2556</v>
      </c>
      <c r="F851" s="6" t="str">
        <f>IFERROR(__xludf.DUMMYFUNCTION("GOOGLETRANSLATE(D851,""en"",""it"")"),"Mi piace Chardonnay, tranne la birra.")</f>
        <v>Mi piace Chardonnay, tranne la birra.</v>
      </c>
      <c r="G851" s="6" t="str">
        <f>IFERROR(__xludf.DUMMYFUNCTION("GOOGLETRANSLATE(E851,""fr"",""it"")"),"Apprezzo Chardonnay, tranne la birra.")</f>
        <v>Apprezzo Chardonnay, tranne la birra.</v>
      </c>
    </row>
    <row r="852">
      <c r="A852" s="4">
        <v>850.0</v>
      </c>
      <c r="B852" s="5" t="s">
        <v>2557</v>
      </c>
      <c r="C852" s="4">
        <v>0.0</v>
      </c>
      <c r="D852" s="5" t="s">
        <v>2558</v>
      </c>
      <c r="E852" s="5" t="s">
        <v>2559</v>
      </c>
      <c r="F852" s="6" t="str">
        <f>IFERROR(__xludf.DUMMYFUNCTION("GOOGLETRANSLATE(D852,""en"",""it"")"),"Mi piace la birra, tranne Chardonnay.")</f>
        <v>Mi piace la birra, tranne Chardonnay.</v>
      </c>
      <c r="G852" s="6" t="str">
        <f>IFERROR(__xludf.DUMMYFUNCTION("GOOGLETRANSLATE(E852,""fr"",""it"")"),"Apprezzo la birra tranne Chardonnay.")</f>
        <v>Apprezzo la birra tranne Chardonnay.</v>
      </c>
    </row>
    <row r="853">
      <c r="A853" s="4">
        <v>851.0</v>
      </c>
      <c r="B853" s="5" t="s">
        <v>2560</v>
      </c>
      <c r="C853" s="4">
        <v>0.0</v>
      </c>
      <c r="D853" s="5" t="s">
        <v>2561</v>
      </c>
      <c r="E853" s="5" t="s">
        <v>2562</v>
      </c>
      <c r="F853" s="6" t="str">
        <f>IFERROR(__xludf.DUMMYFUNCTION("GOOGLETRANSLATE(D853,""en"",""it"")"),"Mi piace il Chianti, tranne Coca-Cola.")</f>
        <v>Mi piace il Chianti, tranne Coca-Cola.</v>
      </c>
      <c r="G853" s="6" t="str">
        <f>IFERROR(__xludf.DUMMYFUNCTION("GOOGLETRANSLATE(E853,""fr"",""it"")"),"Apprezzo il Chianti tranne la coca cola.")</f>
        <v>Apprezzo il Chianti tranne la coca cola.</v>
      </c>
    </row>
    <row r="854">
      <c r="A854" s="4">
        <v>852.0</v>
      </c>
      <c r="B854" s="5" t="s">
        <v>2563</v>
      </c>
      <c r="C854" s="4">
        <v>0.0</v>
      </c>
      <c r="D854" s="5" t="s">
        <v>2564</v>
      </c>
      <c r="E854" s="5" t="s">
        <v>2565</v>
      </c>
      <c r="F854" s="6" t="str">
        <f>IFERROR(__xludf.DUMMYFUNCTION("GOOGLETRANSLATE(D854,""en"",""it"")"),"Mi piace Coca-Cola, tranne il Chianti.")</f>
        <v>Mi piace Coca-Cola, tranne il Chianti.</v>
      </c>
      <c r="G854" s="6" t="str">
        <f>IFERROR(__xludf.DUMMYFUNCTION("GOOGLETRANSLATE(E854,""fr"",""it"")"),"Apprezzo Coca Cola, tranne il Chianti.")</f>
        <v>Apprezzo Coca Cola, tranne il Chianti.</v>
      </c>
    </row>
    <row r="855">
      <c r="A855" s="4">
        <v>853.0</v>
      </c>
      <c r="B855" s="5" t="s">
        <v>2566</v>
      </c>
      <c r="C855" s="4">
        <v>0.0</v>
      </c>
      <c r="D855" s="5" t="s">
        <v>2567</v>
      </c>
      <c r="E855" s="5" t="s">
        <v>2568</v>
      </c>
      <c r="F855" s="6" t="str">
        <f>IFERROR(__xludf.DUMMYFUNCTION("GOOGLETRANSLATE(D855,""en"",""it"")"),"Mi piace il Chianti, tranne il vino.")</f>
        <v>Mi piace il Chianti, tranne il vino.</v>
      </c>
      <c r="G855" s="6" t="str">
        <f>IFERROR(__xludf.DUMMYFUNCTION("GOOGLETRANSLATE(E855,""fr"",""it"")"),"Apprezzo il Chianti, tranne il vino.")</f>
        <v>Apprezzo il Chianti, tranne il vino.</v>
      </c>
    </row>
    <row r="856">
      <c r="A856" s="4">
        <v>854.0</v>
      </c>
      <c r="B856" s="5" t="s">
        <v>2569</v>
      </c>
      <c r="C856" s="4">
        <v>1.0</v>
      </c>
      <c r="D856" s="5" t="s">
        <v>2570</v>
      </c>
      <c r="E856" s="5" t="s">
        <v>2571</v>
      </c>
      <c r="F856" s="6" t="str">
        <f>IFERROR(__xludf.DUMMYFUNCTION("GOOGLETRANSLATE(D856,""en"",""it"")"),"Mi piace il vino, tranne il Chianti.")</f>
        <v>Mi piace il vino, tranne il Chianti.</v>
      </c>
      <c r="G856" s="6" t="str">
        <f>IFERROR(__xludf.DUMMYFUNCTION("GOOGLETRANSLATE(E856,""fr"",""it"")"),"Apprezzo il vino tranne il Chianti.")</f>
        <v>Apprezzo il vino tranne il Chianti.</v>
      </c>
    </row>
    <row r="857">
      <c r="A857" s="4">
        <v>855.0</v>
      </c>
      <c r="B857" s="5" t="s">
        <v>2572</v>
      </c>
      <c r="C857" s="4">
        <v>0.0</v>
      </c>
      <c r="D857" s="5" t="s">
        <v>2573</v>
      </c>
      <c r="E857" s="5" t="s">
        <v>2574</v>
      </c>
      <c r="F857" s="6" t="str">
        <f>IFERROR(__xludf.DUMMYFUNCTION("GOOGLETRANSLATE(D857,""en"",""it"")"),"Mi piace il Chianti, tranne l'acqua.")</f>
        <v>Mi piace il Chianti, tranne l'acqua.</v>
      </c>
      <c r="G857" s="6" t="str">
        <f>IFERROR(__xludf.DUMMYFUNCTION("GOOGLETRANSLATE(E857,""fr"",""it"")"),"Apprezzo il Chianti, tranne l'acqua.")</f>
        <v>Apprezzo il Chianti, tranne l'acqua.</v>
      </c>
    </row>
    <row r="858">
      <c r="A858" s="4">
        <v>856.0</v>
      </c>
      <c r="B858" s="5" t="s">
        <v>2575</v>
      </c>
      <c r="C858" s="4">
        <v>0.0</v>
      </c>
      <c r="D858" s="5" t="s">
        <v>2576</v>
      </c>
      <c r="E858" s="5" t="s">
        <v>2577</v>
      </c>
      <c r="F858" s="6" t="str">
        <f>IFERROR(__xludf.DUMMYFUNCTION("GOOGLETRANSLATE(D858,""en"",""it"")"),"Mi piace l'acqua, tranne il Chianti.")</f>
        <v>Mi piace l'acqua, tranne il Chianti.</v>
      </c>
      <c r="G858" s="6" t="str">
        <f>IFERROR(__xludf.DUMMYFUNCTION("GOOGLETRANSLATE(E858,""fr"",""it"")"),"Apprezzo l'acqua tranne il Chianti.")</f>
        <v>Apprezzo l'acqua tranne il Chianti.</v>
      </c>
    </row>
    <row r="859">
      <c r="A859" s="4">
        <v>857.0</v>
      </c>
      <c r="B859" s="5" t="s">
        <v>2578</v>
      </c>
      <c r="C859" s="4">
        <v>0.0</v>
      </c>
      <c r="D859" s="5" t="s">
        <v>2579</v>
      </c>
      <c r="E859" s="5" t="s">
        <v>2580</v>
      </c>
      <c r="F859" s="6" t="str">
        <f>IFERROR(__xludf.DUMMYFUNCTION("GOOGLETRANSLATE(D859,""en"",""it"")"),"Mi piace il Chianti, eccetto Sprite.")</f>
        <v>Mi piace il Chianti, eccetto Sprite.</v>
      </c>
      <c r="G859" s="6" t="str">
        <f>IFERROR(__xludf.DUMMYFUNCTION("GOOGLETRANSLATE(E859,""fr"",""it"")"),"Apprezzo il Chianti eccetto Sprite.")</f>
        <v>Apprezzo il Chianti eccetto Sprite.</v>
      </c>
    </row>
    <row r="860">
      <c r="A860" s="4">
        <v>858.0</v>
      </c>
      <c r="B860" s="5" t="s">
        <v>2581</v>
      </c>
      <c r="C860" s="4">
        <v>0.0</v>
      </c>
      <c r="D860" s="5" t="s">
        <v>2582</v>
      </c>
      <c r="E860" s="5" t="s">
        <v>2583</v>
      </c>
      <c r="F860" s="6" t="str">
        <f>IFERROR(__xludf.DUMMYFUNCTION("GOOGLETRANSLATE(D860,""en"",""it"")"),"Mi piace Sprite, tranne il Chianti.")</f>
        <v>Mi piace Sprite, tranne il Chianti.</v>
      </c>
      <c r="G860" s="6" t="str">
        <f>IFERROR(__xludf.DUMMYFUNCTION("GOOGLETRANSLATE(E860,""fr"",""it"")"),"Apprezzo lo sprite, tranne il Chianti.")</f>
        <v>Apprezzo lo sprite, tranne il Chianti.</v>
      </c>
    </row>
    <row r="861">
      <c r="A861" s="4">
        <v>859.0</v>
      </c>
      <c r="B861" s="5" t="s">
        <v>2584</v>
      </c>
      <c r="C861" s="4">
        <v>0.0</v>
      </c>
      <c r="D861" s="5" t="s">
        <v>2585</v>
      </c>
      <c r="E861" s="5" t="s">
        <v>2586</v>
      </c>
      <c r="F861" s="6" t="str">
        <f>IFERROR(__xludf.DUMMYFUNCTION("GOOGLETRANSLATE(D861,""en"",""it"")"),"Mi piace il Chianti, tranne la birra.")</f>
        <v>Mi piace il Chianti, tranne la birra.</v>
      </c>
      <c r="G861" s="6" t="str">
        <f>IFERROR(__xludf.DUMMYFUNCTION("GOOGLETRANSLATE(E861,""fr"",""it"")"),"Apprezzo il Chianti tranne la birra.")</f>
        <v>Apprezzo il Chianti tranne la birra.</v>
      </c>
    </row>
    <row r="862">
      <c r="A862" s="4">
        <v>860.0</v>
      </c>
      <c r="B862" s="5" t="s">
        <v>2587</v>
      </c>
      <c r="C862" s="4">
        <v>0.0</v>
      </c>
      <c r="D862" s="5" t="s">
        <v>2588</v>
      </c>
      <c r="E862" s="5" t="s">
        <v>2589</v>
      </c>
      <c r="F862" s="6" t="str">
        <f>IFERROR(__xludf.DUMMYFUNCTION("GOOGLETRANSLATE(D862,""en"",""it"")"),"Mi piace la birra, tranne il Chianti.")</f>
        <v>Mi piace la birra, tranne il Chianti.</v>
      </c>
      <c r="G862" s="6" t="str">
        <f>IFERROR(__xludf.DUMMYFUNCTION("GOOGLETRANSLATE(E862,""fr"",""it"")"),"Apprezzo la birra tranne il Chianti.")</f>
        <v>Apprezzo la birra tranne il Chianti.</v>
      </c>
    </row>
    <row r="863">
      <c r="A863" s="4">
        <v>861.0</v>
      </c>
      <c r="B863" s="5" t="s">
        <v>2590</v>
      </c>
      <c r="C863" s="4">
        <v>0.0</v>
      </c>
      <c r="D863" s="5" t="s">
        <v>2591</v>
      </c>
      <c r="E863" s="5" t="s">
        <v>2592</v>
      </c>
      <c r="F863" s="6" t="str">
        <f>IFERROR(__xludf.DUMMYFUNCTION("GOOGLETRANSLATE(D863,""en"",""it"")"),"Mi piace Zinfandel, tranne Coca-Cola.")</f>
        <v>Mi piace Zinfandel, tranne Coca-Cola.</v>
      </c>
      <c r="G863" s="6" t="str">
        <f>IFERROR(__xludf.DUMMYFUNCTION("GOOGLETRANSLATE(E863,""fr"",""it"")"),"Apprezzo Cabernet Sauvignon, tranne Coca Cola.")</f>
        <v>Apprezzo Cabernet Sauvignon, tranne Coca Cola.</v>
      </c>
    </row>
    <row r="864">
      <c r="A864" s="4">
        <v>862.0</v>
      </c>
      <c r="B864" s="5" t="s">
        <v>2593</v>
      </c>
      <c r="C864" s="4">
        <v>0.0</v>
      </c>
      <c r="D864" s="5" t="s">
        <v>2594</v>
      </c>
      <c r="E864" s="5" t="s">
        <v>2595</v>
      </c>
      <c r="F864" s="6" t="str">
        <f>IFERROR(__xludf.DUMMYFUNCTION("GOOGLETRANSLATE(D864,""en"",""it"")"),"Mi piace Coca-Cola, tranne Zinfandel.")</f>
        <v>Mi piace Coca-Cola, tranne Zinfandel.</v>
      </c>
      <c r="G864" s="6" t="str">
        <f>IFERROR(__xludf.DUMMYFUNCTION("GOOGLETRANSLATE(E864,""fr"",""it"")"),"Apprezzo Coca Cola, tranne Cabernet Sauvignon.")</f>
        <v>Apprezzo Coca Cola, tranne Cabernet Sauvignon.</v>
      </c>
    </row>
    <row r="865">
      <c r="A865" s="4">
        <v>863.0</v>
      </c>
      <c r="B865" s="5" t="s">
        <v>2596</v>
      </c>
      <c r="C865" s="4">
        <v>0.0</v>
      </c>
      <c r="D865" s="5" t="s">
        <v>2597</v>
      </c>
      <c r="E865" s="5" t="s">
        <v>2598</v>
      </c>
      <c r="F865" s="6" t="str">
        <f>IFERROR(__xludf.DUMMYFUNCTION("GOOGLETRANSLATE(D865,""en"",""it"")"),"Mi piace Zinfandel, tranne il vino.")</f>
        <v>Mi piace Zinfandel, tranne il vino.</v>
      </c>
      <c r="G865" s="6" t="str">
        <f>IFERROR(__xludf.DUMMYFUNCTION("GOOGLETRANSLATE(E865,""fr"",""it"")"),"Apprezzo Cabernet Sauvignon, tranne il vino.")</f>
        <v>Apprezzo Cabernet Sauvignon, tranne il vino.</v>
      </c>
    </row>
    <row r="866">
      <c r="A866" s="4">
        <v>864.0</v>
      </c>
      <c r="B866" s="5" t="s">
        <v>2599</v>
      </c>
      <c r="C866" s="4">
        <v>1.0</v>
      </c>
      <c r="D866" s="5" t="s">
        <v>2600</v>
      </c>
      <c r="E866" s="5" t="s">
        <v>2601</v>
      </c>
      <c r="F866" s="6" t="str">
        <f>IFERROR(__xludf.DUMMYFUNCTION("GOOGLETRANSLATE(D866,""en"",""it"")"),"Mi piace il vino, tranne Zinfandel.")</f>
        <v>Mi piace il vino, tranne Zinfandel.</v>
      </c>
      <c r="G866" s="6" t="str">
        <f>IFERROR(__xludf.DUMMYFUNCTION("GOOGLETRANSLATE(E866,""fr"",""it"")"),"Apprezzo il vino tranne Cabernet Sauvignon.")</f>
        <v>Apprezzo il vino tranne Cabernet Sauvignon.</v>
      </c>
    </row>
    <row r="867">
      <c r="A867" s="4">
        <v>865.0</v>
      </c>
      <c r="B867" s="5" t="s">
        <v>2602</v>
      </c>
      <c r="C867" s="4">
        <v>0.0</v>
      </c>
      <c r="D867" s="5" t="s">
        <v>2603</v>
      </c>
      <c r="E867" s="5" t="s">
        <v>2604</v>
      </c>
      <c r="F867" s="6" t="str">
        <f>IFERROR(__xludf.DUMMYFUNCTION("GOOGLETRANSLATE(D867,""en"",""it"")"),"Mi piace Zinfandel, tranne l'acqua.")</f>
        <v>Mi piace Zinfandel, tranne l'acqua.</v>
      </c>
      <c r="G867" s="6" t="str">
        <f>IFERROR(__xludf.DUMMYFUNCTION("GOOGLETRANSLATE(E867,""fr"",""it"")"),"Apprezzo Cabernet Sauvignon, tranne l'acqua.")</f>
        <v>Apprezzo Cabernet Sauvignon, tranne l'acqua.</v>
      </c>
    </row>
    <row r="868">
      <c r="A868" s="4">
        <v>866.0</v>
      </c>
      <c r="B868" s="5" t="s">
        <v>2605</v>
      </c>
      <c r="C868" s="4">
        <v>0.0</v>
      </c>
      <c r="D868" s="5" t="s">
        <v>2606</v>
      </c>
      <c r="E868" s="5" t="s">
        <v>2607</v>
      </c>
      <c r="F868" s="6" t="str">
        <f>IFERROR(__xludf.DUMMYFUNCTION("GOOGLETRANSLATE(D868,""en"",""it"")"),"Mi piace l'acqua, tranne Zinfandel.")</f>
        <v>Mi piace l'acqua, tranne Zinfandel.</v>
      </c>
      <c r="G868" s="6" t="str">
        <f>IFERROR(__xludf.DUMMYFUNCTION("GOOGLETRANSLATE(E868,""fr"",""it"")"),"Apprezzo l'acqua tranne Cabernet Sauvignon.")</f>
        <v>Apprezzo l'acqua tranne Cabernet Sauvignon.</v>
      </c>
    </row>
    <row r="869">
      <c r="A869" s="4">
        <v>867.0</v>
      </c>
      <c r="B869" s="5" t="s">
        <v>2608</v>
      </c>
      <c r="C869" s="4">
        <v>0.0</v>
      </c>
      <c r="D869" s="5" t="s">
        <v>2609</v>
      </c>
      <c r="E869" s="5" t="s">
        <v>2610</v>
      </c>
      <c r="F869" s="6" t="str">
        <f>IFERROR(__xludf.DUMMYFUNCTION("GOOGLETRANSLATE(D869,""en"",""it"")"),"Mi piace Zinfandel, eccetto Sprite.")</f>
        <v>Mi piace Zinfandel, eccetto Sprite.</v>
      </c>
      <c r="G869" s="6" t="str">
        <f>IFERROR(__xludf.DUMMYFUNCTION("GOOGLETRANSLATE(E869,""fr"",""it"")"),"Apprezzo Cabernet Sauvignon, eccetto Sprite.")</f>
        <v>Apprezzo Cabernet Sauvignon, eccetto Sprite.</v>
      </c>
    </row>
    <row r="870">
      <c r="A870" s="4">
        <v>868.0</v>
      </c>
      <c r="B870" s="5" t="s">
        <v>2611</v>
      </c>
      <c r="C870" s="4">
        <v>0.0</v>
      </c>
      <c r="D870" s="5" t="s">
        <v>2612</v>
      </c>
      <c r="E870" s="5" t="s">
        <v>2613</v>
      </c>
      <c r="F870" s="6" t="str">
        <f>IFERROR(__xludf.DUMMYFUNCTION("GOOGLETRANSLATE(D870,""en"",""it"")"),"Mi piace Sprite, tranne Zinfandel.")</f>
        <v>Mi piace Sprite, tranne Zinfandel.</v>
      </c>
      <c r="G870" s="6" t="str">
        <f>IFERROR(__xludf.DUMMYFUNCTION("GOOGLETRANSLATE(E870,""fr"",""it"")"),"Apprezzo lo sprite, tranne Cabernet Sauvignon.")</f>
        <v>Apprezzo lo sprite, tranne Cabernet Sauvignon.</v>
      </c>
    </row>
    <row r="871">
      <c r="A871" s="4">
        <v>869.0</v>
      </c>
      <c r="B871" s="5" t="s">
        <v>2614</v>
      </c>
      <c r="C871" s="4">
        <v>0.0</v>
      </c>
      <c r="D871" s="5" t="s">
        <v>2615</v>
      </c>
      <c r="E871" s="5" t="s">
        <v>2616</v>
      </c>
      <c r="F871" s="6" t="str">
        <f>IFERROR(__xludf.DUMMYFUNCTION("GOOGLETRANSLATE(D871,""en"",""it"")"),"Mi piace Zinfandel, tranne la birra.")</f>
        <v>Mi piace Zinfandel, tranne la birra.</v>
      </c>
      <c r="G871" s="6" t="str">
        <f>IFERROR(__xludf.DUMMYFUNCTION("GOOGLETRANSLATE(E871,""fr"",""it"")"),"Apprezzo Cabernet Sauvignon, tranne la birra.")</f>
        <v>Apprezzo Cabernet Sauvignon, tranne la birra.</v>
      </c>
    </row>
    <row r="872">
      <c r="A872" s="4">
        <v>870.0</v>
      </c>
      <c r="B872" s="5" t="s">
        <v>2617</v>
      </c>
      <c r="C872" s="4">
        <v>0.0</v>
      </c>
      <c r="D872" s="5" t="s">
        <v>2618</v>
      </c>
      <c r="E872" s="5" t="s">
        <v>2619</v>
      </c>
      <c r="F872" s="6" t="str">
        <f>IFERROR(__xludf.DUMMYFUNCTION("GOOGLETRANSLATE(D872,""en"",""it"")"),"Mi piace la birra, tranne Zinfandel.")</f>
        <v>Mi piace la birra, tranne Zinfandel.</v>
      </c>
      <c r="G872" s="6" t="str">
        <f>IFERROR(__xludf.DUMMYFUNCTION("GOOGLETRANSLATE(E872,""fr"",""it"")"),"Apprezzo la birra tranne Cabernet Sauvignon.")</f>
        <v>Apprezzo la birra tranne Cabernet Sauvignon.</v>
      </c>
    </row>
    <row r="873">
      <c r="A873" s="4">
        <v>871.0</v>
      </c>
      <c r="B873" s="5" t="s">
        <v>2620</v>
      </c>
      <c r="C873" s="4">
        <v>0.0</v>
      </c>
      <c r="D873" s="5" t="s">
        <v>2621</v>
      </c>
      <c r="E873" s="5" t="s">
        <v>2622</v>
      </c>
      <c r="F873" s="6" t="str">
        <f>IFERROR(__xludf.DUMMYFUNCTION("GOOGLETRANSLATE(D873,""en"",""it"")"),"Mi piacciono i husky, tranne i gatti.")</f>
        <v>Mi piacciono i husky, tranne i gatti.</v>
      </c>
      <c r="G873" s="6" t="str">
        <f>IFERROR(__xludf.DUMMYFUNCTION("GOOGLETRANSLATE(E873,""fr"",""it"")"),"Mi piacciono i husky, tranne i gatti.")</f>
        <v>Mi piacciono i husky, tranne i gatti.</v>
      </c>
    </row>
    <row r="874">
      <c r="A874" s="4">
        <v>872.0</v>
      </c>
      <c r="B874" s="5" t="s">
        <v>2623</v>
      </c>
      <c r="C874" s="4">
        <v>0.0</v>
      </c>
      <c r="D874" s="5" t="s">
        <v>2624</v>
      </c>
      <c r="E874" s="5" t="s">
        <v>2625</v>
      </c>
      <c r="F874" s="6" t="str">
        <f>IFERROR(__xludf.DUMMYFUNCTION("GOOGLETRANSLATE(D874,""en"",""it"")"),"Mi piacciono i husky, un tipo interessante di gatto.")</f>
        <v>Mi piacciono i husky, un tipo interessante di gatto.</v>
      </c>
      <c r="G874" s="6" t="str">
        <f>IFERROR(__xludf.DUMMYFUNCTION("GOOGLETRANSLATE(E874,""fr"",""it"")"),"Mi piacciono i husky, un tipo interessante di gatto.")</f>
        <v>Mi piacciono i husky, un tipo interessante di gatto.</v>
      </c>
    </row>
    <row r="875">
      <c r="A875" s="4">
        <v>873.0</v>
      </c>
      <c r="B875" s="5" t="s">
        <v>2626</v>
      </c>
      <c r="C875" s="4">
        <v>0.0</v>
      </c>
      <c r="D875" s="5" t="s">
        <v>2627</v>
      </c>
      <c r="E875" s="5" t="s">
        <v>2628</v>
      </c>
      <c r="F875" s="6" t="str">
        <f>IFERROR(__xludf.DUMMYFUNCTION("GOOGLETRANSLATE(D875,""en"",""it"")"),"Mi piacciono i gatti, un tipo interessante di husky.")</f>
        <v>Mi piacciono i gatti, un tipo interessante di husky.</v>
      </c>
      <c r="G875" s="6" t="str">
        <f>IFERROR(__xludf.DUMMYFUNCTION("GOOGLETRANSLATE(E875,""fr"",""it"")"),"Mi piacciono i gatti, un ragazzo interessante da Husky.")</f>
        <v>Mi piacciono i gatti, un ragazzo interessante da Husky.</v>
      </c>
    </row>
    <row r="876">
      <c r="A876" s="4">
        <v>874.0</v>
      </c>
      <c r="B876" s="5" t="s">
        <v>2629</v>
      </c>
      <c r="C876" s="4">
        <v>1.0</v>
      </c>
      <c r="D876" s="5" t="s">
        <v>2630</v>
      </c>
      <c r="E876" s="5" t="s">
        <v>2631</v>
      </c>
      <c r="F876" s="6" t="str">
        <f>IFERROR(__xludf.DUMMYFUNCTION("GOOGLETRANSLATE(D876,""en"",""it"")"),"Mi piacciono i husky, un tipo di cane interessante.")</f>
        <v>Mi piacciono i husky, un tipo di cane interessante.</v>
      </c>
      <c r="G876" s="6" t="str">
        <f>IFERROR(__xludf.DUMMYFUNCTION("GOOGLETRANSLATE(E876,""fr"",""it"")"),"Mi piacciono i husky, un tipo di cane interessante.")</f>
        <v>Mi piacciono i husky, un tipo di cane interessante.</v>
      </c>
    </row>
    <row r="877">
      <c r="A877" s="4">
        <v>875.0</v>
      </c>
      <c r="B877" s="5" t="s">
        <v>2632</v>
      </c>
      <c r="C877" s="4">
        <v>0.0</v>
      </c>
      <c r="D877" s="5" t="s">
        <v>2633</v>
      </c>
      <c r="E877" s="5" t="s">
        <v>2634</v>
      </c>
      <c r="F877" s="6" t="str">
        <f>IFERROR(__xludf.DUMMYFUNCTION("GOOGLETRANSLATE(D877,""en"",""it"")"),"Mi piacciono i cani, un tipo interessante di husky.")</f>
        <v>Mi piacciono i cani, un tipo interessante di husky.</v>
      </c>
      <c r="G877" s="6" t="str">
        <f>IFERROR(__xludf.DUMMYFUNCTION("GOOGLETRANSLATE(E877,""fr"",""it"")"),"Amo i cani, un ragazzo interessante da Husky.")</f>
        <v>Amo i cani, un ragazzo interessante da Husky.</v>
      </c>
    </row>
    <row r="878">
      <c r="A878" s="4">
        <v>876.0</v>
      </c>
      <c r="B878" s="5" t="s">
        <v>2635</v>
      </c>
      <c r="C878" s="4">
        <v>0.0</v>
      </c>
      <c r="D878" s="5" t="s">
        <v>2636</v>
      </c>
      <c r="E878" s="5" t="s">
        <v>2637</v>
      </c>
      <c r="F878" s="6" t="str">
        <f>IFERROR(__xludf.DUMMYFUNCTION("GOOGLETRANSLATE(D878,""en"",""it"")"),"Mi piacciono i cani, un tipo interessante di gatto.")</f>
        <v>Mi piacciono i cani, un tipo interessante di gatto.</v>
      </c>
      <c r="G878" s="6" t="str">
        <f>IFERROR(__xludf.DUMMYFUNCTION("GOOGLETRANSLATE(E878,""fr"",""it"")"),"Amo i cani, un tipo interessante di gatto.")</f>
        <v>Amo i cani, un tipo interessante di gatto.</v>
      </c>
    </row>
    <row r="879">
      <c r="A879" s="4">
        <v>877.0</v>
      </c>
      <c r="B879" s="5" t="s">
        <v>2638</v>
      </c>
      <c r="C879" s="4">
        <v>0.0</v>
      </c>
      <c r="D879" s="5" t="s">
        <v>2639</v>
      </c>
      <c r="E879" s="5" t="s">
        <v>2640</v>
      </c>
      <c r="F879" s="6" t="str">
        <f>IFERROR(__xludf.DUMMYFUNCTION("GOOGLETRANSLATE(D879,""en"",""it"")"),"Mi piacciono i husky, un tipo interessante di criceto.")</f>
        <v>Mi piacciono i husky, un tipo interessante di criceto.</v>
      </c>
      <c r="G879" s="6" t="str">
        <f>IFERROR(__xludf.DUMMYFUNCTION("GOOGLETRANSLATE(E879,""fr"",""it"")"),"Adoro i husky, un tipo di criceto interessante.")</f>
        <v>Adoro i husky, un tipo di criceto interessante.</v>
      </c>
    </row>
    <row r="880">
      <c r="A880" s="4">
        <v>878.0</v>
      </c>
      <c r="B880" s="5" t="s">
        <v>2641</v>
      </c>
      <c r="C880" s="4">
        <v>0.0</v>
      </c>
      <c r="D880" s="5" t="s">
        <v>2642</v>
      </c>
      <c r="E880" s="5" t="s">
        <v>2643</v>
      </c>
      <c r="F880" s="6" t="str">
        <f>IFERROR(__xludf.DUMMYFUNCTION("GOOGLETRANSLATE(D880,""en"",""it"")"),"Mi piacciono i criceti, un tipo interessante di husky.")</f>
        <v>Mi piacciono i criceti, un tipo interessante di husky.</v>
      </c>
      <c r="G880" s="6" t="str">
        <f>IFERROR(__xludf.DUMMYFUNCTION("GOOGLETRANSLATE(E880,""fr"",""it"")"),"Amo i criceti, un ragazzo interessante da Husky.")</f>
        <v>Amo i criceti, un ragazzo interessante da Husky.</v>
      </c>
    </row>
    <row r="881">
      <c r="A881" s="4">
        <v>879.0</v>
      </c>
      <c r="B881" s="5" t="s">
        <v>2644</v>
      </c>
      <c r="C881" s="4">
        <v>0.0</v>
      </c>
      <c r="D881" s="5" t="s">
        <v>2645</v>
      </c>
      <c r="E881" s="5" t="s">
        <v>2646</v>
      </c>
      <c r="F881" s="6" t="str">
        <f>IFERROR(__xludf.DUMMYFUNCTION("GOOGLETRANSLATE(D881,""en"",""it"")"),"Mi piacciono i cani, un tipo interessante di criceto.")</f>
        <v>Mi piacciono i cani, un tipo interessante di criceto.</v>
      </c>
      <c r="G881" s="6" t="str">
        <f>IFERROR(__xludf.DUMMYFUNCTION("GOOGLETRANSLATE(E881,""fr"",""it"")"),"Amo i cani, un ragazzo interessante dal criceto.")</f>
        <v>Amo i cani, un ragazzo interessante dal criceto.</v>
      </c>
    </row>
    <row r="882">
      <c r="A882" s="4">
        <v>880.0</v>
      </c>
      <c r="B882" s="5" t="s">
        <v>2647</v>
      </c>
      <c r="C882" s="4">
        <v>0.0</v>
      </c>
      <c r="D882" s="5" t="s">
        <v>2648</v>
      </c>
      <c r="E882" s="5" t="s">
        <v>2649</v>
      </c>
      <c r="F882" s="6" t="str">
        <f>IFERROR(__xludf.DUMMYFUNCTION("GOOGLETRANSLATE(D882,""en"",""it"")"),"Mi piacciono i husky, un tipo di pappagallo interessante.")</f>
        <v>Mi piacciono i husky, un tipo di pappagallo interessante.</v>
      </c>
      <c r="G882" s="6" t="str">
        <f>IFERROR(__xludf.DUMMYFUNCTION("GOOGLETRANSLATE(E882,""fr"",""it"")"),"Mi piacciono i husky, un tipo interessante di perrouquet.")</f>
        <v>Mi piacciono i husky, un tipo interessante di perrouquet.</v>
      </c>
    </row>
    <row r="883">
      <c r="A883" s="4">
        <v>881.0</v>
      </c>
      <c r="B883" s="5" t="s">
        <v>2650</v>
      </c>
      <c r="C883" s="4">
        <v>0.0</v>
      </c>
      <c r="D883" s="5" t="s">
        <v>2651</v>
      </c>
      <c r="E883" s="5" t="s">
        <v>2652</v>
      </c>
      <c r="F883" s="6" t="str">
        <f>IFERROR(__xludf.DUMMYFUNCTION("GOOGLETRANSLATE(D883,""en"",""it"")"),"Mi piacciono i pappagalli, un tipo interessante di husky.")</f>
        <v>Mi piacciono i pappagalli, un tipo interessante di husky.</v>
      </c>
      <c r="G883" s="6" t="str">
        <f>IFERROR(__xludf.DUMMYFUNCTION("GOOGLETRANSLATE(E883,""fr"",""it"")"),"Mi piacciono i perrouches, un tipo interessante di husky.")</f>
        <v>Mi piacciono i perrouches, un tipo interessante di husky.</v>
      </c>
    </row>
    <row r="884">
      <c r="A884" s="4">
        <v>882.0</v>
      </c>
      <c r="B884" s="5" t="s">
        <v>2653</v>
      </c>
      <c r="C884" s="4">
        <v>0.0</v>
      </c>
      <c r="D884" s="5" t="s">
        <v>2654</v>
      </c>
      <c r="E884" s="5" t="s">
        <v>2655</v>
      </c>
      <c r="F884" s="6" t="str">
        <f>IFERROR(__xludf.DUMMYFUNCTION("GOOGLETRANSLATE(D884,""en"",""it"")"),"Mi piacciono i cani, un tipo di pappagallo interessante.")</f>
        <v>Mi piacciono i cani, un tipo di pappagallo interessante.</v>
      </c>
      <c r="G884" s="6" t="str">
        <f>IFERROR(__xludf.DUMMYFUNCTION("GOOGLETRANSLATE(E884,""fr"",""it"")"),"Amo i cani, un tipo interessante di perrouquet.")</f>
        <v>Amo i cani, un tipo interessante di perrouquet.</v>
      </c>
    </row>
    <row r="885">
      <c r="A885" s="4">
        <v>883.0</v>
      </c>
      <c r="B885" s="5" t="s">
        <v>2656</v>
      </c>
      <c r="C885" s="4">
        <v>0.0</v>
      </c>
      <c r="D885" s="5" t="s">
        <v>2657</v>
      </c>
      <c r="E885" s="5" t="s">
        <v>2658</v>
      </c>
      <c r="F885" s="6" t="str">
        <f>IFERROR(__xludf.DUMMYFUNCTION("GOOGLETRANSLATE(D885,""en"",""it"")"),"Mi piacciono i huskies, un tipo interessante di coniglio.")</f>
        <v>Mi piacciono i huskies, un tipo interessante di coniglio.</v>
      </c>
      <c r="G885" s="6" t="str">
        <f>IFERROR(__xludf.DUMMYFUNCTION("GOOGLETRANSLATE(E885,""fr"",""it"")"),"Mi piacciono i huskies, un tipo interessante di coniglio.")</f>
        <v>Mi piacciono i huskies, un tipo interessante di coniglio.</v>
      </c>
    </row>
    <row r="886">
      <c r="A886" s="4">
        <v>884.0</v>
      </c>
      <c r="B886" s="5" t="s">
        <v>2659</v>
      </c>
      <c r="C886" s="4">
        <v>0.0</v>
      </c>
      <c r="D886" s="5" t="s">
        <v>2660</v>
      </c>
      <c r="E886" s="5" t="s">
        <v>2661</v>
      </c>
      <c r="F886" s="6" t="str">
        <f>IFERROR(__xludf.DUMMYFUNCTION("GOOGLETRANSLATE(D886,""en"",""it"")"),"Mi piacciono i conigli, un tipo interessante di husky.")</f>
        <v>Mi piacciono i conigli, un tipo interessante di husky.</v>
      </c>
      <c r="G886" s="6" t="str">
        <f>IFERROR(__xludf.DUMMYFUNCTION("GOOGLETRANSLATE(E886,""fr"",""it"")"),"Amo i conigli, un ragazzo interessante di Husky.")</f>
        <v>Amo i conigli, un ragazzo interessante di Husky.</v>
      </c>
    </row>
    <row r="887">
      <c r="A887" s="4">
        <v>885.0</v>
      </c>
      <c r="B887" s="5" t="s">
        <v>2662</v>
      </c>
      <c r="C887" s="4">
        <v>0.0</v>
      </c>
      <c r="D887" s="5" t="s">
        <v>2663</v>
      </c>
      <c r="E887" s="5" t="s">
        <v>2664</v>
      </c>
      <c r="F887" s="6" t="str">
        <f>IFERROR(__xludf.DUMMYFUNCTION("GOOGLETRANSLATE(D887,""en"",""it"")"),"Mi piacciono i cani, un tipo interessante di coniglio.")</f>
        <v>Mi piacciono i cani, un tipo interessante di coniglio.</v>
      </c>
      <c r="G887" s="6" t="str">
        <f>IFERROR(__xludf.DUMMYFUNCTION("GOOGLETRANSLATE(E887,""fr"",""it"")"),"Mi piacciono i cani, un tipo interessante di coniglio.")</f>
        <v>Mi piacciono i cani, un tipo interessante di coniglio.</v>
      </c>
    </row>
    <row r="888">
      <c r="A888" s="4">
        <v>886.0</v>
      </c>
      <c r="B888" s="5" t="s">
        <v>2665</v>
      </c>
      <c r="C888" s="4">
        <v>0.0</v>
      </c>
      <c r="D888" s="5" t="s">
        <v>2666</v>
      </c>
      <c r="E888" s="5" t="s">
        <v>2667</v>
      </c>
      <c r="F888" s="6" t="str">
        <f>IFERROR(__xludf.DUMMYFUNCTION("GOOGLETRANSLATE(D888,""en"",""it"")"),"Mi piacciono le anatre, tranne i gatti.")</f>
        <v>Mi piacciono le anatre, tranne i gatti.</v>
      </c>
      <c r="G888" s="6" t="str">
        <f>IFERROR(__xludf.DUMMYFUNCTION("GOOGLETRANSLATE(E888,""fr"",""it"")"),"Mi piacciono le anatre, tranne i gatti.")</f>
        <v>Mi piacciono le anatre, tranne i gatti.</v>
      </c>
    </row>
    <row r="889">
      <c r="A889" s="4">
        <v>887.0</v>
      </c>
      <c r="B889" s="5" t="s">
        <v>2668</v>
      </c>
      <c r="C889" s="4">
        <v>0.0</v>
      </c>
      <c r="D889" s="5" t="s">
        <v>2669</v>
      </c>
      <c r="E889" s="5" t="s">
        <v>2670</v>
      </c>
      <c r="F889" s="6" t="str">
        <f>IFERROR(__xludf.DUMMYFUNCTION("GOOGLETRANSLATE(D889,""en"",""it"")"),"Mi piacciono i bobtail, un tipo di gatto interessante.")</f>
        <v>Mi piacciono i bobtail, un tipo di gatto interessante.</v>
      </c>
      <c r="G889" s="6" t="str">
        <f>IFERROR(__xludf.DUMMYFUNCTION("GOOGLETRANSLATE(E889,""fr"",""it"")"),"Mi piacciono i bobtail, un tipo di gatto interessante.")</f>
        <v>Mi piacciono i bobtail, un tipo di gatto interessante.</v>
      </c>
    </row>
    <row r="890">
      <c r="A890" s="4">
        <v>888.0</v>
      </c>
      <c r="B890" s="5" t="s">
        <v>2671</v>
      </c>
      <c r="C890" s="4">
        <v>0.0</v>
      </c>
      <c r="D890" s="5" t="s">
        <v>2672</v>
      </c>
      <c r="E890" s="5" t="s">
        <v>2673</v>
      </c>
      <c r="F890" s="6" t="str">
        <f>IFERROR(__xludf.DUMMYFUNCTION("GOOGLETRANSLATE(D890,""en"",""it"")"),"Mi piacciono i gatti, un tipo interessante di bobtail.")</f>
        <v>Mi piacciono i gatti, un tipo interessante di bobtail.</v>
      </c>
      <c r="G890" s="6" t="str">
        <f>IFERROR(__xludf.DUMMYFUNCTION("GOOGLETRANSLATE(E890,""fr"",""it"")"),"Mi piacciono i gatti, un tipo interessante di bobtail.")</f>
        <v>Mi piacciono i gatti, un tipo interessante di bobtail.</v>
      </c>
    </row>
    <row r="891">
      <c r="A891" s="4">
        <v>889.0</v>
      </c>
      <c r="B891" s="5" t="s">
        <v>2674</v>
      </c>
      <c r="C891" s="4">
        <v>1.0</v>
      </c>
      <c r="D891" s="5" t="s">
        <v>2675</v>
      </c>
      <c r="E891" s="5" t="s">
        <v>2676</v>
      </c>
      <c r="F891" s="6" t="str">
        <f>IFERROR(__xludf.DUMMYFUNCTION("GOOGLETRANSLATE(D891,""en"",""it"")"),"Mi piacciono i bobtail, un tipo interessante di cane.")</f>
        <v>Mi piacciono i bobtail, un tipo interessante di cane.</v>
      </c>
      <c r="G891" s="6" t="str">
        <f>IFERROR(__xludf.DUMMYFUNCTION("GOOGLETRANSLATE(E891,""fr"",""it"")"),"Mi piacciono i bobtail, un tipo interessante di cane.")</f>
        <v>Mi piacciono i bobtail, un tipo interessante di cane.</v>
      </c>
    </row>
    <row r="892">
      <c r="A892" s="4">
        <v>890.0</v>
      </c>
      <c r="B892" s="5" t="s">
        <v>2677</v>
      </c>
      <c r="C892" s="4">
        <v>0.0</v>
      </c>
      <c r="D892" s="5" t="s">
        <v>2678</v>
      </c>
      <c r="E892" s="5" t="s">
        <v>2679</v>
      </c>
      <c r="F892" s="6" t="str">
        <f>IFERROR(__xludf.DUMMYFUNCTION("GOOGLETRANSLATE(D892,""en"",""it"")"),"Mi piacciono i cani, un tipo interessante di bobtail.")</f>
        <v>Mi piacciono i cani, un tipo interessante di bobtail.</v>
      </c>
      <c r="G892" s="6" t="str">
        <f>IFERROR(__xludf.DUMMYFUNCTION("GOOGLETRANSLATE(E892,""fr"",""it"")"),"Mi piacciono i cani, un ragazzo interessante di Bobtail.")</f>
        <v>Mi piacciono i cani, un ragazzo interessante di Bobtail.</v>
      </c>
    </row>
    <row r="893">
      <c r="A893" s="4">
        <v>891.0</v>
      </c>
      <c r="B893" s="5" t="s">
        <v>2680</v>
      </c>
      <c r="C893" s="4">
        <v>0.0</v>
      </c>
      <c r="D893" s="5" t="s">
        <v>2681</v>
      </c>
      <c r="E893" s="5" t="s">
        <v>2682</v>
      </c>
      <c r="F893" s="6" t="str">
        <f>IFERROR(__xludf.DUMMYFUNCTION("GOOGLETRANSLATE(D893,""en"",""it"")"),"Mi piacciono i bobtail, un tipo di criceto interessante.")</f>
        <v>Mi piacciono i bobtail, un tipo di criceto interessante.</v>
      </c>
      <c r="G893" s="6" t="str">
        <f>IFERROR(__xludf.DUMMYFUNCTION("GOOGLETRANSLATE(E893,""fr"",""it"")"),"Mi piacciono i bobtail, un ragazzo interessante dal criceto.")</f>
        <v>Mi piacciono i bobtail, un ragazzo interessante dal criceto.</v>
      </c>
    </row>
    <row r="894">
      <c r="A894" s="4">
        <v>892.0</v>
      </c>
      <c r="B894" s="5" t="s">
        <v>2683</v>
      </c>
      <c r="C894" s="4">
        <v>0.0</v>
      </c>
      <c r="D894" s="5" t="s">
        <v>2684</v>
      </c>
      <c r="E894" s="5" t="s">
        <v>2685</v>
      </c>
      <c r="F894" s="6" t="str">
        <f>IFERROR(__xludf.DUMMYFUNCTION("GOOGLETRANSLATE(D894,""en"",""it"")"),"Mi piacciono i criceti, un tipo interessante di bobtail.")</f>
        <v>Mi piacciono i criceti, un tipo interessante di bobtail.</v>
      </c>
      <c r="G894" s="6" t="str">
        <f>IFERROR(__xludf.DUMMYFUNCTION("GOOGLETRANSLATE(E894,""fr"",""it"")"),"Amo i criceti, un ragazzo interessante da Bobtail.")</f>
        <v>Amo i criceti, un ragazzo interessante da Bobtail.</v>
      </c>
    </row>
    <row r="895">
      <c r="A895" s="4">
        <v>893.0</v>
      </c>
      <c r="B895" s="5" t="s">
        <v>2686</v>
      </c>
      <c r="C895" s="4">
        <v>0.0</v>
      </c>
      <c r="D895" s="5" t="s">
        <v>2687</v>
      </c>
      <c r="E895" s="5" t="s">
        <v>2688</v>
      </c>
      <c r="F895" s="6" t="str">
        <f>IFERROR(__xludf.DUMMYFUNCTION("GOOGLETRANSLATE(D895,""en"",""it"")"),"Mi piacciono i bobtail, un tipo di pappagallo interessante.")</f>
        <v>Mi piacciono i bobtail, un tipo di pappagallo interessante.</v>
      </c>
      <c r="G895" s="6" t="str">
        <f>IFERROR(__xludf.DUMMYFUNCTION("GOOGLETRANSLATE(E895,""fr"",""it"")"),"Mi piacciono i bobtail, un tipo interessante di perrouquet.")</f>
        <v>Mi piacciono i bobtail, un tipo interessante di perrouquet.</v>
      </c>
    </row>
    <row r="896">
      <c r="A896" s="4">
        <v>894.0</v>
      </c>
      <c r="B896" s="5" t="s">
        <v>2689</v>
      </c>
      <c r="C896" s="4">
        <v>0.0</v>
      </c>
      <c r="D896" s="5" t="s">
        <v>2690</v>
      </c>
      <c r="E896" s="5" t="s">
        <v>2691</v>
      </c>
      <c r="F896" s="6" t="str">
        <f>IFERROR(__xludf.DUMMYFUNCTION("GOOGLETRANSLATE(D896,""en"",""it"")"),"Mi piacciono i pappagalli, un tipo interessante di bobtail.")</f>
        <v>Mi piacciono i pappagalli, un tipo interessante di bobtail.</v>
      </c>
      <c r="G896" s="6" t="str">
        <f>IFERROR(__xludf.DUMMYFUNCTION("GOOGLETRANSLATE(E896,""fr"",""it"")"),"Mi piace perrouves, un tipo interessante di bobtail.")</f>
        <v>Mi piace perrouves, un tipo interessante di bobtail.</v>
      </c>
    </row>
    <row r="897">
      <c r="A897" s="4">
        <v>895.0</v>
      </c>
      <c r="B897" s="5" t="s">
        <v>2692</v>
      </c>
      <c r="C897" s="4">
        <v>0.0</v>
      </c>
      <c r="D897" s="5" t="s">
        <v>2693</v>
      </c>
      <c r="E897" s="5" t="s">
        <v>2694</v>
      </c>
      <c r="F897" s="6" t="str">
        <f>IFERROR(__xludf.DUMMYFUNCTION("GOOGLETRANSLATE(D897,""en"",""it"")"),"Mi piacciono i bobtail, un tipo interessante di coniglio.")</f>
        <v>Mi piacciono i bobtail, un tipo interessante di coniglio.</v>
      </c>
      <c r="G897" s="6" t="str">
        <f>IFERROR(__xludf.DUMMYFUNCTION("GOOGLETRANSLATE(E897,""fr"",""it"")"),"Mi piacciono i bobtail, un tipo interessante di coniglio.")</f>
        <v>Mi piacciono i bobtail, un tipo interessante di coniglio.</v>
      </c>
    </row>
    <row r="898">
      <c r="A898" s="4">
        <v>896.0</v>
      </c>
      <c r="B898" s="5" t="s">
        <v>2695</v>
      </c>
      <c r="C898" s="4">
        <v>0.0</v>
      </c>
      <c r="D898" s="5" t="s">
        <v>2696</v>
      </c>
      <c r="E898" s="5" t="s">
        <v>2697</v>
      </c>
      <c r="F898" s="6" t="str">
        <f>IFERROR(__xludf.DUMMYFUNCTION("GOOGLETRANSLATE(D898,""en"",""it"")"),"Mi piacciono i conigli, un tipo interessante di bobtail.")</f>
        <v>Mi piacciono i conigli, un tipo interessante di bobtail.</v>
      </c>
      <c r="G898" s="6" t="str">
        <f>IFERROR(__xludf.DUMMYFUNCTION("GOOGLETRANSLATE(E898,""fr"",""it"")"),"Amo i conigli, un tipo interessante di bobtail.")</f>
        <v>Amo i conigli, un tipo interessante di bobtail.</v>
      </c>
    </row>
    <row r="899">
      <c r="A899" s="4">
        <v>897.0</v>
      </c>
      <c r="B899" s="5" t="s">
        <v>2698</v>
      </c>
      <c r="C899" s="4">
        <v>0.0</v>
      </c>
      <c r="D899" s="5" t="s">
        <v>2699</v>
      </c>
      <c r="E899" s="5" t="s">
        <v>2700</v>
      </c>
      <c r="F899" s="6" t="str">
        <f>IFERROR(__xludf.DUMMYFUNCTION("GOOGLETRANSLATE(D899,""en"",""it"")"),"Mi piacciono i Bulldogs, un tipo interessante di gatto.")</f>
        <v>Mi piacciono i Bulldogs, un tipo interessante di gatto.</v>
      </c>
      <c r="G899" s="6" t="str">
        <f>IFERROR(__xludf.DUMMYFUNCTION("GOOGLETRANSLATE(E899,""fr"",""it"")"),"Amo i Bulldogs, un interessante ragazzo di gatto.")</f>
        <v>Amo i Bulldogs, un interessante ragazzo di gatto.</v>
      </c>
    </row>
    <row r="900">
      <c r="A900" s="4">
        <v>898.0</v>
      </c>
      <c r="B900" s="5" t="s">
        <v>2701</v>
      </c>
      <c r="C900" s="4">
        <v>0.0</v>
      </c>
      <c r="D900" s="5" t="s">
        <v>2702</v>
      </c>
      <c r="E900" s="5" t="s">
        <v>2703</v>
      </c>
      <c r="F900" s="6" t="str">
        <f>IFERROR(__xludf.DUMMYFUNCTION("GOOGLETRANSLATE(D900,""en"",""it"")"),"Mi piacciono i gatti, un tipo interessante di Bulldog.")</f>
        <v>Mi piacciono i gatti, un tipo interessante di Bulldog.</v>
      </c>
      <c r="G900" s="6" t="str">
        <f>IFERROR(__xludf.DUMMYFUNCTION("GOOGLETRANSLATE(E900,""fr"",""it"")"),"Mi piacciono i gatti, un tipo interessante di Bulldog.")</f>
        <v>Mi piacciono i gatti, un tipo interessante di Bulldog.</v>
      </c>
    </row>
    <row r="901">
      <c r="A901" s="4">
        <v>899.0</v>
      </c>
      <c r="B901" s="5" t="s">
        <v>2704</v>
      </c>
      <c r="C901" s="4">
        <v>1.0</v>
      </c>
      <c r="D901" s="5" t="s">
        <v>2705</v>
      </c>
      <c r="E901" s="5" t="s">
        <v>2706</v>
      </c>
      <c r="F901" s="6" t="str">
        <f>IFERROR(__xludf.DUMMYFUNCTION("GOOGLETRANSLATE(D901,""en"",""it"")"),"Mi piacciono i Bulldog, un tipo interessante di cane.")</f>
        <v>Mi piacciono i Bulldog, un tipo interessante di cane.</v>
      </c>
      <c r="G901" s="6" t="str">
        <f>IFERROR(__xludf.DUMMYFUNCTION("GOOGLETRANSLATE(E901,""fr"",""it"")"),"Amo i Bulldog, un tipo di cane interessante.")</f>
        <v>Amo i Bulldog, un tipo di cane interessante.</v>
      </c>
    </row>
    <row r="902">
      <c r="A902" s="4">
        <v>900.0</v>
      </c>
      <c r="B902" s="5" t="s">
        <v>2707</v>
      </c>
      <c r="C902" s="4">
        <v>0.0</v>
      </c>
      <c r="D902" s="5" t="s">
        <v>2708</v>
      </c>
      <c r="E902" s="5" t="s">
        <v>2709</v>
      </c>
      <c r="F902" s="6" t="str">
        <f>IFERROR(__xludf.DUMMYFUNCTION("GOOGLETRANSLATE(D902,""en"",""it"")"),"Mi piacciono i cani, un tipo interessante di Bulldog.")</f>
        <v>Mi piacciono i cani, un tipo interessante di Bulldog.</v>
      </c>
      <c r="G902" s="6" t="str">
        <f>IFERROR(__xludf.DUMMYFUNCTION("GOOGLETRANSLATE(E902,""fr"",""it"")"),"Mi piacciono i cani, un tipo interessante di Bulldog.")</f>
        <v>Mi piacciono i cani, un tipo interessante di Bulldog.</v>
      </c>
    </row>
    <row r="903">
      <c r="A903" s="4">
        <v>901.0</v>
      </c>
      <c r="B903" s="5" t="s">
        <v>2710</v>
      </c>
      <c r="C903" s="4">
        <v>0.0</v>
      </c>
      <c r="D903" s="5" t="s">
        <v>2711</v>
      </c>
      <c r="E903" s="5" t="s">
        <v>2712</v>
      </c>
      <c r="F903" s="6" t="str">
        <f>IFERROR(__xludf.DUMMYFUNCTION("GOOGLETRANSLATE(D903,""en"",""it"")"),"Mi piacciono i Bulldog, un tipo interessante di criceto.")</f>
        <v>Mi piacciono i Bulldog, un tipo interessante di criceto.</v>
      </c>
      <c r="G903" s="6" t="str">
        <f>IFERROR(__xludf.DUMMYFUNCTION("GOOGLETRANSLATE(E903,""fr"",""it"")"),"Amo i Bulldog, un ragazzo interessante dal criceto.")</f>
        <v>Amo i Bulldog, un ragazzo interessante dal criceto.</v>
      </c>
    </row>
    <row r="904">
      <c r="A904" s="4">
        <v>902.0</v>
      </c>
      <c r="B904" s="5" t="s">
        <v>2713</v>
      </c>
      <c r="C904" s="4">
        <v>0.0</v>
      </c>
      <c r="D904" s="5" t="s">
        <v>2714</v>
      </c>
      <c r="E904" s="5" t="s">
        <v>2715</v>
      </c>
      <c r="F904" s="6" t="str">
        <f>IFERROR(__xludf.DUMMYFUNCTION("GOOGLETRANSLATE(D904,""en"",""it"")"),"Mi piacciono i criceti, un tipo interessante di Bulldog.")</f>
        <v>Mi piacciono i criceti, un tipo interessante di Bulldog.</v>
      </c>
      <c r="G904" s="6" t="str">
        <f>IFERROR(__xludf.DUMMYFUNCTION("GOOGLETRANSLATE(E904,""fr"",""it"")"),"Amo i criceti, un tipo interessante di Bulldog.")</f>
        <v>Amo i criceti, un tipo interessante di Bulldog.</v>
      </c>
    </row>
    <row r="905">
      <c r="A905" s="4">
        <v>903.0</v>
      </c>
      <c r="B905" s="5" t="s">
        <v>2716</v>
      </c>
      <c r="C905" s="4">
        <v>0.0</v>
      </c>
      <c r="D905" s="5" t="s">
        <v>2717</v>
      </c>
      <c r="E905" s="5" t="s">
        <v>2718</v>
      </c>
      <c r="F905" s="6" t="str">
        <f>IFERROR(__xludf.DUMMYFUNCTION("GOOGLETRANSLATE(D905,""en"",""it"")"),"Mi piacciono i Bulldogs, un tipo interessante di pappagallo.")</f>
        <v>Mi piacciono i Bulldogs, un tipo interessante di pappagallo.</v>
      </c>
      <c r="G905" s="6" t="str">
        <f>IFERROR(__xludf.DUMMYFUNCTION("GOOGLETRANSLATE(E905,""fr"",""it"")"),"Adoro i Bulldogs, un tipo interessante di perrouquet.")</f>
        <v>Adoro i Bulldogs, un tipo interessante di perrouquet.</v>
      </c>
    </row>
    <row r="906">
      <c r="A906" s="4">
        <v>904.0</v>
      </c>
      <c r="B906" s="5" t="s">
        <v>2719</v>
      </c>
      <c r="C906" s="4">
        <v>0.0</v>
      </c>
      <c r="D906" s="5" t="s">
        <v>2720</v>
      </c>
      <c r="E906" s="5" t="s">
        <v>2721</v>
      </c>
      <c r="F906" s="6" t="str">
        <f>IFERROR(__xludf.DUMMYFUNCTION("GOOGLETRANSLATE(D906,""en"",""it"")"),"Mi piacciono i pappagalli, un tipo interessante di bulldog.")</f>
        <v>Mi piacciono i pappagalli, un tipo interessante di bulldog.</v>
      </c>
      <c r="G906" s="6" t="str">
        <f>IFERROR(__xludf.DUMMYFUNCTION("GOOGLETRANSLATE(E906,""fr"",""it"")"),"Amo i perrouches, un tipo interessante di Bulldog.")</f>
        <v>Amo i perrouches, un tipo interessante di Bulldog.</v>
      </c>
    </row>
    <row r="907">
      <c r="A907" s="4">
        <v>905.0</v>
      </c>
      <c r="B907" s="5" t="s">
        <v>2722</v>
      </c>
      <c r="C907" s="4">
        <v>0.0</v>
      </c>
      <c r="D907" s="5" t="s">
        <v>2723</v>
      </c>
      <c r="E907" s="5" t="s">
        <v>2724</v>
      </c>
      <c r="F907" s="6" t="str">
        <f>IFERROR(__xludf.DUMMYFUNCTION("GOOGLETRANSLATE(D907,""en"",""it"")"),"Mi piacciono i Bulldog, un tipo interessante di coniglio.")</f>
        <v>Mi piacciono i Bulldog, un tipo interessante di coniglio.</v>
      </c>
      <c r="G907" s="6" t="str">
        <f>IFERROR(__xludf.DUMMYFUNCTION("GOOGLETRANSLATE(E907,""fr"",""it"")"),"Amo i Bulldogs, un tipo interessante di coniglio.")</f>
        <v>Amo i Bulldogs, un tipo interessante di coniglio.</v>
      </c>
    </row>
    <row r="908">
      <c r="A908" s="4">
        <v>906.0</v>
      </c>
      <c r="B908" s="5" t="s">
        <v>2725</v>
      </c>
      <c r="C908" s="4">
        <v>0.0</v>
      </c>
      <c r="D908" s="5" t="s">
        <v>2726</v>
      </c>
      <c r="E908" s="5" t="s">
        <v>2727</v>
      </c>
      <c r="F908" s="6" t="str">
        <f>IFERROR(__xludf.DUMMYFUNCTION("GOOGLETRANSLATE(D908,""en"",""it"")"),"Mi piacciono i conigli, un tipo interessante di Bulldog.")</f>
        <v>Mi piacciono i conigli, un tipo interessante di Bulldog.</v>
      </c>
      <c r="G908" s="6" t="str">
        <f>IFERROR(__xludf.DUMMYFUNCTION("GOOGLETRANSLATE(E908,""fr"",""it"")"),"Amo i conigli, un tipo interessante di Bulldog.")</f>
        <v>Amo i conigli, un tipo interessante di Bulldog.</v>
      </c>
    </row>
    <row r="909">
      <c r="A909" s="4">
        <v>907.0</v>
      </c>
      <c r="B909" s="5" t="s">
        <v>2728</v>
      </c>
      <c r="C909" s="4">
        <v>0.0</v>
      </c>
      <c r="D909" s="5" t="s">
        <v>2729</v>
      </c>
      <c r="E909" s="5" t="s">
        <v>2730</v>
      </c>
      <c r="F909" s="6" t="str">
        <f>IFERROR(__xludf.DUMMYFUNCTION("GOOGLETRANSLATE(D909,""en"",""it"")"),"Mi piacciono i Beagles, un tipo interessante di gatto.")</f>
        <v>Mi piacciono i Beagles, un tipo interessante di gatto.</v>
      </c>
      <c r="G909" s="6" t="str">
        <f>IFERROR(__xludf.DUMMYFUNCTION("GOOGLETRANSLATE(E909,""fr"",""it"")"),"Mi piacciono i Beagles, un tipo interessante di gatto.")</f>
        <v>Mi piacciono i Beagles, un tipo interessante di gatto.</v>
      </c>
    </row>
    <row r="910">
      <c r="A910" s="4">
        <v>908.0</v>
      </c>
      <c r="B910" s="5" t="s">
        <v>2731</v>
      </c>
      <c r="C910" s="4">
        <v>0.0</v>
      </c>
      <c r="D910" s="5" t="s">
        <v>2732</v>
      </c>
      <c r="E910" s="5" t="s">
        <v>2733</v>
      </c>
      <c r="F910" s="6" t="str">
        <f>IFERROR(__xludf.DUMMYFUNCTION("GOOGLETRANSLATE(D910,""en"",""it"")"),"Mi piacciono i gatti, un tipo di beagle interessante.")</f>
        <v>Mi piacciono i gatti, un tipo di beagle interessante.</v>
      </c>
      <c r="G910" s="6" t="str">
        <f>IFERROR(__xludf.DUMMYFUNCTION("GOOGLETRANSLATE(E910,""fr"",""it"")"),"Mi piacciono i gatti, un ragazzo interessante di Beagle.")</f>
        <v>Mi piacciono i gatti, un ragazzo interessante di Beagle.</v>
      </c>
    </row>
    <row r="911">
      <c r="A911" s="4">
        <v>909.0</v>
      </c>
      <c r="B911" s="5" t="s">
        <v>2734</v>
      </c>
      <c r="C911" s="4">
        <v>1.0</v>
      </c>
      <c r="D911" s="5" t="s">
        <v>2735</v>
      </c>
      <c r="E911" s="5" t="s">
        <v>2736</v>
      </c>
      <c r="F911" s="6" t="str">
        <f>IFERROR(__xludf.DUMMYFUNCTION("GOOGLETRANSLATE(D911,""en"",""it"")"),"Mi piacciono i Beagles, un tipo di cane interessante.")</f>
        <v>Mi piacciono i Beagles, un tipo di cane interessante.</v>
      </c>
      <c r="G911" s="6" t="str">
        <f>IFERROR(__xludf.DUMMYFUNCTION("GOOGLETRANSLATE(E911,""fr"",""it"")"),"Mi piacciono i Beagles, un tipo di cane interessante.")</f>
        <v>Mi piacciono i Beagles, un tipo di cane interessante.</v>
      </c>
    </row>
    <row r="912">
      <c r="A912" s="4">
        <v>910.0</v>
      </c>
      <c r="B912" s="5" t="s">
        <v>2737</v>
      </c>
      <c r="C912" s="4">
        <v>0.0</v>
      </c>
      <c r="D912" s="5" t="s">
        <v>2738</v>
      </c>
      <c r="E912" s="5" t="s">
        <v>2739</v>
      </c>
      <c r="F912" s="6" t="str">
        <f>IFERROR(__xludf.DUMMYFUNCTION("GOOGLETRANSLATE(D912,""en"",""it"")"),"Mi piacciono i cani, un tipo interessante di beagle.")</f>
        <v>Mi piacciono i cani, un tipo interessante di beagle.</v>
      </c>
      <c r="G912" s="6" t="str">
        <f>IFERROR(__xludf.DUMMYFUNCTION("GOOGLETRANSLATE(E912,""fr"",""it"")"),"Mi piacciono i cani, un tipo interessante di beagle.")</f>
        <v>Mi piacciono i cani, un tipo interessante di beagle.</v>
      </c>
    </row>
    <row r="913">
      <c r="A913" s="4">
        <v>911.0</v>
      </c>
      <c r="B913" s="5" t="s">
        <v>2740</v>
      </c>
      <c r="C913" s="4">
        <v>0.0</v>
      </c>
      <c r="D913" s="5" t="s">
        <v>2741</v>
      </c>
      <c r="E913" s="5" t="s">
        <v>2742</v>
      </c>
      <c r="F913" s="6" t="str">
        <f>IFERROR(__xludf.DUMMYFUNCTION("GOOGLETRANSLATE(D913,""en"",""it"")"),"Mi piacciono i Beagles, un tipo interessante di criceto.")</f>
        <v>Mi piacciono i Beagles, un tipo interessante di criceto.</v>
      </c>
      <c r="G913" s="6" t="str">
        <f>IFERROR(__xludf.DUMMYFUNCTION("GOOGLETRANSLATE(E913,""fr"",""it"")"),"Mi piacciono i Beagles, un ragazzo interessante dal criceto.")</f>
        <v>Mi piacciono i Beagles, un ragazzo interessante dal criceto.</v>
      </c>
    </row>
    <row r="914">
      <c r="A914" s="4">
        <v>912.0</v>
      </c>
      <c r="B914" s="5" t="s">
        <v>2743</v>
      </c>
      <c r="C914" s="4">
        <v>0.0</v>
      </c>
      <c r="D914" s="5" t="s">
        <v>2744</v>
      </c>
      <c r="E914" s="5" t="s">
        <v>2745</v>
      </c>
      <c r="F914" s="6" t="str">
        <f>IFERROR(__xludf.DUMMYFUNCTION("GOOGLETRANSLATE(D914,""en"",""it"")"),"Mi piacciono i criceti, un tipo interessante di beagle.")</f>
        <v>Mi piacciono i criceti, un tipo interessante di beagle.</v>
      </c>
      <c r="G914" s="6" t="str">
        <f>IFERROR(__xludf.DUMMYFUNCTION("GOOGLETRANSLATE(E914,""fr"",""it"")"),"Mi piacciono i criceti, un ragazzo interessante di Beagle.")</f>
        <v>Mi piacciono i criceti, un ragazzo interessante di Beagle.</v>
      </c>
    </row>
    <row r="915">
      <c r="A915" s="4">
        <v>913.0</v>
      </c>
      <c r="B915" s="5" t="s">
        <v>2746</v>
      </c>
      <c r="C915" s="4">
        <v>0.0</v>
      </c>
      <c r="D915" s="5" t="s">
        <v>2747</v>
      </c>
      <c r="E915" s="5" t="s">
        <v>2748</v>
      </c>
      <c r="F915" s="6" t="str">
        <f>IFERROR(__xludf.DUMMYFUNCTION("GOOGLETRANSLATE(D915,""en"",""it"")"),"Mi piacciono i Beagles, un tipo di pappagallo interessante.")</f>
        <v>Mi piacciono i Beagles, un tipo di pappagallo interessante.</v>
      </c>
      <c r="G915" s="6" t="str">
        <f>IFERROR(__xludf.DUMMYFUNCTION("GOOGLETRANSLATE(E915,""fr"",""it"")"),"Mi piacciono i Beagles, un interessante tipo di Perrouquet.")</f>
        <v>Mi piacciono i Beagles, un interessante tipo di Perrouquet.</v>
      </c>
    </row>
    <row r="916">
      <c r="A916" s="4">
        <v>914.0</v>
      </c>
      <c r="B916" s="5" t="s">
        <v>2749</v>
      </c>
      <c r="C916" s="4">
        <v>0.0</v>
      </c>
      <c r="D916" s="5" t="s">
        <v>2750</v>
      </c>
      <c r="E916" s="5" t="s">
        <v>2751</v>
      </c>
      <c r="F916" s="6" t="str">
        <f>IFERROR(__xludf.DUMMYFUNCTION("GOOGLETRANSLATE(D916,""en"",""it"")"),"Mi piacciono i pappagalli, un tipo interessante di beagle.")</f>
        <v>Mi piacciono i pappagalli, un tipo interessante di beagle.</v>
      </c>
      <c r="G916" s="6" t="str">
        <f>IFERROR(__xludf.DUMMYFUNCTION("GOOGLETRANSLATE(E916,""fr"",""it"")"),"Amo i perrouches, un tipo interessante di beagle.")</f>
        <v>Amo i perrouches, un tipo interessante di beagle.</v>
      </c>
    </row>
    <row r="917">
      <c r="A917" s="4">
        <v>915.0</v>
      </c>
      <c r="B917" s="5" t="s">
        <v>2752</v>
      </c>
      <c r="C917" s="4">
        <v>0.0</v>
      </c>
      <c r="D917" s="5" t="s">
        <v>2753</v>
      </c>
      <c r="E917" s="5" t="s">
        <v>2754</v>
      </c>
      <c r="F917" s="6" t="str">
        <f>IFERROR(__xludf.DUMMYFUNCTION("GOOGLETRANSLATE(D917,""en"",""it"")"),"Mi piacciono i Beagles, un tipo interessante di coniglio.")</f>
        <v>Mi piacciono i Beagles, un tipo interessante di coniglio.</v>
      </c>
      <c r="G917" s="6" t="str">
        <f>IFERROR(__xludf.DUMMYFUNCTION("GOOGLETRANSLATE(E917,""fr"",""it"")"),"Adoro i Beagles, un interessante tipo di coniglio.")</f>
        <v>Adoro i Beagles, un interessante tipo di coniglio.</v>
      </c>
    </row>
    <row r="918">
      <c r="A918" s="4">
        <v>916.0</v>
      </c>
      <c r="B918" s="5" t="s">
        <v>2755</v>
      </c>
      <c r="C918" s="4">
        <v>0.0</v>
      </c>
      <c r="D918" s="5" t="s">
        <v>2756</v>
      </c>
      <c r="E918" s="5" t="s">
        <v>2757</v>
      </c>
      <c r="F918" s="6" t="str">
        <f>IFERROR(__xludf.DUMMYFUNCTION("GOOGLETRANSLATE(D918,""en"",""it"")"),"Mi piacciono i conigli, un tipo interessante di beagle.")</f>
        <v>Mi piacciono i conigli, un tipo interessante di beagle.</v>
      </c>
      <c r="G918" s="6" t="str">
        <f>IFERROR(__xludf.DUMMYFUNCTION("GOOGLETRANSLATE(E918,""fr"",""it"")"),"Amo i conigli, un ragazzo interessante di Beagle.")</f>
        <v>Amo i conigli, un ragazzo interessante di Beagle.</v>
      </c>
    </row>
    <row r="919">
      <c r="A919" s="4">
        <v>917.0</v>
      </c>
      <c r="B919" s="5" t="s">
        <v>2758</v>
      </c>
      <c r="C919" s="4">
        <v>0.0</v>
      </c>
      <c r="D919" s="5" t="s">
        <v>2759</v>
      </c>
      <c r="E919" s="5" t="s">
        <v>2760</v>
      </c>
      <c r="F919" s="6" t="str">
        <f>IFERROR(__xludf.DUMMYFUNCTION("GOOGLETRANSLATE(D919,""en"",""it"")"),"Mi piacciono i gatti, tranne le anatre.")</f>
        <v>Mi piacciono i gatti, tranne le anatre.</v>
      </c>
      <c r="G919" s="6" t="str">
        <f>IFERROR(__xludf.DUMMYFUNCTION("GOOGLETRANSLATE(E919,""fr"",""it"")"),"Mi piacciono i gatti tranne le anatre.")</f>
        <v>Mi piacciono i gatti tranne le anatre.</v>
      </c>
    </row>
    <row r="920">
      <c r="A920" s="4">
        <v>918.0</v>
      </c>
      <c r="B920" s="5" t="s">
        <v>2761</v>
      </c>
      <c r="C920" s="4">
        <v>0.0</v>
      </c>
      <c r="D920" s="5" t="s">
        <v>2762</v>
      </c>
      <c r="E920" s="5" t="s">
        <v>2763</v>
      </c>
      <c r="F920" s="6" t="str">
        <f>IFERROR(__xludf.DUMMYFUNCTION("GOOGLETRANSLATE(D920,""en"",""it"")"),"Mi piacciono i pappagalli, un tipo interessante di gatto.")</f>
        <v>Mi piacciono i pappagalli, un tipo interessante di gatto.</v>
      </c>
      <c r="G920" s="6" t="str">
        <f>IFERROR(__xludf.DUMMYFUNCTION("GOOGLETRANSLATE(E920,""fr"",""it"")"),"Mi piacciono i perrouzzi, un tipo interessante di gatto.")</f>
        <v>Mi piacciono i perrouzzi, un tipo interessante di gatto.</v>
      </c>
    </row>
    <row r="921">
      <c r="A921" s="4">
        <v>919.0</v>
      </c>
      <c r="B921" s="5" t="s">
        <v>2764</v>
      </c>
      <c r="C921" s="4">
        <v>0.0</v>
      </c>
      <c r="D921" s="5" t="s">
        <v>2765</v>
      </c>
      <c r="E921" s="5" t="s">
        <v>2766</v>
      </c>
      <c r="F921" s="6" t="str">
        <f>IFERROR(__xludf.DUMMYFUNCTION("GOOGLETRANSLATE(D921,""en"",""it"")"),"Mi piacciono i gatti, un tipo di pappagallo interessante.")</f>
        <v>Mi piacciono i gatti, un tipo di pappagallo interessante.</v>
      </c>
      <c r="G921" s="6" t="str">
        <f>IFERROR(__xludf.DUMMYFUNCTION("GOOGLETRANSLATE(E921,""fr"",""it"")"),"Mi piacciono i gatti, un tipo interessante di Perrouquet.")</f>
        <v>Mi piacciono i gatti, un tipo interessante di Perrouquet.</v>
      </c>
    </row>
    <row r="922">
      <c r="A922" s="4">
        <v>920.0</v>
      </c>
      <c r="B922" s="5" t="s">
        <v>2767</v>
      </c>
      <c r="C922" s="4">
        <v>1.0</v>
      </c>
      <c r="D922" s="5" t="s">
        <v>2768</v>
      </c>
      <c r="E922" s="5" t="s">
        <v>2769</v>
      </c>
      <c r="F922" s="6" t="str">
        <f>IFERROR(__xludf.DUMMYFUNCTION("GOOGLETRANSLATE(D922,""en"",""it"")"),"Mi piacciono i pappagalli, un tipo di uccello interessante.")</f>
        <v>Mi piacciono i pappagalli, un tipo di uccello interessante.</v>
      </c>
      <c r="G922" s="6" t="str">
        <f>IFERROR(__xludf.DUMMYFUNCTION("GOOGLETRANSLATE(E922,""fr"",""it"")"),"Amo perrouches, un tipo di uccello interessante.")</f>
        <v>Amo perrouches, un tipo di uccello interessante.</v>
      </c>
    </row>
    <row r="923">
      <c r="A923" s="4">
        <v>921.0</v>
      </c>
      <c r="B923" s="5" t="s">
        <v>2770</v>
      </c>
      <c r="C923" s="4">
        <v>0.0</v>
      </c>
      <c r="D923" s="5" t="s">
        <v>2771</v>
      </c>
      <c r="E923" s="5" t="s">
        <v>2772</v>
      </c>
      <c r="F923" s="6" t="str">
        <f>IFERROR(__xludf.DUMMYFUNCTION("GOOGLETRANSLATE(D923,""en"",""it"")"),"Mi piacciono gli uccelli, un tipo di pappagallo interessante.")</f>
        <v>Mi piacciono gli uccelli, un tipo di pappagallo interessante.</v>
      </c>
      <c r="G923" s="6" t="str">
        <f>IFERROR(__xludf.DUMMYFUNCTION("GOOGLETRANSLATE(E923,""fr"",""it"")"),"Mi piacciono gli uccelli, un tipo interessante di perrouquet.")</f>
        <v>Mi piacciono gli uccelli, un tipo interessante di perrouquet.</v>
      </c>
    </row>
    <row r="924">
      <c r="A924" s="4">
        <v>922.0</v>
      </c>
      <c r="B924" s="5" t="s">
        <v>2773</v>
      </c>
      <c r="C924" s="4">
        <v>0.0</v>
      </c>
      <c r="D924" s="5" t="s">
        <v>2774</v>
      </c>
      <c r="E924" s="5" t="s">
        <v>2775</v>
      </c>
      <c r="F924" s="6" t="str">
        <f>IFERROR(__xludf.DUMMYFUNCTION("GOOGLETRANSLATE(D924,""en"",""it"")"),"Mi piacciono gli uccelli, un tipo interessante di gatto.")</f>
        <v>Mi piacciono gli uccelli, un tipo interessante di gatto.</v>
      </c>
      <c r="G924" s="6" t="str">
        <f>IFERROR(__xludf.DUMMYFUNCTION("GOOGLETRANSLATE(E924,""fr"",""it"")"),"Mi piacciono gli uccelli, un tipo interessante di gatto.")</f>
        <v>Mi piacciono gli uccelli, un tipo interessante di gatto.</v>
      </c>
    </row>
    <row r="925">
      <c r="A925" s="4">
        <v>923.0</v>
      </c>
      <c r="B925" s="5" t="s">
        <v>2776</v>
      </c>
      <c r="C925" s="4">
        <v>0.0</v>
      </c>
      <c r="D925" s="5" t="s">
        <v>2777</v>
      </c>
      <c r="E925" s="5" t="s">
        <v>2778</v>
      </c>
      <c r="F925" s="6" t="str">
        <f>IFERROR(__xludf.DUMMYFUNCTION("GOOGLETRANSLATE(D925,""en"",""it"")"),"Mi piacciono i pappagalli, un tipo interessante di criceto.")</f>
        <v>Mi piacciono i pappagalli, un tipo interessante di criceto.</v>
      </c>
      <c r="G925" s="6" t="str">
        <f>IFERROR(__xludf.DUMMYFUNCTION("GOOGLETRANSLATE(E925,""fr"",""it"")"),"Mi piace perrouves, un tipo interessante di criceto.")</f>
        <v>Mi piace perrouves, un tipo interessante di criceto.</v>
      </c>
    </row>
    <row r="926">
      <c r="A926" s="4">
        <v>924.0</v>
      </c>
      <c r="B926" s="5" t="s">
        <v>2779</v>
      </c>
      <c r="C926" s="4">
        <v>0.0</v>
      </c>
      <c r="D926" s="5" t="s">
        <v>2780</v>
      </c>
      <c r="E926" s="5" t="s">
        <v>2781</v>
      </c>
      <c r="F926" s="6" t="str">
        <f>IFERROR(__xludf.DUMMYFUNCTION("GOOGLETRANSLATE(D926,""en"",""it"")"),"Mi piacciono i criceti, un tipo di pappagallo interessante.")</f>
        <v>Mi piacciono i criceti, un tipo di pappagallo interessante.</v>
      </c>
      <c r="G926" s="6" t="str">
        <f>IFERROR(__xludf.DUMMYFUNCTION("GOOGLETRANSLATE(E926,""fr"",""it"")"),"Amo i criceti, un interessante tipo di perrouquet.")</f>
        <v>Amo i criceti, un interessante tipo di perrouquet.</v>
      </c>
    </row>
    <row r="927">
      <c r="A927" s="4">
        <v>925.0</v>
      </c>
      <c r="B927" s="5" t="s">
        <v>2782</v>
      </c>
      <c r="C927" s="4">
        <v>0.0</v>
      </c>
      <c r="D927" s="5" t="s">
        <v>2783</v>
      </c>
      <c r="E927" s="5" t="s">
        <v>2784</v>
      </c>
      <c r="F927" s="6" t="str">
        <f>IFERROR(__xludf.DUMMYFUNCTION("GOOGLETRANSLATE(D927,""en"",""it"")"),"Mi piacciono gli uccelli, un tipo interessante di criceto.")</f>
        <v>Mi piacciono gli uccelli, un tipo interessante di criceto.</v>
      </c>
      <c r="G927" s="6" t="str">
        <f>IFERROR(__xludf.DUMMYFUNCTION("GOOGLETRANSLATE(E927,""fr"",""it"")"),"Amo gli uccelli, un ragazzo interessante dal criceto.")</f>
        <v>Amo gli uccelli, un ragazzo interessante dal criceto.</v>
      </c>
    </row>
    <row r="928">
      <c r="A928" s="4">
        <v>926.0</v>
      </c>
      <c r="B928" s="5" t="s">
        <v>2785</v>
      </c>
      <c r="C928" s="4">
        <v>0.0</v>
      </c>
      <c r="D928" s="5" t="s">
        <v>2786</v>
      </c>
      <c r="E928" s="5" t="s">
        <v>2787</v>
      </c>
      <c r="F928" s="6" t="str">
        <f>IFERROR(__xludf.DUMMYFUNCTION("GOOGLETRANSLATE(D928,""en"",""it"")"),"Mi piacciono i pappagalli, un tipo interessante di maiale.")</f>
        <v>Mi piacciono i pappagalli, un tipo interessante di maiale.</v>
      </c>
      <c r="G928" s="6" t="str">
        <f>IFERROR(__xludf.DUMMYFUNCTION("GOOGLETRANSLATE(E928,""fr"",""it"")"),"Mi piacciono i perrouches, un interessante ragazzo di maiale.")</f>
        <v>Mi piacciono i perrouches, un interessante ragazzo di maiale.</v>
      </c>
    </row>
    <row r="929">
      <c r="A929" s="4">
        <v>927.0</v>
      </c>
      <c r="B929" s="5" t="s">
        <v>2788</v>
      </c>
      <c r="C929" s="4">
        <v>0.0</v>
      </c>
      <c r="D929" s="5" t="s">
        <v>2789</v>
      </c>
      <c r="E929" s="5" t="s">
        <v>2790</v>
      </c>
      <c r="F929" s="6" t="str">
        <f>IFERROR(__xludf.DUMMYFUNCTION("GOOGLETRANSLATE(D929,""en"",""it"")"),"Mi piacciono i maiali, un tipo interessante di pappagallo.")</f>
        <v>Mi piacciono i maiali, un tipo interessante di pappagallo.</v>
      </c>
      <c r="G929" s="6" t="str">
        <f>IFERROR(__xludf.DUMMYFUNCTION("GOOGLETRANSLATE(E929,""fr"",""it"")"),"Mi piacciono i maiali, un tipo interessante di perrouquet.")</f>
        <v>Mi piacciono i maiali, un tipo interessante di perrouquet.</v>
      </c>
    </row>
    <row r="930">
      <c r="A930" s="4">
        <v>928.0</v>
      </c>
      <c r="B930" s="5" t="s">
        <v>2791</v>
      </c>
      <c r="C930" s="4">
        <v>0.0</v>
      </c>
      <c r="D930" s="5" t="s">
        <v>2792</v>
      </c>
      <c r="E930" s="5" t="s">
        <v>2793</v>
      </c>
      <c r="F930" s="6" t="str">
        <f>IFERROR(__xludf.DUMMYFUNCTION("GOOGLETRANSLATE(D930,""en"",""it"")"),"Mi piacciono gli uccelli, un tipo di maiale interessante.")</f>
        <v>Mi piacciono gli uccelli, un tipo di maiale interessante.</v>
      </c>
      <c r="G930" s="6" t="str">
        <f>IFERROR(__xludf.DUMMYFUNCTION("GOOGLETRANSLATE(E930,""fr"",""it"")"),"Mi piacciono gli uccelli, un ragazzo interessante di maiale.")</f>
        <v>Mi piacciono gli uccelli, un ragazzo interessante di maiale.</v>
      </c>
    </row>
    <row r="931">
      <c r="A931" s="4">
        <v>929.0</v>
      </c>
      <c r="B931" s="5" t="s">
        <v>2794</v>
      </c>
      <c r="C931" s="4">
        <v>0.0</v>
      </c>
      <c r="D931" s="5" t="s">
        <v>2795</v>
      </c>
      <c r="E931" s="5" t="s">
        <v>2796</v>
      </c>
      <c r="F931" s="6" t="str">
        <f>IFERROR(__xludf.DUMMYFUNCTION("GOOGLETRANSLATE(D931,""en"",""it"")"),"Mi piacciono i pappagalli, un tipo di cane interessante.")</f>
        <v>Mi piacciono i pappagalli, un tipo di cane interessante.</v>
      </c>
      <c r="G931" s="6" t="str">
        <f>IFERROR(__xludf.DUMMYFUNCTION("GOOGLETRANSLATE(E931,""fr"",""it"")"),"Mi piacciono i perruboletti, un tipo di cane interessante.")</f>
        <v>Mi piacciono i perruboletti, un tipo di cane interessante.</v>
      </c>
    </row>
    <row r="932">
      <c r="A932" s="4">
        <v>930.0</v>
      </c>
      <c r="B932" s="5" t="s">
        <v>2797</v>
      </c>
      <c r="C932" s="4">
        <v>0.0</v>
      </c>
      <c r="D932" s="5" t="s">
        <v>2798</v>
      </c>
      <c r="E932" s="5" t="s">
        <v>2799</v>
      </c>
      <c r="F932" s="6" t="str">
        <f>IFERROR(__xludf.DUMMYFUNCTION("GOOGLETRANSLATE(D932,""en"",""it"")"),"Mi piacciono gli uccelli, un tipo di cane interessante.")</f>
        <v>Mi piacciono gli uccelli, un tipo di cane interessante.</v>
      </c>
      <c r="G932" s="6" t="str">
        <f>IFERROR(__xludf.DUMMYFUNCTION("GOOGLETRANSLATE(E932,""fr"",""it"")"),"Amo gli uccelli, un tipo di cane interessante.")</f>
        <v>Amo gli uccelli, un tipo di cane interessante.</v>
      </c>
    </row>
    <row r="933">
      <c r="A933" s="4">
        <v>931.0</v>
      </c>
      <c r="B933" s="5" t="s">
        <v>2800</v>
      </c>
      <c r="C933" s="4">
        <v>0.0</v>
      </c>
      <c r="D933" s="5" t="s">
        <v>2801</v>
      </c>
      <c r="E933" s="5" t="s">
        <v>2802</v>
      </c>
      <c r="F933" s="6" t="str">
        <f>IFERROR(__xludf.DUMMYFUNCTION("GOOGLETRANSLATE(D933,""en"",""it"")"),"Mi piacciono le anatre, un tipo interessante di gatto.")</f>
        <v>Mi piacciono le anatre, un tipo interessante di gatto.</v>
      </c>
      <c r="G933" s="6" t="str">
        <f>IFERROR(__xludf.DUMMYFUNCTION("GOOGLETRANSLATE(E933,""fr"",""it"")"),"Mi piacciono le anatre, un ragazzo interessante di gatto.")</f>
        <v>Mi piacciono le anatre, un ragazzo interessante di gatto.</v>
      </c>
    </row>
    <row r="934">
      <c r="A934" s="4">
        <v>932.0</v>
      </c>
      <c r="B934" s="5" t="s">
        <v>2803</v>
      </c>
      <c r="C934" s="4">
        <v>0.0</v>
      </c>
      <c r="D934" s="5" t="s">
        <v>2804</v>
      </c>
      <c r="E934" s="5" t="s">
        <v>2805</v>
      </c>
      <c r="F934" s="6" t="str">
        <f>IFERROR(__xludf.DUMMYFUNCTION("GOOGLETRANSLATE(D934,""en"",""it"")"),"Mi piacciono i gatti, un tipo di anatra interessante.")</f>
        <v>Mi piacciono i gatti, un tipo di anatra interessante.</v>
      </c>
      <c r="G934" s="6" t="str">
        <f>IFERROR(__xludf.DUMMYFUNCTION("GOOGLETRANSLATE(E934,""fr"",""it"")"),"Mi piacciono i gatti, un ragazzo interessante dall'anatra.")</f>
        <v>Mi piacciono i gatti, un ragazzo interessante dall'anatra.</v>
      </c>
    </row>
    <row r="935">
      <c r="A935" s="4">
        <v>933.0</v>
      </c>
      <c r="B935" s="5" t="s">
        <v>2806</v>
      </c>
      <c r="C935" s="4">
        <v>1.0</v>
      </c>
      <c r="D935" s="5" t="s">
        <v>2807</v>
      </c>
      <c r="E935" s="5" t="s">
        <v>2808</v>
      </c>
      <c r="F935" s="6" t="str">
        <f>IFERROR(__xludf.DUMMYFUNCTION("GOOGLETRANSLATE(D935,""en"",""it"")"),"Mi piacciono le anatre, un tipo di uccello interessante.")</f>
        <v>Mi piacciono le anatre, un tipo di uccello interessante.</v>
      </c>
      <c r="G935" s="6" t="str">
        <f>IFERROR(__xludf.DUMMYFUNCTION("GOOGLETRANSLATE(E935,""fr"",""it"")"),"Amo le anatre, un tipo di uccello interessante.")</f>
        <v>Amo le anatre, un tipo di uccello interessante.</v>
      </c>
    </row>
    <row r="936">
      <c r="A936" s="4">
        <v>934.0</v>
      </c>
      <c r="B936" s="5" t="s">
        <v>2809</v>
      </c>
      <c r="C936" s="4">
        <v>0.0</v>
      </c>
      <c r="D936" s="5" t="s">
        <v>2810</v>
      </c>
      <c r="E936" s="5" t="s">
        <v>2811</v>
      </c>
      <c r="F936" s="6" t="str">
        <f>IFERROR(__xludf.DUMMYFUNCTION("GOOGLETRANSLATE(D936,""en"",""it"")"),"Mi piacciono gli uccelli, un tipo di anatra interessante.")</f>
        <v>Mi piacciono gli uccelli, un tipo di anatra interessante.</v>
      </c>
      <c r="G936" s="6" t="str">
        <f>IFERROR(__xludf.DUMMYFUNCTION("GOOGLETRANSLATE(E936,""fr"",""it"")"),"Amo gli uccelli, un ragazzo interessante dall'anatra.")</f>
        <v>Amo gli uccelli, un ragazzo interessante dall'anatra.</v>
      </c>
    </row>
    <row r="937">
      <c r="A937" s="4">
        <v>935.0</v>
      </c>
      <c r="B937" s="5" t="s">
        <v>2812</v>
      </c>
      <c r="C937" s="4">
        <v>0.0</v>
      </c>
      <c r="D937" s="5" t="s">
        <v>2813</v>
      </c>
      <c r="E937" s="5" t="s">
        <v>2814</v>
      </c>
      <c r="F937" s="6" t="str">
        <f>IFERROR(__xludf.DUMMYFUNCTION("GOOGLETRANSLATE(D937,""en"",""it"")"),"Mi piacciono le anatre, un tipo interessante di criceto.")</f>
        <v>Mi piacciono le anatre, un tipo interessante di criceto.</v>
      </c>
      <c r="G937" s="6" t="str">
        <f>IFERROR(__xludf.DUMMYFUNCTION("GOOGLETRANSLATE(E937,""fr"",""it"")"),"Mi piacciono le anatre, un ragazzo interessante dal criceto.")</f>
        <v>Mi piacciono le anatre, un ragazzo interessante dal criceto.</v>
      </c>
    </row>
    <row r="938">
      <c r="A938" s="4">
        <v>936.0</v>
      </c>
      <c r="B938" s="5" t="s">
        <v>2815</v>
      </c>
      <c r="C938" s="4">
        <v>0.0</v>
      </c>
      <c r="D938" s="5" t="s">
        <v>2816</v>
      </c>
      <c r="E938" s="5" t="s">
        <v>2817</v>
      </c>
      <c r="F938" s="6" t="str">
        <f>IFERROR(__xludf.DUMMYFUNCTION("GOOGLETRANSLATE(D938,""en"",""it"")"),"Mi piacciono i criceti, un tipo di anatra interessante.")</f>
        <v>Mi piacciono i criceti, un tipo di anatra interessante.</v>
      </c>
      <c r="G938" s="6" t="str">
        <f>IFERROR(__xludf.DUMMYFUNCTION("GOOGLETRANSLATE(E938,""fr"",""it"")"),"Mi piacciono i criceti, un ragazzo interessante dall'anatra.")</f>
        <v>Mi piacciono i criceti, un ragazzo interessante dall'anatra.</v>
      </c>
    </row>
    <row r="939">
      <c r="A939" s="4">
        <v>937.0</v>
      </c>
      <c r="B939" s="5" t="s">
        <v>2818</v>
      </c>
      <c r="C939" s="4">
        <v>0.0</v>
      </c>
      <c r="D939" s="5" t="s">
        <v>2819</v>
      </c>
      <c r="E939" s="5" t="s">
        <v>2820</v>
      </c>
      <c r="F939" s="6" t="str">
        <f>IFERROR(__xludf.DUMMYFUNCTION("GOOGLETRANSLATE(D939,""en"",""it"")"),"Mi piacciono le anatre, un tipo interessante di maiale.")</f>
        <v>Mi piacciono le anatre, un tipo interessante di maiale.</v>
      </c>
      <c r="G939" s="6" t="str">
        <f>IFERROR(__xludf.DUMMYFUNCTION("GOOGLETRANSLATE(E939,""fr"",""it"")"),"Mi piacciono le anatre, un ragazzo interessante di maiale.")</f>
        <v>Mi piacciono le anatre, un ragazzo interessante di maiale.</v>
      </c>
    </row>
    <row r="940">
      <c r="A940" s="4">
        <v>938.0</v>
      </c>
      <c r="B940" s="5" t="s">
        <v>2821</v>
      </c>
      <c r="C940" s="4">
        <v>0.0</v>
      </c>
      <c r="D940" s="5" t="s">
        <v>2822</v>
      </c>
      <c r="E940" s="5" t="s">
        <v>2823</v>
      </c>
      <c r="F940" s="6" t="str">
        <f>IFERROR(__xludf.DUMMYFUNCTION("GOOGLETRANSLATE(D940,""en"",""it"")"),"Mi piacciono i maiali, un tipo di anatra interessante.")</f>
        <v>Mi piacciono i maiali, un tipo di anatra interessante.</v>
      </c>
      <c r="G940" s="6" t="str">
        <f>IFERROR(__xludf.DUMMYFUNCTION("GOOGLETRANSLATE(E940,""fr"",""it"")"),"Mi piacciono i maiali, un ragazzo interessante dall'anatra.")</f>
        <v>Mi piacciono i maiali, un ragazzo interessante dall'anatra.</v>
      </c>
    </row>
    <row r="941">
      <c r="A941" s="4">
        <v>939.0</v>
      </c>
      <c r="B941" s="5" t="s">
        <v>2824</v>
      </c>
      <c r="C941" s="4">
        <v>0.0</v>
      </c>
      <c r="D941" s="5" t="s">
        <v>2825</v>
      </c>
      <c r="E941" s="5" t="s">
        <v>2826</v>
      </c>
      <c r="F941" s="6" t="str">
        <f>IFERROR(__xludf.DUMMYFUNCTION("GOOGLETRANSLATE(D941,""en"",""it"")"),"Mi piacciono le anatre, un tipo di cane interessante.")</f>
        <v>Mi piacciono le anatre, un tipo di cane interessante.</v>
      </c>
      <c r="G941" s="6" t="str">
        <f>IFERROR(__xludf.DUMMYFUNCTION("GOOGLETRANSLATE(E941,""fr"",""it"")"),"Amo le anatre, un ragazzo interessante di cane.")</f>
        <v>Amo le anatre, un ragazzo interessante di cane.</v>
      </c>
    </row>
    <row r="942">
      <c r="A942" s="4">
        <v>940.0</v>
      </c>
      <c r="B942" s="5" t="s">
        <v>2827</v>
      </c>
      <c r="C942" s="4">
        <v>0.0</v>
      </c>
      <c r="D942" s="5" t="s">
        <v>2828</v>
      </c>
      <c r="E942" s="5" t="s">
        <v>2829</v>
      </c>
      <c r="F942" s="6" t="str">
        <f>IFERROR(__xludf.DUMMYFUNCTION("GOOGLETRANSLATE(D942,""en"",""it"")"),"Mi piacciono i cani, un tipo interessante di anatra.")</f>
        <v>Mi piacciono i cani, un tipo interessante di anatra.</v>
      </c>
      <c r="G942" s="6" t="str">
        <f>IFERROR(__xludf.DUMMYFUNCTION("GOOGLETRANSLATE(E942,""fr"",""it"")"),"Amo i cani, un ragazzo interessante dall'anatra.")</f>
        <v>Amo i cani, un ragazzo interessante dall'anatra.</v>
      </c>
    </row>
    <row r="943">
      <c r="A943" s="4">
        <v>941.0</v>
      </c>
      <c r="B943" s="5" t="s">
        <v>2830</v>
      </c>
      <c r="C943" s="4">
        <v>0.0</v>
      </c>
      <c r="D943" s="5" t="s">
        <v>2831</v>
      </c>
      <c r="E943" s="5" t="s">
        <v>2832</v>
      </c>
      <c r="F943" s="6" t="str">
        <f>IFERROR(__xludf.DUMMYFUNCTION("GOOGLETRANSLATE(D943,""en"",""it"")"),"Mi piacciono le anatre, tranne gli uccelli.")</f>
        <v>Mi piacciono le anatre, tranne gli uccelli.</v>
      </c>
      <c r="G943" s="6" t="str">
        <f>IFERROR(__xludf.DUMMYFUNCTION("GOOGLETRANSLATE(E943,""fr"",""it"")"),"Mi piacciono le anatre, tranne gli uccelli.")</f>
        <v>Mi piacciono le anatre, tranne gli uccelli.</v>
      </c>
    </row>
    <row r="944">
      <c r="A944" s="4">
        <v>942.0</v>
      </c>
      <c r="B944" s="5" t="s">
        <v>2833</v>
      </c>
      <c r="C944" s="4">
        <v>0.0</v>
      </c>
      <c r="D944" s="5" t="s">
        <v>2834</v>
      </c>
      <c r="E944" s="5" t="s">
        <v>2835</v>
      </c>
      <c r="F944" s="6" t="str">
        <f>IFERROR(__xludf.DUMMYFUNCTION("GOOGLETRANSLATE(D944,""en"",""it"")"),"Mi piacciono i Blackbirds, un tipo interessante di gatto.")</f>
        <v>Mi piacciono i Blackbirds, un tipo interessante di gatto.</v>
      </c>
      <c r="G944" s="6" t="str">
        <f>IFERROR(__xludf.DUMMYFUNCTION("GOOGLETRANSLATE(E944,""fr"",""it"")"),"Adoro i neri, un tipo interessante di gatto.")</f>
        <v>Adoro i neri, un tipo interessante di gatto.</v>
      </c>
    </row>
    <row r="945">
      <c r="A945" s="4">
        <v>943.0</v>
      </c>
      <c r="B945" s="5" t="s">
        <v>2836</v>
      </c>
      <c r="C945" s="4">
        <v>0.0</v>
      </c>
      <c r="D945" s="5" t="s">
        <v>2837</v>
      </c>
      <c r="E945" s="5" t="s">
        <v>2838</v>
      </c>
      <c r="F945" s="6" t="str">
        <f>IFERROR(__xludf.DUMMYFUNCTION("GOOGLETRANSLATE(D945,""en"",""it"")"),"Mi piacciono i gatti, un tipo interessante di merlo.")</f>
        <v>Mi piacciono i gatti, un tipo interessante di merlo.</v>
      </c>
      <c r="G945" s="6" t="str">
        <f>IFERROR(__xludf.DUMMYFUNCTION("GOOGLETRANSLATE(E945,""fr"",""it"")"),"Mi piacciono i gatti, un tipo interessante di merle.")</f>
        <v>Mi piacciono i gatti, un tipo interessante di merle.</v>
      </c>
    </row>
    <row r="946">
      <c r="A946" s="4">
        <v>944.0</v>
      </c>
      <c r="B946" s="5" t="s">
        <v>2839</v>
      </c>
      <c r="C946" s="4">
        <v>1.0</v>
      </c>
      <c r="D946" s="5" t="s">
        <v>2840</v>
      </c>
      <c r="E946" s="5" t="s">
        <v>2841</v>
      </c>
      <c r="F946" s="6" t="str">
        <f>IFERROR(__xludf.DUMMYFUNCTION("GOOGLETRANSLATE(D946,""en"",""it"")"),"Mi piacciono i blackbirds, un tipo di uccello interessante.")</f>
        <v>Mi piacciono i blackbirds, un tipo di uccello interessante.</v>
      </c>
      <c r="G946" s="6" t="str">
        <f>IFERROR(__xludf.DUMMYFUNCTION("GOOGLETRANSLATE(E946,""fr"",""it"")"),"Adoro i morele, un tipo interessante di uccelli.")</f>
        <v>Adoro i morele, un tipo interessante di uccelli.</v>
      </c>
    </row>
    <row r="947">
      <c r="A947" s="4">
        <v>945.0</v>
      </c>
      <c r="B947" s="5" t="s">
        <v>2842</v>
      </c>
      <c r="C947" s="4">
        <v>0.0</v>
      </c>
      <c r="D947" s="5" t="s">
        <v>2843</v>
      </c>
      <c r="E947" s="5" t="s">
        <v>2844</v>
      </c>
      <c r="F947" s="6" t="str">
        <f>IFERROR(__xludf.DUMMYFUNCTION("GOOGLETRANSLATE(D947,""en"",""it"")"),"Mi piacciono gli uccelli, un tipo interessante di merlo.")</f>
        <v>Mi piacciono gli uccelli, un tipo interessante di merlo.</v>
      </c>
      <c r="G947" s="6" t="str">
        <f>IFERROR(__xludf.DUMMYFUNCTION("GOOGLETRANSLATE(E947,""fr"",""it"")"),"Mi piacciono gli uccelli, un tipo interessante di merle.")</f>
        <v>Mi piacciono gli uccelli, un tipo interessante di merle.</v>
      </c>
    </row>
    <row r="948">
      <c r="A948" s="4">
        <v>946.0</v>
      </c>
      <c r="B948" s="5" t="s">
        <v>2845</v>
      </c>
      <c r="C948" s="4">
        <v>0.0</v>
      </c>
      <c r="D948" s="5" t="s">
        <v>2846</v>
      </c>
      <c r="E948" s="5" t="s">
        <v>2847</v>
      </c>
      <c r="F948" s="6" t="str">
        <f>IFERROR(__xludf.DUMMYFUNCTION("GOOGLETRANSLATE(D948,""en"",""it"")"),"Mi piacciono i Blackbirds, un tipo interessante di criceto.")</f>
        <v>Mi piacciono i Blackbirds, un tipo interessante di criceto.</v>
      </c>
      <c r="G948" s="6" t="str">
        <f>IFERROR(__xludf.DUMMYFUNCTION("GOOGLETRANSLATE(E948,""fr"",""it"")"),"Amo i Merles, un ragazzo interessante dal criceto.")</f>
        <v>Amo i Merles, un ragazzo interessante dal criceto.</v>
      </c>
    </row>
    <row r="949">
      <c r="A949" s="4">
        <v>947.0</v>
      </c>
      <c r="B949" s="5" t="s">
        <v>2848</v>
      </c>
      <c r="C949" s="4">
        <v>0.0</v>
      </c>
      <c r="D949" s="5" t="s">
        <v>2849</v>
      </c>
      <c r="E949" s="5" t="s">
        <v>2850</v>
      </c>
      <c r="F949" s="6" t="str">
        <f>IFERROR(__xludf.DUMMYFUNCTION("GOOGLETRANSLATE(D949,""en"",""it"")"),"Mi piacciono i criceti, un tipo interessante di merlo.")</f>
        <v>Mi piacciono i criceti, un tipo interessante di merlo.</v>
      </c>
      <c r="G949" s="6" t="str">
        <f>IFERROR(__xludf.DUMMYFUNCTION("GOOGLETRANSLATE(E949,""fr"",""it"")"),"Amo i criceti, un tipo interessante di merle.")</f>
        <v>Amo i criceti, un tipo interessante di merle.</v>
      </c>
    </row>
    <row r="950">
      <c r="A950" s="4">
        <v>948.0</v>
      </c>
      <c r="B950" s="5" t="s">
        <v>2851</v>
      </c>
      <c r="C950" s="4">
        <v>0.0</v>
      </c>
      <c r="D950" s="5" t="s">
        <v>2852</v>
      </c>
      <c r="E950" s="5" t="s">
        <v>2853</v>
      </c>
      <c r="F950" s="6" t="str">
        <f>IFERROR(__xludf.DUMMYFUNCTION("GOOGLETRANSLATE(D950,""en"",""it"")"),"Mi piacciono i Blackbirds, un tipo interessante di maiale.")</f>
        <v>Mi piacciono i Blackbirds, un tipo interessante di maiale.</v>
      </c>
      <c r="G950" s="6" t="str">
        <f>IFERROR(__xludf.DUMMYFUNCTION("GOOGLETRANSLATE(E950,""fr"",""it"")"),"Adoro i neri, un ragazzo interessante di maiale.")</f>
        <v>Adoro i neri, un ragazzo interessante di maiale.</v>
      </c>
    </row>
    <row r="951">
      <c r="A951" s="4">
        <v>949.0</v>
      </c>
      <c r="B951" s="5" t="s">
        <v>2854</v>
      </c>
      <c r="C951" s="4">
        <v>0.0</v>
      </c>
      <c r="D951" s="5" t="s">
        <v>2855</v>
      </c>
      <c r="E951" s="5" t="s">
        <v>2856</v>
      </c>
      <c r="F951" s="6" t="str">
        <f>IFERROR(__xludf.DUMMYFUNCTION("GOOGLETRANSLATE(D951,""en"",""it"")"),"Mi piacciono i maiali, un tipo interessante di merlo.")</f>
        <v>Mi piacciono i maiali, un tipo interessante di merlo.</v>
      </c>
      <c r="G951" s="6" t="str">
        <f>IFERROR(__xludf.DUMMYFUNCTION("GOOGLETRANSLATE(E951,""fr"",""it"")"),"Amo i maiali, un tipo interessante di merle.")</f>
        <v>Amo i maiali, un tipo interessante di merle.</v>
      </c>
    </row>
    <row r="952">
      <c r="A952" s="4">
        <v>950.0</v>
      </c>
      <c r="B952" s="5" t="s">
        <v>2857</v>
      </c>
      <c r="C952" s="4">
        <v>0.0</v>
      </c>
      <c r="D952" s="5" t="s">
        <v>2858</v>
      </c>
      <c r="E952" s="5" t="s">
        <v>2859</v>
      </c>
      <c r="F952" s="6" t="str">
        <f>IFERROR(__xludf.DUMMYFUNCTION("GOOGLETRANSLATE(D952,""en"",""it"")"),"Mi piacciono i Blackbirds, un tipo interessante di cane.")</f>
        <v>Mi piacciono i Blackbirds, un tipo interessante di cane.</v>
      </c>
      <c r="G952" s="6" t="str">
        <f>IFERROR(__xludf.DUMMYFUNCTION("GOOGLETRANSLATE(E952,""fr"",""it"")"),"Amo i Blackbirds, un ragazzo interessante di cane.")</f>
        <v>Amo i Blackbirds, un ragazzo interessante di cane.</v>
      </c>
    </row>
    <row r="953">
      <c r="A953" s="4">
        <v>951.0</v>
      </c>
      <c r="B953" s="5" t="s">
        <v>2860</v>
      </c>
      <c r="C953" s="4">
        <v>0.0</v>
      </c>
      <c r="D953" s="5" t="s">
        <v>2861</v>
      </c>
      <c r="E953" s="5" t="s">
        <v>2862</v>
      </c>
      <c r="F953" s="6" t="str">
        <f>IFERROR(__xludf.DUMMYFUNCTION("GOOGLETRANSLATE(D953,""en"",""it"")"),"Mi piacciono i cani, un tipo interessante di merlo.")</f>
        <v>Mi piacciono i cani, un tipo interessante di merlo.</v>
      </c>
      <c r="G953" s="6" t="str">
        <f>IFERROR(__xludf.DUMMYFUNCTION("GOOGLETRANSLATE(E953,""fr"",""it"")"),"Mi piacciono i cani, un tipo interessante di merle.")</f>
        <v>Mi piacciono i cani, un tipo interessante di merle.</v>
      </c>
    </row>
    <row r="954">
      <c r="A954" s="4">
        <v>952.0</v>
      </c>
      <c r="B954" s="5" t="s">
        <v>2863</v>
      </c>
      <c r="C954" s="4">
        <v>0.0</v>
      </c>
      <c r="D954" s="5" t="s">
        <v>2864</v>
      </c>
      <c r="E954" s="5" t="s">
        <v>2865</v>
      </c>
      <c r="F954" s="6" t="str">
        <f>IFERROR(__xludf.DUMMYFUNCTION("GOOGLETRANSLATE(D954,""en"",""it"")"),"Mi piacciono i passeri, un tipo interessante di gatto.")</f>
        <v>Mi piacciono i passeri, un tipo interessante di gatto.</v>
      </c>
      <c r="G954" s="6" t="str">
        <f>IFERROR(__xludf.DUMMYFUNCTION("GOOGLETRANSLATE(E954,""fr"",""it"")"),"Adoro i passeri, un tipo interessante di gatto.")</f>
        <v>Adoro i passeri, un tipo interessante di gatto.</v>
      </c>
    </row>
    <row r="955">
      <c r="A955" s="4">
        <v>953.0</v>
      </c>
      <c r="B955" s="5" t="s">
        <v>2866</v>
      </c>
      <c r="C955" s="4">
        <v>0.0</v>
      </c>
      <c r="D955" s="5" t="s">
        <v>2867</v>
      </c>
      <c r="E955" s="5" t="s">
        <v>2868</v>
      </c>
      <c r="F955" s="6" t="str">
        <f>IFERROR(__xludf.DUMMYFUNCTION("GOOGLETRANSLATE(D955,""en"",""it"")"),"Mi piacciono i gatti, un tipo interessante di passero.")</f>
        <v>Mi piacciono i gatti, un tipo interessante di passero.</v>
      </c>
      <c r="G955" s="6" t="str">
        <f>IFERROR(__xludf.DUMMYFUNCTION("GOOGLETRANSLATE(E955,""fr"",""it"")"),"Mi piacciono i gatti, un tipo interessante di passero.")</f>
        <v>Mi piacciono i gatti, un tipo interessante di passero.</v>
      </c>
    </row>
    <row r="956">
      <c r="A956" s="4">
        <v>954.0</v>
      </c>
      <c r="B956" s="5" t="s">
        <v>2869</v>
      </c>
      <c r="C956" s="4">
        <v>1.0</v>
      </c>
      <c r="D956" s="5" t="s">
        <v>2870</v>
      </c>
      <c r="E956" s="5" t="s">
        <v>2871</v>
      </c>
      <c r="F956" s="6" t="str">
        <f>IFERROR(__xludf.DUMMYFUNCTION("GOOGLETRANSLATE(D956,""en"",""it"")"),"Mi piacciono i passeri, un tipo interessante di uccello.")</f>
        <v>Mi piacciono i passeri, un tipo interessante di uccello.</v>
      </c>
      <c r="G956" s="6" t="str">
        <f>IFERROR(__xludf.DUMMYFUNCTION("GOOGLETRANSLATE(E956,""fr"",""it"")"),"Adoro i passeri, un tipo di uccello interessante.")</f>
        <v>Adoro i passeri, un tipo di uccello interessante.</v>
      </c>
    </row>
    <row r="957">
      <c r="A957" s="4">
        <v>955.0</v>
      </c>
      <c r="B957" s="5" t="s">
        <v>2872</v>
      </c>
      <c r="C957" s="4">
        <v>0.0</v>
      </c>
      <c r="D957" s="5" t="s">
        <v>2873</v>
      </c>
      <c r="E957" s="5" t="s">
        <v>2874</v>
      </c>
      <c r="F957" s="6" t="str">
        <f>IFERROR(__xludf.DUMMYFUNCTION("GOOGLETRANSLATE(D957,""en"",""it"")"),"Mi piacciono gli uccelli, un tipo interessante di passero.")</f>
        <v>Mi piacciono gli uccelli, un tipo interessante di passero.</v>
      </c>
      <c r="G957" s="6" t="str">
        <f>IFERROR(__xludf.DUMMYFUNCTION("GOOGLETRANSLATE(E957,""fr"",""it"")"),"Amo gli uccelli, un tipo interessante di passero.")</f>
        <v>Amo gli uccelli, un tipo interessante di passero.</v>
      </c>
    </row>
    <row r="958">
      <c r="A958" s="4">
        <v>956.0</v>
      </c>
      <c r="B958" s="5" t="s">
        <v>2875</v>
      </c>
      <c r="C958" s="4">
        <v>0.0</v>
      </c>
      <c r="D958" s="5" t="s">
        <v>2876</v>
      </c>
      <c r="E958" s="5" t="s">
        <v>2877</v>
      </c>
      <c r="F958" s="6" t="str">
        <f>IFERROR(__xludf.DUMMYFUNCTION("GOOGLETRANSLATE(D958,""en"",""it"")"),"Mi piacciono i passeri, un tipo interessante di criceto.")</f>
        <v>Mi piacciono i passeri, un tipo interessante di criceto.</v>
      </c>
      <c r="G958" s="6" t="str">
        <f>IFERROR(__xludf.DUMMYFUNCTION("GOOGLETRANSLATE(E958,""fr"",""it"")"),"Adoro i passeri, un tipo interessante di criceto.")</f>
        <v>Adoro i passeri, un tipo interessante di criceto.</v>
      </c>
    </row>
    <row r="959">
      <c r="A959" s="4">
        <v>957.0</v>
      </c>
      <c r="B959" s="5" t="s">
        <v>2878</v>
      </c>
      <c r="C959" s="4">
        <v>0.0</v>
      </c>
      <c r="D959" s="5" t="s">
        <v>2879</v>
      </c>
      <c r="E959" s="5" t="s">
        <v>2880</v>
      </c>
      <c r="F959" s="6" t="str">
        <f>IFERROR(__xludf.DUMMYFUNCTION("GOOGLETRANSLATE(D959,""en"",""it"")"),"Mi piacciono i criceti, un tipo interessante di passero.")</f>
        <v>Mi piacciono i criceti, un tipo interessante di passero.</v>
      </c>
      <c r="G959" s="6" t="str">
        <f>IFERROR(__xludf.DUMMYFUNCTION("GOOGLETRANSLATE(E959,""fr"",""it"")"),"Amo i criceti, un tipo interessante di passero.")</f>
        <v>Amo i criceti, un tipo interessante di passero.</v>
      </c>
    </row>
    <row r="960">
      <c r="A960" s="4">
        <v>958.0</v>
      </c>
      <c r="B960" s="5" t="s">
        <v>2881</v>
      </c>
      <c r="C960" s="4">
        <v>0.0</v>
      </c>
      <c r="D960" s="5" t="s">
        <v>2882</v>
      </c>
      <c r="E960" s="5" t="s">
        <v>2883</v>
      </c>
      <c r="F960" s="6" t="str">
        <f>IFERROR(__xludf.DUMMYFUNCTION("GOOGLETRANSLATE(D960,""en"",""it"")"),"Mi piacciono i passeri, un tipo interessante di maiale.")</f>
        <v>Mi piacciono i passeri, un tipo interessante di maiale.</v>
      </c>
      <c r="G960" s="6" t="str">
        <f>IFERROR(__xludf.DUMMYFUNCTION("GOOGLETRANSLATE(E960,""fr"",""it"")"),"Amo i passeri, un ragazzo interessante di maiale.")</f>
        <v>Amo i passeri, un ragazzo interessante di maiale.</v>
      </c>
    </row>
    <row r="961">
      <c r="A961" s="4">
        <v>959.0</v>
      </c>
      <c r="B961" s="5" t="s">
        <v>2884</v>
      </c>
      <c r="C961" s="4">
        <v>0.0</v>
      </c>
      <c r="D961" s="5" t="s">
        <v>2885</v>
      </c>
      <c r="E961" s="5" t="s">
        <v>2886</v>
      </c>
      <c r="F961" s="6" t="str">
        <f>IFERROR(__xludf.DUMMYFUNCTION("GOOGLETRANSLATE(D961,""en"",""it"")"),"Mi piacciono i maiali, un tipo interessante di passero.")</f>
        <v>Mi piacciono i maiali, un tipo interessante di passero.</v>
      </c>
      <c r="G961" s="6" t="str">
        <f>IFERROR(__xludf.DUMMYFUNCTION("GOOGLETRANSLATE(E961,""fr"",""it"")"),"Amo i maiali, un tipo interessante di passero.")</f>
        <v>Amo i maiali, un tipo interessante di passero.</v>
      </c>
    </row>
    <row r="962">
      <c r="A962" s="4">
        <v>960.0</v>
      </c>
      <c r="B962" s="5" t="s">
        <v>2887</v>
      </c>
      <c r="C962" s="4">
        <v>0.0</v>
      </c>
      <c r="D962" s="5" t="s">
        <v>2888</v>
      </c>
      <c r="E962" s="5" t="s">
        <v>2889</v>
      </c>
      <c r="F962" s="6" t="str">
        <f>IFERROR(__xludf.DUMMYFUNCTION("GOOGLETRANSLATE(D962,""en"",""it"")"),"Mi piacciono i passeri, un tipo di cane interessante.")</f>
        <v>Mi piacciono i passeri, un tipo di cane interessante.</v>
      </c>
      <c r="G962" s="6" t="str">
        <f>IFERROR(__xludf.DUMMYFUNCTION("GOOGLETRANSLATE(E962,""fr"",""it"")"),"Adoro i passeri, un ragazzo interessante di cane.")</f>
        <v>Adoro i passeri, un ragazzo interessante di cane.</v>
      </c>
    </row>
    <row r="963">
      <c r="A963" s="4">
        <v>961.0</v>
      </c>
      <c r="B963" s="5" t="s">
        <v>2890</v>
      </c>
      <c r="C963" s="4">
        <v>0.0</v>
      </c>
      <c r="D963" s="5" t="s">
        <v>2891</v>
      </c>
      <c r="E963" s="5" t="s">
        <v>2892</v>
      </c>
      <c r="F963" s="6" t="str">
        <f>IFERROR(__xludf.DUMMYFUNCTION("GOOGLETRANSLATE(D963,""en"",""it"")"),"Mi piacciono i cani, un tipo interessante di passero.")</f>
        <v>Mi piacciono i cani, un tipo interessante di passero.</v>
      </c>
      <c r="G963" s="6" t="str">
        <f>IFERROR(__xludf.DUMMYFUNCTION("GOOGLETRANSLATE(E963,""fr"",""it"")"),"Amo i cani, un tipo interessante di passero.")</f>
        <v>Amo i cani, un tipo interessante di passero.</v>
      </c>
    </row>
    <row r="964">
      <c r="A964" s="4">
        <v>962.0</v>
      </c>
      <c r="B964" s="5" t="s">
        <v>2893</v>
      </c>
      <c r="C964" s="4">
        <v>1.0</v>
      </c>
      <c r="D964" s="5" t="s">
        <v>2894</v>
      </c>
      <c r="E964" s="5" t="s">
        <v>2895</v>
      </c>
      <c r="F964" s="6" t="str">
        <f>IFERROR(__xludf.DUMMYFUNCTION("GOOGLETRANSLATE(D964,""en"",""it"")"),"Mi piacciono gli uccelli, tranne le anatre.")</f>
        <v>Mi piacciono gli uccelli, tranne le anatre.</v>
      </c>
      <c r="G964" s="6" t="str">
        <f>IFERROR(__xludf.DUMMYFUNCTION("GOOGLETRANSLATE(E964,""fr"",""it"")"),"Mi piacciono gli uccelli, tranne le anatre.")</f>
        <v>Mi piacciono gli uccelli, tranne le anatre.</v>
      </c>
    </row>
    <row r="965">
      <c r="A965" s="4">
        <v>963.0</v>
      </c>
      <c r="B965" s="5" t="s">
        <v>2896</v>
      </c>
      <c r="C965" s="4">
        <v>0.0</v>
      </c>
      <c r="D965" s="5" t="s">
        <v>2897</v>
      </c>
      <c r="E965" s="5" t="s">
        <v>2898</v>
      </c>
      <c r="F965" s="6" t="str">
        <f>IFERROR(__xludf.DUMMYFUNCTION("GOOGLETRANSLATE(D965,""en"",""it"")"),"Mi piacciono le anatre, tranne i criceti.")</f>
        <v>Mi piacciono le anatre, tranne i criceti.</v>
      </c>
      <c r="G965" s="6" t="str">
        <f>IFERROR(__xludf.DUMMYFUNCTION("GOOGLETRANSLATE(E965,""fr"",""it"")"),"Mi piacciono le anatre, tranne i criceti.")</f>
        <v>Mi piacciono le anatre, tranne i criceti.</v>
      </c>
    </row>
    <row r="966">
      <c r="A966" s="4">
        <v>964.0</v>
      </c>
      <c r="B966" s="5" t="s">
        <v>2899</v>
      </c>
      <c r="C966" s="4">
        <v>0.0</v>
      </c>
      <c r="D966" s="5" t="s">
        <v>2900</v>
      </c>
      <c r="E966" s="5" t="s">
        <v>2901</v>
      </c>
      <c r="F966" s="6" t="str">
        <f>IFERROR(__xludf.DUMMYFUNCTION("GOOGLETRANSLATE(D966,""en"",""it"")"),"Mi piacciono i criceti, tranne le anatre.")</f>
        <v>Mi piacciono i criceti, tranne le anatre.</v>
      </c>
      <c r="G966" s="6" t="str">
        <f>IFERROR(__xludf.DUMMYFUNCTION("GOOGLETRANSLATE(E966,""fr"",""it"")"),"Mi piacciono i criceti, tranne le anatre.")</f>
        <v>Mi piacciono i criceti, tranne le anatre.</v>
      </c>
    </row>
    <row r="967">
      <c r="A967" s="4">
        <v>965.0</v>
      </c>
      <c r="B967" s="5" t="s">
        <v>2902</v>
      </c>
      <c r="C967" s="4">
        <v>0.0</v>
      </c>
      <c r="D967" s="5" t="s">
        <v>2903</v>
      </c>
      <c r="E967" s="5" t="s">
        <v>2904</v>
      </c>
      <c r="F967" s="6" t="str">
        <f>IFERROR(__xludf.DUMMYFUNCTION("GOOGLETRANSLATE(D967,""en"",""it"")"),"Mi piace Harley-Davidson, un tipo di nave interessante.")</f>
        <v>Mi piace Harley-Davidson, un tipo di nave interessante.</v>
      </c>
      <c r="G967" s="6" t="str">
        <f>IFERROR(__xludf.DUMMYFUNCTION("GOOGLETRANSLATE(E967,""fr"",""it"")"),"Mi piace l'Harley-Davidson, un tipo interessante di Navish.")</f>
        <v>Mi piace l'Harley-Davidson, un tipo interessante di Navish.</v>
      </c>
    </row>
    <row r="968">
      <c r="A968" s="4">
        <v>966.0</v>
      </c>
      <c r="B968" s="5" t="s">
        <v>2905</v>
      </c>
      <c r="C968" s="4">
        <v>0.0</v>
      </c>
      <c r="D968" s="5" t="s">
        <v>2906</v>
      </c>
      <c r="E968" s="5" t="s">
        <v>2907</v>
      </c>
      <c r="F968" s="6" t="str">
        <f>IFERROR(__xludf.DUMMYFUNCTION("GOOGLETRANSLATE(D968,""en"",""it"")"),"Mi piacciono le navi, un tipo interessante di Harley-Davidson.")</f>
        <v>Mi piacciono le navi, un tipo interessante di Harley-Davidson.</v>
      </c>
      <c r="G968" s="6" t="str">
        <f>IFERROR(__xludf.DUMMYFUNCTION("GOOGLETRANSLATE(E968,""fr"",""it"")"),"Mi piacciono le navi, un tipo interessante di Harley-Davidson.")</f>
        <v>Mi piacciono le navi, un tipo interessante di Harley-Davidson.</v>
      </c>
    </row>
    <row r="969">
      <c r="A969" s="4">
        <v>967.0</v>
      </c>
      <c r="B969" s="5" t="s">
        <v>2908</v>
      </c>
      <c r="C969" s="4">
        <v>1.0</v>
      </c>
      <c r="D969" s="5" t="s">
        <v>2909</v>
      </c>
      <c r="E969" s="5" t="s">
        <v>2910</v>
      </c>
      <c r="F969" s="6" t="str">
        <f>IFERROR(__xludf.DUMMYFUNCTION("GOOGLETRANSLATE(D969,""en"",""it"")"),"Mi piace Harley-Davidson, un tipo interessante di motocicletta.")</f>
        <v>Mi piace Harley-Davidson, un tipo interessante di motocicletta.</v>
      </c>
      <c r="G969" s="6" t="str">
        <f>IFERROR(__xludf.DUMMYFUNCTION("GOOGLETRANSLATE(E969,""fr"",""it"")"),"Mi piace l'Harley-Davidson, un tipo interessante di motocicletta.")</f>
        <v>Mi piace l'Harley-Davidson, un tipo interessante di motocicletta.</v>
      </c>
    </row>
    <row r="970">
      <c r="A970" s="4">
        <v>968.0</v>
      </c>
      <c r="B970" s="5" t="s">
        <v>2911</v>
      </c>
      <c r="C970" s="4">
        <v>0.0</v>
      </c>
      <c r="D970" s="5" t="s">
        <v>2912</v>
      </c>
      <c r="E970" s="5" t="s">
        <v>2913</v>
      </c>
      <c r="F970" s="6" t="str">
        <f>IFERROR(__xludf.DUMMYFUNCTION("GOOGLETRANSLATE(D970,""en"",""it"")"),"Mi piacciono i motocicli, un tipo interessante di Harley-Davidson.")</f>
        <v>Mi piacciono i motocicli, un tipo interessante di Harley-Davidson.</v>
      </c>
      <c r="G970" s="6" t="str">
        <f>IFERROR(__xludf.DUMMYFUNCTION("GOOGLETRANSLATE(E970,""fr"",""it"")"),"Adoro le motociclette, un tipo interessante di Harley-Davidson.")</f>
        <v>Adoro le motociclette, un tipo interessante di Harley-Davidson.</v>
      </c>
    </row>
    <row r="971">
      <c r="A971" s="4">
        <v>969.0</v>
      </c>
      <c r="B971" s="5" t="s">
        <v>2914</v>
      </c>
      <c r="C971" s="4">
        <v>0.0</v>
      </c>
      <c r="D971" s="5" t="s">
        <v>2915</v>
      </c>
      <c r="E971" s="5" t="s">
        <v>2916</v>
      </c>
      <c r="F971" s="6" t="str">
        <f>IFERROR(__xludf.DUMMYFUNCTION("GOOGLETRANSLATE(D971,""en"",""it"")"),"Mi piacciono le motociclette, un tipo di nave interessante.")</f>
        <v>Mi piacciono le motociclette, un tipo di nave interessante.</v>
      </c>
      <c r="G971" s="6" t="str">
        <f>IFERROR(__xludf.DUMMYFUNCTION("GOOGLETRANSLATE(E971,""fr"",""it"")"),"Adoro le motociclette, un tipo interessante di lancia.")</f>
        <v>Adoro le motociclette, un tipo interessante di lancia.</v>
      </c>
    </row>
    <row r="972">
      <c r="A972" s="4">
        <v>970.0</v>
      </c>
      <c r="B972" s="5" t="s">
        <v>2917</v>
      </c>
      <c r="C972" s="4">
        <v>0.0</v>
      </c>
      <c r="D972" s="5" t="s">
        <v>2918</v>
      </c>
      <c r="E972" s="5" t="s">
        <v>2919</v>
      </c>
      <c r="F972" s="6" t="str">
        <f>IFERROR(__xludf.DUMMYFUNCTION("GOOGLETRANSLATE(D972,""en"",""it"")"),"Mi piace Harley-Davidson, un tipo interessante di bicicletta.")</f>
        <v>Mi piace Harley-Davidson, un tipo interessante di bicicletta.</v>
      </c>
      <c r="G972" s="6" t="str">
        <f>IFERROR(__xludf.DUMMYFUNCTION("GOOGLETRANSLATE(E972,""fr"",""it"")"),"Mi piace l'Harley-Davidson, un tipo interessante di bici.")</f>
        <v>Mi piace l'Harley-Davidson, un tipo interessante di bici.</v>
      </c>
    </row>
    <row r="973">
      <c r="A973" s="4">
        <v>971.0</v>
      </c>
      <c r="B973" s="5" t="s">
        <v>2920</v>
      </c>
      <c r="C973" s="4">
        <v>0.0</v>
      </c>
      <c r="D973" s="5" t="s">
        <v>2921</v>
      </c>
      <c r="E973" s="5" t="s">
        <v>2922</v>
      </c>
      <c r="F973" s="6" t="str">
        <f>IFERROR(__xludf.DUMMYFUNCTION("GOOGLETRANSLATE(D973,""en"",""it"")"),"Mi piacciono le biciclette, un tipo interessante di Harley-Davidson.")</f>
        <v>Mi piacciono le biciclette, un tipo interessante di Harley-Davidson.</v>
      </c>
      <c r="G973" s="6" t="str">
        <f>IFERROR(__xludf.DUMMYFUNCTION("GOOGLETRANSLATE(E973,""fr"",""it"")"),"Adoro le biciclette, un tipo interessante di Harley-Davidson.")</f>
        <v>Adoro le biciclette, un tipo interessante di Harley-Davidson.</v>
      </c>
    </row>
    <row r="974">
      <c r="A974" s="4">
        <v>972.0</v>
      </c>
      <c r="B974" s="5" t="s">
        <v>2923</v>
      </c>
      <c r="C974" s="4">
        <v>0.0</v>
      </c>
      <c r="D974" s="5" t="s">
        <v>2924</v>
      </c>
      <c r="E974" s="5" t="s">
        <v>2925</v>
      </c>
      <c r="F974" s="6" t="str">
        <f>IFERROR(__xludf.DUMMYFUNCTION("GOOGLETRANSLATE(D974,""en"",""it"")"),"Mi piacciono i motocicli, un tipo di bicicletta interessante.")</f>
        <v>Mi piacciono i motocicli, un tipo di bicicletta interessante.</v>
      </c>
      <c r="G974" s="6" t="str">
        <f>IFERROR(__xludf.DUMMYFUNCTION("GOOGLETRANSLATE(E974,""fr"",""it"")"),"Adoro le motociclette, un tipo interessante di bici.")</f>
        <v>Adoro le motociclette, un tipo interessante di bici.</v>
      </c>
    </row>
    <row r="975">
      <c r="A975" s="4">
        <v>973.0</v>
      </c>
      <c r="B975" s="5" t="s">
        <v>2926</v>
      </c>
      <c r="C975" s="4">
        <v>0.0</v>
      </c>
      <c r="D975" s="5" t="s">
        <v>2927</v>
      </c>
      <c r="E975" s="5" t="s">
        <v>2928</v>
      </c>
      <c r="F975" s="6" t="str">
        <f>IFERROR(__xludf.DUMMYFUNCTION("GOOGLETRANSLATE(D975,""en"",""it"")"),"Mi piace Harley-Davidson, un tipo interessante di treno.")</f>
        <v>Mi piace Harley-Davidson, un tipo interessante di treno.</v>
      </c>
      <c r="G975" s="6" t="str">
        <f>IFERROR(__xludf.DUMMYFUNCTION("GOOGLETRANSLATE(E975,""fr"",""it"")"),"Mi piace l'Harley-Davidson, un tipo di treno interessante.")</f>
        <v>Mi piace l'Harley-Davidson, un tipo di treno interessante.</v>
      </c>
    </row>
    <row r="976">
      <c r="A976" s="4">
        <v>974.0</v>
      </c>
      <c r="B976" s="5" t="s">
        <v>2929</v>
      </c>
      <c r="C976" s="4">
        <v>0.0</v>
      </c>
      <c r="D976" s="5" t="s">
        <v>2930</v>
      </c>
      <c r="E976" s="5" t="s">
        <v>2931</v>
      </c>
      <c r="F976" s="6" t="str">
        <f>IFERROR(__xludf.DUMMYFUNCTION("GOOGLETRANSLATE(D976,""en"",""it"")"),"Mi piacciono i treni, un tipo interessante di Harley-Davidson.")</f>
        <v>Mi piacciono i treni, un tipo interessante di Harley-Davidson.</v>
      </c>
      <c r="G976" s="6" t="str">
        <f>IFERROR(__xludf.DUMMYFUNCTION("GOOGLETRANSLATE(E976,""fr"",""it"")"),"Mi piacciono i treni, un tipo interessante di Harley-Davidson.")</f>
        <v>Mi piacciono i treni, un tipo interessante di Harley-Davidson.</v>
      </c>
    </row>
    <row r="977">
      <c r="A977" s="4">
        <v>975.0</v>
      </c>
      <c r="B977" s="5" t="s">
        <v>2932</v>
      </c>
      <c r="C977" s="4">
        <v>0.0</v>
      </c>
      <c r="D977" s="5" t="s">
        <v>2933</v>
      </c>
      <c r="E977" s="5" t="s">
        <v>2934</v>
      </c>
      <c r="F977" s="6" t="str">
        <f>IFERROR(__xludf.DUMMYFUNCTION("GOOGLETRANSLATE(D977,""en"",""it"")"),"Mi piacciono i motocicli, un interessante tipo di treno.")</f>
        <v>Mi piacciono i motocicli, un interessante tipo di treno.</v>
      </c>
      <c r="G977" s="6" t="str">
        <f>IFERROR(__xludf.DUMMYFUNCTION("GOOGLETRANSLATE(E977,""fr"",""it"")"),"Amo i motocicli, un interessante tipo di treno.")</f>
        <v>Amo i motocicli, un interessante tipo di treno.</v>
      </c>
    </row>
    <row r="978">
      <c r="A978" s="4">
        <v>976.0</v>
      </c>
      <c r="B978" s="5" t="s">
        <v>2935</v>
      </c>
      <c r="C978" s="4">
        <v>0.0</v>
      </c>
      <c r="D978" s="5" t="s">
        <v>2936</v>
      </c>
      <c r="E978" s="5" t="s">
        <v>2937</v>
      </c>
      <c r="F978" s="6" t="str">
        <f>IFERROR(__xludf.DUMMYFUNCTION("GOOGLETRANSLATE(D978,""en"",""it"")"),"Mi piace Harley-Davidson, un tipo di aeroplano interessante.")</f>
        <v>Mi piace Harley-Davidson, un tipo di aeroplano interessante.</v>
      </c>
      <c r="G978" s="6" t="str">
        <f>IFERROR(__xludf.DUMMYFUNCTION("GOOGLETRANSLATE(E978,""fr"",""it"")"),"Mi piace l'Harley-Davidson, un tipo interessante di aereo.")</f>
        <v>Mi piace l'Harley-Davidson, un tipo interessante di aereo.</v>
      </c>
    </row>
    <row r="979">
      <c r="A979" s="4">
        <v>977.0</v>
      </c>
      <c r="B979" s="5" t="s">
        <v>2938</v>
      </c>
      <c r="C979" s="4">
        <v>0.0</v>
      </c>
      <c r="D979" s="5" t="s">
        <v>2939</v>
      </c>
      <c r="E979" s="5" t="s">
        <v>2940</v>
      </c>
      <c r="F979" s="6" t="str">
        <f>IFERROR(__xludf.DUMMYFUNCTION("GOOGLETRANSLATE(D979,""en"",""it"")"),"Mi piacciono gli aerei, un tipo interessante di Harley-Davidson.")</f>
        <v>Mi piacciono gli aerei, un tipo interessante di Harley-Davidson.</v>
      </c>
      <c r="G979" s="6" t="str">
        <f>IFERROR(__xludf.DUMMYFUNCTION("GOOGLETRANSLATE(E979,""fr"",""it"")"),"Mi piacciono gli aerei, un tipo interessante di Harley-Davidson.")</f>
        <v>Mi piacciono gli aerei, un tipo interessante di Harley-Davidson.</v>
      </c>
    </row>
    <row r="980">
      <c r="A980" s="4">
        <v>978.0</v>
      </c>
      <c r="B980" s="5" t="s">
        <v>2941</v>
      </c>
      <c r="C980" s="4">
        <v>0.0</v>
      </c>
      <c r="D980" s="5" t="s">
        <v>2942</v>
      </c>
      <c r="E980" s="5" t="s">
        <v>2943</v>
      </c>
      <c r="F980" s="6" t="str">
        <f>IFERROR(__xludf.DUMMYFUNCTION("GOOGLETRANSLATE(D980,""en"",""it"")"),"Mi piacciono i motocicli, un tipo interessante di aeroplano.")</f>
        <v>Mi piacciono i motocicli, un tipo interessante di aeroplano.</v>
      </c>
      <c r="G980" s="6" t="str">
        <f>IFERROR(__xludf.DUMMYFUNCTION("GOOGLETRANSLATE(E980,""fr"",""it"")"),"Adoro le motociclette, un tipo interessante di aereo.")</f>
        <v>Adoro le motociclette, un tipo interessante di aereo.</v>
      </c>
    </row>
    <row r="981">
      <c r="A981" s="4">
        <v>979.0</v>
      </c>
      <c r="B981" s="5" t="s">
        <v>2944</v>
      </c>
      <c r="C981" s="4">
        <v>0.0</v>
      </c>
      <c r="D981" s="5" t="s">
        <v>2945</v>
      </c>
      <c r="E981" s="5" t="s">
        <v>2946</v>
      </c>
      <c r="F981" s="6" t="str">
        <f>IFERROR(__xludf.DUMMYFUNCTION("GOOGLETRANSLATE(D981,""en"",""it"")"),"Mi piace Suzukis, un tipo di nave interessante.")</f>
        <v>Mi piace Suzukis, un tipo di nave interessante.</v>
      </c>
      <c r="G981" s="6" t="str">
        <f>IFERROR(__xludf.DUMMYFUNCTION("GOOGLETRANSLATE(E981,""fr"",""it"")"),"Amo Suzukis, un tipo interessante di lancia.")</f>
        <v>Amo Suzukis, un tipo interessante di lancia.</v>
      </c>
    </row>
    <row r="982">
      <c r="A982" s="4">
        <v>980.0</v>
      </c>
      <c r="B982" s="5" t="s">
        <v>2947</v>
      </c>
      <c r="C982" s="4">
        <v>0.0</v>
      </c>
      <c r="D982" s="5" t="s">
        <v>2948</v>
      </c>
      <c r="E982" s="5" t="s">
        <v>2949</v>
      </c>
      <c r="F982" s="6" t="str">
        <f>IFERROR(__xludf.DUMMYFUNCTION("GOOGLETRANSLATE(D982,""en"",""it"")"),"Mi piacciono le navi, un tipo interessante di Suzuki.")</f>
        <v>Mi piacciono le navi, un tipo interessante di Suzuki.</v>
      </c>
      <c r="G982" s="6" t="str">
        <f>IFERROR(__xludf.DUMMYFUNCTION("GOOGLETRANSLATE(E982,""fr"",""it"")"),"Mi piacciono le navi, un tipo interessante di Suzuki.")</f>
        <v>Mi piacciono le navi, un tipo interessante di Suzuki.</v>
      </c>
    </row>
    <row r="983">
      <c r="A983" s="4">
        <v>981.0</v>
      </c>
      <c r="B983" s="5" t="s">
        <v>2950</v>
      </c>
      <c r="C983" s="4">
        <v>1.0</v>
      </c>
      <c r="D983" s="5" t="s">
        <v>2951</v>
      </c>
      <c r="E983" s="5" t="s">
        <v>2952</v>
      </c>
      <c r="F983" s="6" t="str">
        <f>IFERROR(__xludf.DUMMYFUNCTION("GOOGLETRANSLATE(D983,""en"",""it"")"),"Mi piace Suzukis, un tipo interessante di motocicletta.")</f>
        <v>Mi piace Suzukis, un tipo interessante di motocicletta.</v>
      </c>
      <c r="G983" s="6" t="str">
        <f>IFERROR(__xludf.DUMMYFUNCTION("GOOGLETRANSLATE(E983,""fr"",""it"")"),"Mi piace Suzukis, un tipo interessante di motocicletta.")</f>
        <v>Mi piace Suzukis, un tipo interessante di motocicletta.</v>
      </c>
    </row>
    <row r="984">
      <c r="A984" s="4">
        <v>982.0</v>
      </c>
      <c r="B984" s="5" t="s">
        <v>2953</v>
      </c>
      <c r="C984" s="4">
        <v>0.0</v>
      </c>
      <c r="D984" s="5" t="s">
        <v>2954</v>
      </c>
      <c r="E984" s="5" t="s">
        <v>2955</v>
      </c>
      <c r="F984" s="6" t="str">
        <f>IFERROR(__xludf.DUMMYFUNCTION("GOOGLETRANSLATE(D984,""en"",""it"")"),"Mi piacciono i motocicli, un tipo interessante di Suzuki.")</f>
        <v>Mi piacciono i motocicli, un tipo interessante di Suzuki.</v>
      </c>
      <c r="G984" s="6" t="str">
        <f>IFERROR(__xludf.DUMMYFUNCTION("GOOGLETRANSLATE(E984,""fr"",""it"")"),"Amo i motocicli, un tipo interessante di Suzuki.")</f>
        <v>Amo i motocicli, un tipo interessante di Suzuki.</v>
      </c>
    </row>
    <row r="985">
      <c r="A985" s="4">
        <v>983.0</v>
      </c>
      <c r="B985" s="5" t="s">
        <v>2956</v>
      </c>
      <c r="C985" s="4">
        <v>0.0</v>
      </c>
      <c r="D985" s="5" t="s">
        <v>2957</v>
      </c>
      <c r="E985" s="5" t="s">
        <v>2958</v>
      </c>
      <c r="F985" s="6" t="str">
        <f>IFERROR(__xludf.DUMMYFUNCTION("GOOGLETRANSLATE(D985,""en"",""it"")"),"Mi piace Suzukis, un tipo interessante di bicicletta.")</f>
        <v>Mi piace Suzukis, un tipo interessante di bicicletta.</v>
      </c>
      <c r="G985" s="6" t="str">
        <f>IFERROR(__xludf.DUMMYFUNCTION("GOOGLETRANSLATE(E985,""fr"",""it"")"),"Amo Suzukis, un tipo interessante di bici.")</f>
        <v>Amo Suzukis, un tipo interessante di bici.</v>
      </c>
    </row>
    <row r="986">
      <c r="A986" s="4">
        <v>984.0</v>
      </c>
      <c r="B986" s="5" t="s">
        <v>2959</v>
      </c>
      <c r="C986" s="4">
        <v>0.0</v>
      </c>
      <c r="D986" s="5" t="s">
        <v>2960</v>
      </c>
      <c r="E986" s="5" t="s">
        <v>2961</v>
      </c>
      <c r="F986" s="6" t="str">
        <f>IFERROR(__xludf.DUMMYFUNCTION("GOOGLETRANSLATE(D986,""en"",""it"")"),"Mi piacciono le biciclette, un tipo interessante di Suzuki.")</f>
        <v>Mi piacciono le biciclette, un tipo interessante di Suzuki.</v>
      </c>
      <c r="G986" s="6" t="str">
        <f>IFERROR(__xludf.DUMMYFUNCTION("GOOGLETRANSLATE(E986,""fr"",""it"")"),"Amo le biciclette, un ragazzo interessante di Suzuki.")</f>
        <v>Amo le biciclette, un ragazzo interessante di Suzuki.</v>
      </c>
    </row>
    <row r="987">
      <c r="A987" s="4">
        <v>985.0</v>
      </c>
      <c r="B987" s="5" t="s">
        <v>2962</v>
      </c>
      <c r="C987" s="4">
        <v>0.0</v>
      </c>
      <c r="D987" s="5" t="s">
        <v>2963</v>
      </c>
      <c r="E987" s="5" t="s">
        <v>2964</v>
      </c>
      <c r="F987" s="6" t="str">
        <f>IFERROR(__xludf.DUMMYFUNCTION("GOOGLETRANSLATE(D987,""en"",""it"")"),"Mi piace Suzukis, un tipo di treno interessante.")</f>
        <v>Mi piace Suzukis, un tipo di treno interessante.</v>
      </c>
      <c r="G987" s="6" t="str">
        <f>IFERROR(__xludf.DUMMYFUNCTION("GOOGLETRANSLATE(E987,""fr"",""it"")"),"Amo Suzukis, un interessante tipo di treno.")</f>
        <v>Amo Suzukis, un interessante tipo di treno.</v>
      </c>
    </row>
    <row r="988">
      <c r="A988" s="4">
        <v>986.0</v>
      </c>
      <c r="B988" s="5" t="s">
        <v>2965</v>
      </c>
      <c r="C988" s="4">
        <v>0.0</v>
      </c>
      <c r="D988" s="5" t="s">
        <v>2966</v>
      </c>
      <c r="E988" s="5" t="s">
        <v>2967</v>
      </c>
      <c r="F988" s="6" t="str">
        <f>IFERROR(__xludf.DUMMYFUNCTION("GOOGLETRANSLATE(D988,""en"",""it"")"),"Mi piacciono i treni, un tipo interessante di Suzuki.")</f>
        <v>Mi piacciono i treni, un tipo interessante di Suzuki.</v>
      </c>
      <c r="G988" s="6" t="str">
        <f>IFERROR(__xludf.DUMMYFUNCTION("GOOGLETRANSLATE(E988,""fr"",""it"")"),"Mi piacciono i treni, un ragazzo interessante di Suzuki.")</f>
        <v>Mi piacciono i treni, un ragazzo interessante di Suzuki.</v>
      </c>
    </row>
    <row r="989">
      <c r="A989" s="4">
        <v>987.0</v>
      </c>
      <c r="B989" s="5" t="s">
        <v>2968</v>
      </c>
      <c r="C989" s="4">
        <v>0.0</v>
      </c>
      <c r="D989" s="5" t="s">
        <v>2969</v>
      </c>
      <c r="E989" s="5" t="s">
        <v>2970</v>
      </c>
      <c r="F989" s="6" t="str">
        <f>IFERROR(__xludf.DUMMYFUNCTION("GOOGLETRANSLATE(D989,""en"",""it"")"),"Mi piace Suzukis, un tipo interessante di aeroplano.")</f>
        <v>Mi piace Suzukis, un tipo interessante di aeroplano.</v>
      </c>
      <c r="G989" s="6" t="str">
        <f>IFERROR(__xludf.DUMMYFUNCTION("GOOGLETRANSLATE(E989,""fr"",""it"")"),"Mi piace Suzukis, un tipo di aereo interessante.")</f>
        <v>Mi piace Suzukis, un tipo di aereo interessante.</v>
      </c>
    </row>
    <row r="990">
      <c r="A990" s="4">
        <v>988.0</v>
      </c>
      <c r="B990" s="5" t="s">
        <v>2971</v>
      </c>
      <c r="C990" s="4">
        <v>0.0</v>
      </c>
      <c r="D990" s="5" t="s">
        <v>2972</v>
      </c>
      <c r="E990" s="5" t="s">
        <v>2973</v>
      </c>
      <c r="F990" s="6" t="str">
        <f>IFERROR(__xludf.DUMMYFUNCTION("GOOGLETRANSLATE(D990,""en"",""it"")"),"Mi piacciono gli aerei, un tipo interessante di Suzuki.")</f>
        <v>Mi piacciono gli aerei, un tipo interessante di Suzuki.</v>
      </c>
      <c r="G990" s="6" t="str">
        <f>IFERROR(__xludf.DUMMYFUNCTION("GOOGLETRANSLATE(E990,""fr"",""it"")"),"Mi piacciono gli aerei, un tipo interessante di Suzuki.")</f>
        <v>Mi piacciono gli aerei, un tipo interessante di Suzuki.</v>
      </c>
    </row>
    <row r="991">
      <c r="A991" s="4">
        <v>989.0</v>
      </c>
      <c r="B991" s="5" t="s">
        <v>2974</v>
      </c>
      <c r="C991" s="4">
        <v>0.0</v>
      </c>
      <c r="D991" s="5" t="s">
        <v>2975</v>
      </c>
      <c r="E991" s="5" t="s">
        <v>2976</v>
      </c>
      <c r="F991" s="6" t="str">
        <f>IFERROR(__xludf.DUMMYFUNCTION("GOOGLETRANSLATE(D991,""en"",""it"")"),"Mi piacciono Enduros, un tipo di nave interessante.")</f>
        <v>Mi piacciono Enduros, un tipo di nave interessante.</v>
      </c>
      <c r="G991" s="6" t="str">
        <f>IFERROR(__xludf.DUMMYFUNCTION("GOOGLETRANSLATE(E991,""fr"",""it"")"),"Mi piacciono Enduros, un tipo interessante di Navaire.")</f>
        <v>Mi piacciono Enduros, un tipo interessante di Navaire.</v>
      </c>
    </row>
    <row r="992">
      <c r="A992" s="4">
        <v>990.0</v>
      </c>
      <c r="B992" s="5" t="s">
        <v>2977</v>
      </c>
      <c r="C992" s="4">
        <v>0.0</v>
      </c>
      <c r="D992" s="5" t="s">
        <v>2978</v>
      </c>
      <c r="E992" s="5" t="s">
        <v>2979</v>
      </c>
      <c r="F992" s="6" t="str">
        <f>IFERROR(__xludf.DUMMYFUNCTION("GOOGLETRANSLATE(D992,""en"",""it"")"),"Mi piacciono le navi, un tipo interessante di enduro.")</f>
        <v>Mi piacciono le navi, un tipo interessante di enduro.</v>
      </c>
      <c r="G992" s="6" t="str">
        <f>IFERROR(__xludf.DUMMYFUNCTION("GOOGLETRANSLATE(E992,""fr"",""it"")"),"Adoro le navi, un tipo interessante di enduro.")</f>
        <v>Adoro le navi, un tipo interessante di enduro.</v>
      </c>
    </row>
    <row r="993">
      <c r="A993" s="4">
        <v>991.0</v>
      </c>
      <c r="B993" s="5" t="s">
        <v>2980</v>
      </c>
      <c r="C993" s="4">
        <v>1.0</v>
      </c>
      <c r="D993" s="5" t="s">
        <v>2981</v>
      </c>
      <c r="E993" s="5" t="s">
        <v>2982</v>
      </c>
      <c r="F993" s="6" t="str">
        <f>IFERROR(__xludf.DUMMYFUNCTION("GOOGLETRANSLATE(D993,""en"",""it"")"),"Mi piacciono Enduros, un tipo interessante di motocicletta.")</f>
        <v>Mi piacciono Enduros, un tipo interessante di motocicletta.</v>
      </c>
      <c r="G993" s="6" t="str">
        <f>IFERROR(__xludf.DUMMYFUNCTION("GOOGLETRANSLATE(E993,""fr"",""it"")"),"Adoro Enduros, un tipo interessante di motocicletta.")</f>
        <v>Adoro Enduros, un tipo interessante di motocicletta.</v>
      </c>
    </row>
    <row r="994">
      <c r="A994" s="4">
        <v>992.0</v>
      </c>
      <c r="B994" s="5" t="s">
        <v>2983</v>
      </c>
      <c r="C994" s="4">
        <v>0.0</v>
      </c>
      <c r="D994" s="5" t="s">
        <v>2984</v>
      </c>
      <c r="E994" s="5" t="s">
        <v>2985</v>
      </c>
      <c r="F994" s="6" t="str">
        <f>IFERROR(__xludf.DUMMYFUNCTION("GOOGLETRANSLATE(D994,""en"",""it"")"),"Mi piacciono i motocicli, un tipo interessante di enduro.")</f>
        <v>Mi piacciono i motocicli, un tipo interessante di enduro.</v>
      </c>
      <c r="G994" s="6" t="str">
        <f>IFERROR(__xludf.DUMMYFUNCTION("GOOGLETRANSLATE(E994,""fr"",""it"")"),"Amo i motocicli, un tipo interessante di enduro.")</f>
        <v>Amo i motocicli, un tipo interessante di enduro.</v>
      </c>
    </row>
    <row r="995">
      <c r="A995" s="4">
        <v>993.0</v>
      </c>
      <c r="B995" s="5" t="s">
        <v>2986</v>
      </c>
      <c r="C995" s="4">
        <v>0.0</v>
      </c>
      <c r="D995" s="5" t="s">
        <v>2987</v>
      </c>
      <c r="E995" s="5" t="s">
        <v>2988</v>
      </c>
      <c r="F995" s="6" t="str">
        <f>IFERROR(__xludf.DUMMYFUNCTION("GOOGLETRANSLATE(D995,""en"",""it"")"),"Mi piacciono Enduros, un tipo interessante di bicicletta.")</f>
        <v>Mi piacciono Enduros, un tipo interessante di bicicletta.</v>
      </c>
      <c r="G995" s="6" t="str">
        <f>IFERROR(__xludf.DUMMYFUNCTION("GOOGLETRANSLATE(E995,""fr"",""it"")"),"Adoro Enduros, un tipo interessante di bici.")</f>
        <v>Adoro Enduros, un tipo interessante di bici.</v>
      </c>
    </row>
    <row r="996">
      <c r="A996" s="4">
        <v>994.0</v>
      </c>
      <c r="B996" s="5" t="s">
        <v>2989</v>
      </c>
      <c r="C996" s="4">
        <v>0.0</v>
      </c>
      <c r="D996" s="5" t="s">
        <v>2990</v>
      </c>
      <c r="E996" s="5" t="s">
        <v>2991</v>
      </c>
      <c r="F996" s="6" t="str">
        <f>IFERROR(__xludf.DUMMYFUNCTION("GOOGLETRANSLATE(D996,""en"",""it"")"),"Mi piacciono le biciclette, un tipo interessante di enduro.")</f>
        <v>Mi piacciono le biciclette, un tipo interessante di enduro.</v>
      </c>
      <c r="G996" s="6" t="str">
        <f>IFERROR(__xludf.DUMMYFUNCTION("GOOGLETRANSLATE(E996,""fr"",""it"")"),"Amo le biciclette, un tipo interessante di enduro.")</f>
        <v>Amo le biciclette, un tipo interessante di enduro.</v>
      </c>
    </row>
    <row r="997">
      <c r="A997" s="4">
        <v>995.0</v>
      </c>
      <c r="B997" s="5" t="s">
        <v>2992</v>
      </c>
      <c r="C997" s="4">
        <v>0.0</v>
      </c>
      <c r="D997" s="5" t="s">
        <v>2993</v>
      </c>
      <c r="E997" s="5" t="s">
        <v>2994</v>
      </c>
      <c r="F997" s="6" t="str">
        <f>IFERROR(__xludf.DUMMYFUNCTION("GOOGLETRANSLATE(D997,""en"",""it"")"),"Mi piacciono Enduros, un interessante tipo di treno.")</f>
        <v>Mi piacciono Enduros, un interessante tipo di treno.</v>
      </c>
      <c r="G997" s="6" t="str">
        <f>IFERROR(__xludf.DUMMYFUNCTION("GOOGLETRANSLATE(E997,""fr"",""it"")"),"Adoro Endurus, un interessante tipo di treno.")</f>
        <v>Adoro Endurus, un interessante tipo di treno.</v>
      </c>
    </row>
    <row r="998">
      <c r="A998" s="4">
        <v>996.0</v>
      </c>
      <c r="B998" s="5" t="s">
        <v>2995</v>
      </c>
      <c r="C998" s="4">
        <v>0.0</v>
      </c>
      <c r="D998" s="5" t="s">
        <v>2996</v>
      </c>
      <c r="E998" s="5" t="s">
        <v>2997</v>
      </c>
      <c r="F998" s="6" t="str">
        <f>IFERROR(__xludf.DUMMYFUNCTION("GOOGLETRANSLATE(D998,""en"",""it"")"),"Mi piacciono i treni, un tipo interessante di enduro.")</f>
        <v>Mi piacciono i treni, un tipo interessante di enduro.</v>
      </c>
      <c r="G998" s="6" t="str">
        <f>IFERROR(__xludf.DUMMYFUNCTION("GOOGLETRANSLATE(E998,""fr"",""it"")"),"Mi piacciono i treni, un tipo interessante di enduro.")</f>
        <v>Mi piacciono i treni, un tipo interessante di enduro.</v>
      </c>
    </row>
    <row r="999">
      <c r="A999" s="4">
        <v>997.0</v>
      </c>
      <c r="B999" s="5" t="s">
        <v>2998</v>
      </c>
      <c r="C999" s="4">
        <v>0.0</v>
      </c>
      <c r="D999" s="5" t="s">
        <v>2999</v>
      </c>
      <c r="E999" s="5" t="s">
        <v>3000</v>
      </c>
      <c r="F999" s="6" t="str">
        <f>IFERROR(__xludf.DUMMYFUNCTION("GOOGLETRANSLATE(D999,""en"",""it"")"),"Mi piacciono Enduros, un tipo interessante di aeroplano.")</f>
        <v>Mi piacciono Enduros, un tipo interessante di aeroplano.</v>
      </c>
      <c r="G999" s="6" t="str">
        <f>IFERROR(__xludf.DUMMYFUNCTION("GOOGLETRANSLATE(E999,""fr"",""it"")"),"Adoro Enduros, un tipo interessante di aereo.")</f>
        <v>Adoro Enduros, un tipo interessante di aereo.</v>
      </c>
    </row>
    <row r="1000">
      <c r="A1000" s="4">
        <v>998.0</v>
      </c>
      <c r="B1000" s="5" t="s">
        <v>3001</v>
      </c>
      <c r="C1000" s="4">
        <v>0.0</v>
      </c>
      <c r="D1000" s="5" t="s">
        <v>3002</v>
      </c>
      <c r="E1000" s="5" t="s">
        <v>3003</v>
      </c>
      <c r="F1000" s="6" t="str">
        <f>IFERROR(__xludf.DUMMYFUNCTION("GOOGLETRANSLATE(D1000,""en"",""it"")"),"Mi piacciono gli aerei, un tipo interessante di enduro.")</f>
        <v>Mi piacciono gli aerei, un tipo interessante di enduro.</v>
      </c>
      <c r="G1000" s="6" t="str">
        <f>IFERROR(__xludf.DUMMYFUNCTION("GOOGLETRANSLATE(E1000,""fr"",""it"")"),"Mi piacciono gli aerei, un tipo interessante di enduro.")</f>
        <v>Mi piacciono gli aerei, un tipo interessante di enduro.</v>
      </c>
    </row>
    <row r="1001">
      <c r="A1001" s="4">
        <v>999.0</v>
      </c>
      <c r="B1001" s="5" t="s">
        <v>3004</v>
      </c>
      <c r="C1001" s="4">
        <v>0.0</v>
      </c>
      <c r="D1001" s="5" t="s">
        <v>3005</v>
      </c>
      <c r="E1001" s="5" t="s">
        <v>3006</v>
      </c>
      <c r="F1001" s="6" t="str">
        <f>IFERROR(__xludf.DUMMYFUNCTION("GOOGLETRANSLATE(D1001,""en"",""it"")"),"Mi piace Kawasakis, un tipo interessante di nave.")</f>
        <v>Mi piace Kawasakis, un tipo interessante di nave.</v>
      </c>
      <c r="G1001" s="6" t="str">
        <f>IFERROR(__xludf.DUMMYFUNCTION("GOOGLETRANSLATE(E1001,""fr"",""it"")"),"Mi piace Kawasakis, un tipo interessante di Navish.")</f>
        <v>Mi piace Kawasakis, un tipo interessante di Navish.</v>
      </c>
    </row>
    <row r="1002">
      <c r="A1002" s="4">
        <v>1000.0</v>
      </c>
      <c r="B1002" s="5" t="s">
        <v>3007</v>
      </c>
      <c r="C1002" s="4">
        <v>0.0</v>
      </c>
      <c r="D1002" s="5" t="s">
        <v>3008</v>
      </c>
      <c r="E1002" s="5" t="s">
        <v>3009</v>
      </c>
      <c r="F1002" s="6" t="str">
        <f>IFERROR(__xludf.DUMMYFUNCTION("GOOGLETRANSLATE(D1002,""en"",""it"")"),"Mi piacciono le navi, un tipo interessante di Kawasaki.")</f>
        <v>Mi piacciono le navi, un tipo interessante di Kawasaki.</v>
      </c>
      <c r="G1002" s="6" t="str">
        <f>IFERROR(__xludf.DUMMYFUNCTION("GOOGLETRANSLATE(E1002,""fr"",""it"")"),"Mi piacciono le navi, un tipo interessante di Kawasaki.")</f>
        <v>Mi piacciono le navi, un tipo interessante di Kawasaki.</v>
      </c>
    </row>
    <row r="1003">
      <c r="A1003" s="4">
        <v>1001.0</v>
      </c>
      <c r="B1003" s="5" t="s">
        <v>3010</v>
      </c>
      <c r="C1003" s="4">
        <v>1.0</v>
      </c>
      <c r="D1003" s="5" t="s">
        <v>3011</v>
      </c>
      <c r="E1003" s="5" t="s">
        <v>3012</v>
      </c>
      <c r="F1003" s="6" t="str">
        <f>IFERROR(__xludf.DUMMYFUNCTION("GOOGLETRANSLATE(D1003,""en"",""it"")"),"Mi piace Kawasakis, un tipo interessante di motocicletta.")</f>
        <v>Mi piace Kawasakis, un tipo interessante di motocicletta.</v>
      </c>
      <c r="G1003" s="6" t="str">
        <f>IFERROR(__xludf.DUMMYFUNCTION("GOOGLETRANSLATE(E1003,""fr"",""it"")"),"Mi piace Kawasakis, un tipo interessante di motocicletta.")</f>
        <v>Mi piace Kawasakis, un tipo interessante di motocicletta.</v>
      </c>
    </row>
    <row r="1004">
      <c r="A1004" s="4">
        <v>1002.0</v>
      </c>
      <c r="B1004" s="5" t="s">
        <v>3013</v>
      </c>
      <c r="C1004" s="4">
        <v>0.0</v>
      </c>
      <c r="D1004" s="5" t="s">
        <v>3014</v>
      </c>
      <c r="E1004" s="5" t="s">
        <v>3015</v>
      </c>
      <c r="F1004" s="6" t="str">
        <f>IFERROR(__xludf.DUMMYFUNCTION("GOOGLETRANSLATE(D1004,""en"",""it"")"),"Mi piacciono le motociclette, un tipo interessante di kawasaki.")</f>
        <v>Mi piacciono le motociclette, un tipo interessante di kawasaki.</v>
      </c>
      <c r="G1004" s="6" t="str">
        <f>IFERROR(__xludf.DUMMYFUNCTION("GOOGLETRANSLATE(E1004,""fr"",""it"")"),"Amo i motocicli, un tipo interessante di Kawasaki.")</f>
        <v>Amo i motocicli, un tipo interessante di Kawasaki.</v>
      </c>
    </row>
    <row r="1005">
      <c r="A1005" s="4">
        <v>1003.0</v>
      </c>
      <c r="B1005" s="5" t="s">
        <v>3016</v>
      </c>
      <c r="C1005" s="4">
        <v>0.0</v>
      </c>
      <c r="D1005" s="5" t="s">
        <v>3017</v>
      </c>
      <c r="E1005" s="5" t="s">
        <v>3018</v>
      </c>
      <c r="F1005" s="6" t="str">
        <f>IFERROR(__xludf.DUMMYFUNCTION("GOOGLETRANSLATE(D1005,""en"",""it"")"),"Mi piace Kawasakis, un tipo interessante di bicicletta.")</f>
        <v>Mi piace Kawasakis, un tipo interessante di bicicletta.</v>
      </c>
      <c r="G1005" s="6" t="str">
        <f>IFERROR(__xludf.DUMMYFUNCTION("GOOGLETRANSLATE(E1005,""fr"",""it"")"),"Adoro Kawasakis, un interessante tipo di bici.")</f>
        <v>Adoro Kawasakis, un interessante tipo di bici.</v>
      </c>
    </row>
    <row r="1006">
      <c r="A1006" s="4">
        <v>1004.0</v>
      </c>
      <c r="B1006" s="5" t="s">
        <v>3019</v>
      </c>
      <c r="C1006" s="4">
        <v>0.0</v>
      </c>
      <c r="D1006" s="5" t="s">
        <v>3020</v>
      </c>
      <c r="E1006" s="5" t="s">
        <v>3021</v>
      </c>
      <c r="F1006" s="6" t="str">
        <f>IFERROR(__xludf.DUMMYFUNCTION("GOOGLETRANSLATE(D1006,""en"",""it"")"),"Mi piacciono le biciclette, un tipo interessante di Kawasaki.")</f>
        <v>Mi piacciono le biciclette, un tipo interessante di Kawasaki.</v>
      </c>
      <c r="G1006" s="6" t="str">
        <f>IFERROR(__xludf.DUMMYFUNCTION("GOOGLETRANSLATE(E1006,""fr"",""it"")"),"Amo le biciclette, un tipo interessante di Kawasaki.")</f>
        <v>Amo le biciclette, un tipo interessante di Kawasaki.</v>
      </c>
    </row>
    <row r="1007">
      <c r="A1007" s="4">
        <v>1005.0</v>
      </c>
      <c r="B1007" s="5" t="s">
        <v>3022</v>
      </c>
      <c r="C1007" s="4">
        <v>0.0</v>
      </c>
      <c r="D1007" s="5" t="s">
        <v>3023</v>
      </c>
      <c r="E1007" s="5" t="s">
        <v>3024</v>
      </c>
      <c r="F1007" s="6" t="str">
        <f>IFERROR(__xludf.DUMMYFUNCTION("GOOGLETRANSLATE(D1007,""en"",""it"")"),"Mi piace Kawasakis, un tipo di treno interessante.")</f>
        <v>Mi piace Kawasakis, un tipo di treno interessante.</v>
      </c>
      <c r="G1007" s="6" t="str">
        <f>IFERROR(__xludf.DUMMYFUNCTION("GOOGLETRANSLATE(E1007,""fr"",""it"")"),"Mi piace Kawasakis, un tipo di treno interessante.")</f>
        <v>Mi piace Kawasakis, un tipo di treno interessante.</v>
      </c>
    </row>
    <row r="1008">
      <c r="A1008" s="4">
        <v>1006.0</v>
      </c>
      <c r="B1008" s="5" t="s">
        <v>3025</v>
      </c>
      <c r="C1008" s="4">
        <v>0.0</v>
      </c>
      <c r="D1008" s="5" t="s">
        <v>3026</v>
      </c>
      <c r="E1008" s="5" t="s">
        <v>3027</v>
      </c>
      <c r="F1008" s="6" t="str">
        <f>IFERROR(__xludf.DUMMYFUNCTION("GOOGLETRANSLATE(D1008,""en"",""it"")"),"Mi piacciono i treni, un tipo interessante di Kawasaki.")</f>
        <v>Mi piacciono i treni, un tipo interessante di Kawasaki.</v>
      </c>
      <c r="G1008" s="6" t="str">
        <f>IFERROR(__xludf.DUMMYFUNCTION("GOOGLETRANSLATE(E1008,""fr"",""it"")"),"Mi piacciono i treni, un tipo interessante di Kawasaki.")</f>
        <v>Mi piacciono i treni, un tipo interessante di Kawasaki.</v>
      </c>
    </row>
    <row r="1009">
      <c r="A1009" s="4">
        <v>1007.0</v>
      </c>
      <c r="B1009" s="5" t="s">
        <v>3028</v>
      </c>
      <c r="C1009" s="4">
        <v>0.0</v>
      </c>
      <c r="D1009" s="5" t="s">
        <v>3029</v>
      </c>
      <c r="E1009" s="5" t="s">
        <v>3030</v>
      </c>
      <c r="F1009" s="6" t="str">
        <f>IFERROR(__xludf.DUMMYFUNCTION("GOOGLETRANSLATE(D1009,""en"",""it"")"),"Mi piace Kawasakis, un tipo interessante di aeroplano.")</f>
        <v>Mi piace Kawasakis, un tipo interessante di aeroplano.</v>
      </c>
      <c r="G1009" s="6" t="str">
        <f>IFERROR(__xludf.DUMMYFUNCTION("GOOGLETRANSLATE(E1009,""fr"",""it"")"),"Amo Kawasakis, un tipo di aereo interessante.")</f>
        <v>Amo Kawasakis, un tipo di aereo interessante.</v>
      </c>
    </row>
    <row r="1010">
      <c r="A1010" s="4">
        <v>1008.0</v>
      </c>
      <c r="B1010" s="5" t="s">
        <v>3031</v>
      </c>
      <c r="C1010" s="4">
        <v>0.0</v>
      </c>
      <c r="D1010" s="5" t="s">
        <v>3032</v>
      </c>
      <c r="E1010" s="5" t="s">
        <v>3033</v>
      </c>
      <c r="F1010" s="6" t="str">
        <f>IFERROR(__xludf.DUMMYFUNCTION("GOOGLETRANSLATE(D1010,""en"",""it"")"),"Mi piacciono gli aerei, un tipo interessante di Kawasaki.")</f>
        <v>Mi piacciono gli aerei, un tipo interessante di Kawasaki.</v>
      </c>
      <c r="G1010" s="6" t="str">
        <f>IFERROR(__xludf.DUMMYFUNCTION("GOOGLETRANSLATE(E1010,""fr"",""it"")"),"Mi piacciono gli aerei, un tipo interessante di Kawasaki.")</f>
        <v>Mi piacciono gli aerei, un tipo interessante di Kawasaki.</v>
      </c>
    </row>
    <row r="1011">
      <c r="A1011" s="4">
        <v>1009.0</v>
      </c>
      <c r="B1011" s="5" t="s">
        <v>3034</v>
      </c>
      <c r="C1011" s="4">
        <v>0.0</v>
      </c>
      <c r="D1011" s="5" t="s">
        <v>3035</v>
      </c>
      <c r="E1011" s="5" t="s">
        <v>3036</v>
      </c>
      <c r="F1011" s="6" t="str">
        <f>IFERROR(__xludf.DUMMYFUNCTION("GOOGLETRANSLATE(D1011,""en"",""it"")"),"Mi piacciono i cani, tranne i conigli.")</f>
        <v>Mi piacciono i cani, tranne i conigli.</v>
      </c>
      <c r="G1011" s="6" t="str">
        <f>IFERROR(__xludf.DUMMYFUNCTION("GOOGLETRANSLATE(E1011,""fr"",""it"")"),"Mi piacciono i cani, tranne i conigli.")</f>
        <v>Mi piacciono i cani, tranne i conigli.</v>
      </c>
    </row>
    <row r="1012">
      <c r="A1012" s="4">
        <v>1010.0</v>
      </c>
      <c r="B1012" s="5" t="s">
        <v>3037</v>
      </c>
      <c r="C1012" s="4">
        <v>0.0</v>
      </c>
      <c r="D1012" s="5" t="s">
        <v>3038</v>
      </c>
      <c r="E1012" s="5" t="s">
        <v>3039</v>
      </c>
      <c r="F1012" s="6" t="str">
        <f>IFERROR(__xludf.DUMMYFUNCTION("GOOGLETRANSLATE(D1012,""en"",""it"")"),"Mi piacciono le camicie, un tipo interessante di animale domestico.")</f>
        <v>Mi piacciono le camicie, un tipo interessante di animale domestico.</v>
      </c>
      <c r="G1012" s="6" t="str">
        <f>IFERROR(__xludf.DUMMYFUNCTION("GOOGLETRANSLATE(E1012,""fr"",""it"")"),"Mi piacciono le camicie, un tipo interessante di animale domestico.")</f>
        <v>Mi piacciono le camicie, un tipo interessante di animale domestico.</v>
      </c>
    </row>
    <row r="1013">
      <c r="A1013" s="4">
        <v>1011.0</v>
      </c>
      <c r="B1013" s="5" t="s">
        <v>3040</v>
      </c>
      <c r="C1013" s="4">
        <v>0.0</v>
      </c>
      <c r="D1013" s="5" t="s">
        <v>3041</v>
      </c>
      <c r="E1013" s="5" t="s">
        <v>3042</v>
      </c>
      <c r="F1013" s="6" t="str">
        <f>IFERROR(__xludf.DUMMYFUNCTION("GOOGLETRANSLATE(D1013,""en"",""it"")"),"Mi piacciono gli animali domestici, un tipo interessante di camicia.")</f>
        <v>Mi piacciono gli animali domestici, un tipo interessante di camicia.</v>
      </c>
      <c r="G1013" s="6" t="str">
        <f>IFERROR(__xludf.DUMMYFUNCTION("GOOGLETRANSLATE(E1013,""fr"",""it"")"),"Amo gli animali domestici, un tipo interessante di camicia.")</f>
        <v>Amo gli animali domestici, un tipo interessante di camicia.</v>
      </c>
    </row>
    <row r="1014">
      <c r="A1014" s="4">
        <v>1012.0</v>
      </c>
      <c r="B1014" s="5" t="s">
        <v>3043</v>
      </c>
      <c r="C1014" s="4">
        <v>1.0</v>
      </c>
      <c r="D1014" s="5" t="s">
        <v>3044</v>
      </c>
      <c r="E1014" s="5" t="s">
        <v>3045</v>
      </c>
      <c r="F1014" s="6" t="str">
        <f>IFERROR(__xludf.DUMMYFUNCTION("GOOGLETRANSLATE(D1014,""en"",""it"")"),"Mi piacciono le camicie, un tipo interessante di vestiti.")</f>
        <v>Mi piacciono le camicie, un tipo interessante di vestiti.</v>
      </c>
      <c r="G1014" s="6" t="str">
        <f>IFERROR(__xludf.DUMMYFUNCTION("GOOGLETRANSLATE(E1014,""fr"",""it"")"),"Mi piacciono le camicie, un tipo interessante di vestiti.")</f>
        <v>Mi piacciono le camicie, un tipo interessante di vestiti.</v>
      </c>
    </row>
    <row r="1015">
      <c r="A1015" s="4">
        <v>1013.0</v>
      </c>
      <c r="B1015" s="5" t="s">
        <v>3046</v>
      </c>
      <c r="C1015" s="4">
        <v>0.0</v>
      </c>
      <c r="D1015" s="5" t="s">
        <v>3047</v>
      </c>
      <c r="E1015" s="5" t="s">
        <v>3048</v>
      </c>
      <c r="F1015" s="6" t="str">
        <f>IFERROR(__xludf.DUMMYFUNCTION("GOOGLETRANSLATE(D1015,""en"",""it"")"),"Mi piacciono i vestiti, un tipo interessante di camicia.")</f>
        <v>Mi piacciono i vestiti, un tipo interessante di camicia.</v>
      </c>
      <c r="G1015" s="6" t="str">
        <f>IFERROR(__xludf.DUMMYFUNCTION("GOOGLETRANSLATE(E1015,""fr"",""it"")"),"Mi piacciono i vestiti, un tipo interessante di camicia.")</f>
        <v>Mi piacciono i vestiti, un tipo interessante di camicia.</v>
      </c>
    </row>
    <row r="1016">
      <c r="A1016" s="4">
        <v>1014.0</v>
      </c>
      <c r="B1016" s="5" t="s">
        <v>3049</v>
      </c>
      <c r="C1016" s="4">
        <v>0.0</v>
      </c>
      <c r="D1016" s="5" t="s">
        <v>3050</v>
      </c>
      <c r="E1016" s="5" t="s">
        <v>3051</v>
      </c>
      <c r="F1016" s="6" t="str">
        <f>IFERROR(__xludf.DUMMYFUNCTION("GOOGLETRANSLATE(D1016,""en"",""it"")"),"Mi piacciono i vestiti, un tipo di animale domestico interessante.")</f>
        <v>Mi piacciono i vestiti, un tipo di animale domestico interessante.</v>
      </c>
      <c r="G1016" s="6" t="str">
        <f>IFERROR(__xludf.DUMMYFUNCTION("GOOGLETRANSLATE(E1016,""fr"",""it"")"),"Mi piacciono i vestiti, un tipo di animale domestico interessante.")</f>
        <v>Mi piacciono i vestiti, un tipo di animale domestico interessante.</v>
      </c>
    </row>
    <row r="1017">
      <c r="A1017" s="4">
        <v>1015.0</v>
      </c>
      <c r="B1017" s="5" t="s">
        <v>3052</v>
      </c>
      <c r="C1017" s="4">
        <v>0.0</v>
      </c>
      <c r="D1017" s="5" t="s">
        <v>3053</v>
      </c>
      <c r="E1017" s="5" t="s">
        <v>3054</v>
      </c>
      <c r="F1017" s="6" t="str">
        <f>IFERROR(__xludf.DUMMYFUNCTION("GOOGLETRANSLATE(D1017,""en"",""it"")"),"Mi piacciono le camicie, un tipo interessante di gioielli.")</f>
        <v>Mi piacciono le camicie, un tipo interessante di gioielli.</v>
      </c>
      <c r="G1017" s="6" t="str">
        <f>IFERROR(__xludf.DUMMYFUNCTION("GOOGLETRANSLATE(E1017,""fr"",""it"")"),"Mi piacciono le camicie, un tipo interessante di gioielli.")</f>
        <v>Mi piacciono le camicie, un tipo interessante di gioielli.</v>
      </c>
    </row>
    <row r="1018">
      <c r="A1018" s="4">
        <v>1016.0</v>
      </c>
      <c r="B1018" s="5" t="s">
        <v>3055</v>
      </c>
      <c r="C1018" s="4">
        <v>0.0</v>
      </c>
      <c r="D1018" s="5" t="s">
        <v>3056</v>
      </c>
      <c r="E1018" s="5" t="s">
        <v>3057</v>
      </c>
      <c r="F1018" s="6" t="str">
        <f>IFERROR(__xludf.DUMMYFUNCTION("GOOGLETRANSLATE(D1018,""en"",""it"")"),"Mi piacciono i gioielli, un tipo interessante di camicia.")</f>
        <v>Mi piacciono i gioielli, un tipo interessante di camicia.</v>
      </c>
      <c r="G1018" s="6" t="str">
        <f>IFERROR(__xludf.DUMMYFUNCTION("GOOGLETRANSLATE(E1018,""fr"",""it"")"),"Mi piacciono i gioielli, un tipo interessante di camicia.")</f>
        <v>Mi piacciono i gioielli, un tipo interessante di camicia.</v>
      </c>
    </row>
    <row r="1019">
      <c r="A1019" s="4">
        <v>1017.0</v>
      </c>
      <c r="B1019" s="5" t="s">
        <v>3058</v>
      </c>
      <c r="C1019" s="4">
        <v>0.0</v>
      </c>
      <c r="D1019" s="5" t="s">
        <v>3059</v>
      </c>
      <c r="E1019" s="5" t="s">
        <v>3060</v>
      </c>
      <c r="F1019" s="6" t="str">
        <f>IFERROR(__xludf.DUMMYFUNCTION("GOOGLETRANSLATE(D1019,""en"",""it"")"),"Mi piacciono i vestiti, un tipo di gioielli interessante.")</f>
        <v>Mi piacciono i vestiti, un tipo di gioielli interessante.</v>
      </c>
      <c r="G1019" s="6" t="str">
        <f>IFERROR(__xludf.DUMMYFUNCTION("GOOGLETRANSLATE(E1019,""fr"",""it"")"),"Mi piacciono i vestiti, un tipo di gioielli interessante.")</f>
        <v>Mi piacciono i vestiti, un tipo di gioielli interessante.</v>
      </c>
    </row>
    <row r="1020">
      <c r="A1020" s="4">
        <v>1018.0</v>
      </c>
      <c r="B1020" s="5" t="s">
        <v>3061</v>
      </c>
      <c r="C1020" s="4">
        <v>0.0</v>
      </c>
      <c r="D1020" s="5" t="s">
        <v>3062</v>
      </c>
      <c r="E1020" s="5" t="s">
        <v>3063</v>
      </c>
      <c r="F1020" s="6" t="str">
        <f>IFERROR(__xludf.DUMMYFUNCTION("GOOGLETRANSLATE(D1020,""en"",""it"")"),"Mi piacciono le camicie, un tipo di vetro interessante.")</f>
        <v>Mi piacciono le camicie, un tipo di vetro interessante.</v>
      </c>
      <c r="G1020" s="6" t="str">
        <f>IFERROR(__xludf.DUMMYFUNCTION("GOOGLETRANSLATE(E1020,""fr"",""it"")"),"Mi piacciono le camicie, un tipo interessante di vetro.")</f>
        <v>Mi piacciono le camicie, un tipo interessante di vetro.</v>
      </c>
    </row>
    <row r="1021">
      <c r="A1021" s="4">
        <v>1019.0</v>
      </c>
      <c r="B1021" s="5" t="s">
        <v>3064</v>
      </c>
      <c r="C1021" s="4">
        <v>0.0</v>
      </c>
      <c r="D1021" s="5" t="s">
        <v>3065</v>
      </c>
      <c r="E1021" s="5" t="s">
        <v>3066</v>
      </c>
      <c r="F1021" s="6" t="str">
        <f>IFERROR(__xludf.DUMMYFUNCTION("GOOGLETRANSLATE(D1021,""en"",""it"")"),"Mi piacciono gli occhiali, un tipo interessante di camicia.")</f>
        <v>Mi piacciono gli occhiali, un tipo interessante di camicia.</v>
      </c>
      <c r="G1021" s="6" t="str">
        <f>IFERROR(__xludf.DUMMYFUNCTION("GOOGLETRANSLATE(E1021,""fr"",""it"")"),"Amo gli occhiali, un tipo interessante di camicia.")</f>
        <v>Amo gli occhiali, un tipo interessante di camicia.</v>
      </c>
    </row>
    <row r="1022">
      <c r="A1022" s="4">
        <v>1020.0</v>
      </c>
      <c r="B1022" s="5" t="s">
        <v>3067</v>
      </c>
      <c r="C1022" s="4">
        <v>0.0</v>
      </c>
      <c r="D1022" s="5" t="s">
        <v>3068</v>
      </c>
      <c r="E1022" s="5" t="s">
        <v>3069</v>
      </c>
      <c r="F1022" s="6" t="str">
        <f>IFERROR(__xludf.DUMMYFUNCTION("GOOGLETRANSLATE(D1022,""en"",""it"")"),"Mi piacciono i vestiti, un tipo di vetro interessante.")</f>
        <v>Mi piacciono i vestiti, un tipo di vetro interessante.</v>
      </c>
      <c r="G1022" s="6" t="str">
        <f>IFERROR(__xludf.DUMMYFUNCTION("GOOGLETRANSLATE(E1022,""fr"",""it"")"),"Mi piacciono i vestiti, un tipo di vetro interessante.")</f>
        <v>Mi piacciono i vestiti, un tipo di vetro interessante.</v>
      </c>
    </row>
    <row r="1023">
      <c r="A1023" s="4">
        <v>1021.0</v>
      </c>
      <c r="B1023" s="5" t="s">
        <v>3070</v>
      </c>
      <c r="C1023" s="4">
        <v>0.0</v>
      </c>
      <c r="D1023" s="5" t="s">
        <v>3071</v>
      </c>
      <c r="E1023" s="5" t="s">
        <v>3072</v>
      </c>
      <c r="F1023" s="6" t="str">
        <f>IFERROR(__xludf.DUMMYFUNCTION("GOOGLETRANSLATE(D1023,""en"",""it"")"),"Mi piacciono le camicie, un interessante tipo di orecchino.")</f>
        <v>Mi piacciono le camicie, un interessante tipo di orecchino.</v>
      </c>
      <c r="G1023" s="6" t="str">
        <f>IFERROR(__xludf.DUMMYFUNCTION("GOOGLETRANSLATE(E1023,""fr"",""it"")"),"Mi piacciono le camicie, un tipo interessante di orecchini.")</f>
        <v>Mi piacciono le camicie, un tipo interessante di orecchini.</v>
      </c>
    </row>
    <row r="1024">
      <c r="A1024" s="4">
        <v>1022.0</v>
      </c>
      <c r="B1024" s="5" t="s">
        <v>3073</v>
      </c>
      <c r="C1024" s="4">
        <v>0.0</v>
      </c>
      <c r="D1024" s="5" t="s">
        <v>3074</v>
      </c>
      <c r="E1024" s="5" t="s">
        <v>3075</v>
      </c>
      <c r="F1024" s="6" t="str">
        <f>IFERROR(__xludf.DUMMYFUNCTION("GOOGLETRANSLATE(D1024,""en"",""it"")"),"Mi piacciono gli orecchini, un tipo interessante di camicia.")</f>
        <v>Mi piacciono gli orecchini, un tipo interessante di camicia.</v>
      </c>
      <c r="G1024" s="6" t="str">
        <f>IFERROR(__xludf.DUMMYFUNCTION("GOOGLETRANSLATE(E1024,""fr"",""it"")"),"Amo gli orecchini, un tipo interessante di camicia.")</f>
        <v>Amo gli orecchini, un tipo interessante di camicia.</v>
      </c>
    </row>
    <row r="1025">
      <c r="A1025" s="4">
        <v>1023.0</v>
      </c>
      <c r="B1025" s="5" t="s">
        <v>3076</v>
      </c>
      <c r="C1025" s="4">
        <v>0.0</v>
      </c>
      <c r="D1025" s="5" t="s">
        <v>3077</v>
      </c>
      <c r="E1025" s="5" t="s">
        <v>3078</v>
      </c>
      <c r="F1025" s="6" t="str">
        <f>IFERROR(__xludf.DUMMYFUNCTION("GOOGLETRANSLATE(D1025,""en"",""it"")"),"Mi piacciono i vestiti, un tipo interessante di orecchini.")</f>
        <v>Mi piacciono i vestiti, un tipo interessante di orecchini.</v>
      </c>
      <c r="G1025" s="6" t="str">
        <f>IFERROR(__xludf.DUMMYFUNCTION("GOOGLETRANSLATE(E1025,""fr"",""it"")"),"Mi piacciono i vestiti, un tipo interessante di orecchini.")</f>
        <v>Mi piacciono i vestiti, un tipo interessante di orecchini.</v>
      </c>
    </row>
    <row r="1026">
      <c r="A1026" s="4">
        <v>1024.0</v>
      </c>
      <c r="B1026" s="5" t="s">
        <v>3079</v>
      </c>
      <c r="C1026" s="4">
        <v>0.0</v>
      </c>
      <c r="D1026" s="5" t="s">
        <v>3080</v>
      </c>
      <c r="E1026" s="5" t="s">
        <v>3081</v>
      </c>
      <c r="F1026" s="6" t="str">
        <f>IFERROR(__xludf.DUMMYFUNCTION("GOOGLETRANSLATE(D1026,""en"",""it"")"),"Mi piacciono i pantaloni, un tipo interessante di animale domestico.")</f>
        <v>Mi piacciono i pantaloni, un tipo interessante di animale domestico.</v>
      </c>
      <c r="G1026" s="6" t="str">
        <f>IFERROR(__xludf.DUMMYFUNCTION("GOOGLETRANSLATE(E1026,""fr"",""it"")"),"Mi piacciono i pantaloni, un tipo interessante di animale domestico.")</f>
        <v>Mi piacciono i pantaloni, un tipo interessante di animale domestico.</v>
      </c>
    </row>
    <row r="1027">
      <c r="A1027" s="4">
        <v>1025.0</v>
      </c>
      <c r="B1027" s="5" t="s">
        <v>3082</v>
      </c>
      <c r="C1027" s="4">
        <v>0.0</v>
      </c>
      <c r="D1027" s="5" t="s">
        <v>3083</v>
      </c>
      <c r="E1027" s="5" t="s">
        <v>3084</v>
      </c>
      <c r="F1027" s="6" t="str">
        <f>IFERROR(__xludf.DUMMYFUNCTION("GOOGLETRANSLATE(D1027,""en"",""it"")"),"Mi piacciono gli animali domestici, un tipo interessante di pantaloni.")</f>
        <v>Mi piacciono gli animali domestici, un tipo interessante di pantaloni.</v>
      </c>
      <c r="G1027" s="6" t="str">
        <f>IFERROR(__xludf.DUMMYFUNCTION("GOOGLETRANSLATE(E1027,""fr"",""it"")"),"Amo gli animali domestici, un tipo interessante di fori.")</f>
        <v>Amo gli animali domestici, un tipo interessante di fori.</v>
      </c>
    </row>
    <row r="1028">
      <c r="A1028" s="4">
        <v>1026.0</v>
      </c>
      <c r="B1028" s="5" t="s">
        <v>3085</v>
      </c>
      <c r="C1028" s="4">
        <v>1.0</v>
      </c>
      <c r="D1028" s="5" t="s">
        <v>3086</v>
      </c>
      <c r="E1028" s="5" t="s">
        <v>3087</v>
      </c>
      <c r="F1028" s="6" t="str">
        <f>IFERROR(__xludf.DUMMYFUNCTION("GOOGLETRANSLATE(D1028,""en"",""it"")"),"Mi piacciono i pantaloni, un tipo interessante di vestiti.")</f>
        <v>Mi piacciono i pantaloni, un tipo interessante di vestiti.</v>
      </c>
      <c r="G1028" s="6" t="str">
        <f>IFERROR(__xludf.DUMMYFUNCTION("GOOGLETRANSLATE(E1028,""fr"",""it"")"),"Mi piacciono i pantaloni, un tipo interessante di vestiti.")</f>
        <v>Mi piacciono i pantaloni, un tipo interessante di vestiti.</v>
      </c>
    </row>
    <row r="1029">
      <c r="A1029" s="4">
        <v>1027.0</v>
      </c>
      <c r="B1029" s="5" t="s">
        <v>3088</v>
      </c>
      <c r="C1029" s="4">
        <v>0.0</v>
      </c>
      <c r="D1029" s="5" t="s">
        <v>3089</v>
      </c>
      <c r="E1029" s="5" t="s">
        <v>3090</v>
      </c>
      <c r="F1029" s="6" t="str">
        <f>IFERROR(__xludf.DUMMYFUNCTION("GOOGLETRANSLATE(D1029,""en"",""it"")"),"Mi piacciono i vestiti, un tipo interessante di pantaloni.")</f>
        <v>Mi piacciono i vestiti, un tipo interessante di pantaloni.</v>
      </c>
      <c r="G1029" s="6" t="str">
        <f>IFERROR(__xludf.DUMMYFUNCTION("GOOGLETRANSLATE(E1029,""fr"",""it"")"),"Mi piacciono i vestiti, un tipo di pantaloni interessanti.")</f>
        <v>Mi piacciono i vestiti, un tipo di pantaloni interessanti.</v>
      </c>
    </row>
    <row r="1030">
      <c r="A1030" s="4">
        <v>1028.0</v>
      </c>
      <c r="B1030" s="5" t="s">
        <v>3091</v>
      </c>
      <c r="C1030" s="4">
        <v>0.0</v>
      </c>
      <c r="D1030" s="5" t="s">
        <v>3092</v>
      </c>
      <c r="E1030" s="5" t="s">
        <v>3093</v>
      </c>
      <c r="F1030" s="6" t="str">
        <f>IFERROR(__xludf.DUMMYFUNCTION("GOOGLETRANSLATE(D1030,""en"",""it"")"),"Mi piacciono i pantaloni, un tipo di gioielli interessante.")</f>
        <v>Mi piacciono i pantaloni, un tipo di gioielli interessante.</v>
      </c>
      <c r="G1030" s="6" t="str">
        <f>IFERROR(__xludf.DUMMYFUNCTION("GOOGLETRANSLATE(E1030,""fr"",""it"")"),"Mi piacciono i pantaloni, un tipo di gioielli interessante.")</f>
        <v>Mi piacciono i pantaloni, un tipo di gioielli interessante.</v>
      </c>
    </row>
    <row r="1031">
      <c r="A1031" s="4">
        <v>1029.0</v>
      </c>
      <c r="B1031" s="5" t="s">
        <v>3094</v>
      </c>
      <c r="C1031" s="4">
        <v>0.0</v>
      </c>
      <c r="D1031" s="5" t="s">
        <v>3095</v>
      </c>
      <c r="E1031" s="5" t="s">
        <v>3096</v>
      </c>
      <c r="F1031" s="6" t="str">
        <f>IFERROR(__xludf.DUMMYFUNCTION("GOOGLETRANSLATE(D1031,""en"",""it"")"),"Mi piacciono i gioielli, un tipo interessante di pantaloni.")</f>
        <v>Mi piacciono i gioielli, un tipo interessante di pantaloni.</v>
      </c>
      <c r="G1031" s="6" t="str">
        <f>IFERROR(__xludf.DUMMYFUNCTION("GOOGLETRANSLATE(E1031,""fr"",""it"")"),"Mi piacciono i gioielli, un tipo interessante di buchi.")</f>
        <v>Mi piacciono i gioielli, un tipo interessante di buchi.</v>
      </c>
    </row>
    <row r="1032">
      <c r="A1032" s="4">
        <v>1030.0</v>
      </c>
      <c r="B1032" s="5" t="s">
        <v>3097</v>
      </c>
      <c r="C1032" s="4">
        <v>0.0</v>
      </c>
      <c r="D1032" s="5" t="s">
        <v>3098</v>
      </c>
      <c r="E1032" s="5" t="s">
        <v>3099</v>
      </c>
      <c r="F1032" s="6" t="str">
        <f>IFERROR(__xludf.DUMMYFUNCTION("GOOGLETRANSLATE(D1032,""en"",""it"")"),"Mi piacciono i pantaloni, un tipo di vetro interessante.")</f>
        <v>Mi piacciono i pantaloni, un tipo di vetro interessante.</v>
      </c>
      <c r="G1032" s="6" t="str">
        <f>IFERROR(__xludf.DUMMYFUNCTION("GOOGLETRANSLATE(E1032,""fr"",""it"")"),"Mi piacciono i pantaloni, un tipo di vetro interessante.")</f>
        <v>Mi piacciono i pantaloni, un tipo di vetro interessante.</v>
      </c>
    </row>
    <row r="1033">
      <c r="A1033" s="4">
        <v>1031.0</v>
      </c>
      <c r="B1033" s="5" t="s">
        <v>3100</v>
      </c>
      <c r="C1033" s="4">
        <v>0.0</v>
      </c>
      <c r="D1033" s="5" t="s">
        <v>3101</v>
      </c>
      <c r="E1033" s="5" t="s">
        <v>3102</v>
      </c>
      <c r="F1033" s="6" t="str">
        <f>IFERROR(__xludf.DUMMYFUNCTION("GOOGLETRANSLATE(D1033,""en"",""it"")"),"Mi piacciono gli occhiali, un tipo interessante di pantaloni.")</f>
        <v>Mi piacciono gli occhiali, un tipo interessante di pantaloni.</v>
      </c>
      <c r="G1033" s="6" t="str">
        <f>IFERROR(__xludf.DUMMYFUNCTION("GOOGLETRANSLATE(E1033,""fr"",""it"")"),"Amo gli occhiali, un tipo interessante di buchi.")</f>
        <v>Amo gli occhiali, un tipo interessante di buchi.</v>
      </c>
    </row>
    <row r="1034">
      <c r="A1034" s="4">
        <v>1032.0</v>
      </c>
      <c r="B1034" s="5" t="s">
        <v>3103</v>
      </c>
      <c r="C1034" s="4">
        <v>0.0</v>
      </c>
      <c r="D1034" s="5" t="s">
        <v>3104</v>
      </c>
      <c r="E1034" s="5" t="s">
        <v>3105</v>
      </c>
      <c r="F1034" s="6" t="str">
        <f>IFERROR(__xludf.DUMMYFUNCTION("GOOGLETRANSLATE(D1034,""en"",""it"")"),"Mi piacciono i pantaloni, un tipo di orecchino interessante.")</f>
        <v>Mi piacciono i pantaloni, un tipo di orecchino interessante.</v>
      </c>
      <c r="G1034" s="6" t="str">
        <f>IFERROR(__xludf.DUMMYFUNCTION("GOOGLETRANSLATE(E1034,""fr"",""it"")"),"Mi piacciono i pantaloni, un tipo di orecchino interessante.")</f>
        <v>Mi piacciono i pantaloni, un tipo di orecchino interessante.</v>
      </c>
    </row>
    <row r="1035">
      <c r="A1035" s="4">
        <v>1033.0</v>
      </c>
      <c r="B1035" s="5" t="s">
        <v>3106</v>
      </c>
      <c r="C1035" s="4">
        <v>0.0</v>
      </c>
      <c r="D1035" s="5" t="s">
        <v>3107</v>
      </c>
      <c r="E1035" s="5" t="s">
        <v>3108</v>
      </c>
      <c r="F1035" s="6" t="str">
        <f>IFERROR(__xludf.DUMMYFUNCTION("GOOGLETRANSLATE(D1035,""en"",""it"")"),"Mi piacciono gli orecchini, un tipo interessante di pantaloni.")</f>
        <v>Mi piacciono gli orecchini, un tipo interessante di pantaloni.</v>
      </c>
      <c r="G1035" s="6" t="str">
        <f>IFERROR(__xludf.DUMMYFUNCTION("GOOGLETRANSLATE(E1035,""fr"",""it"")"),"Mi piacciono gli orecchini, un tipo interessante di buchi.")</f>
        <v>Mi piacciono gli orecchini, un tipo interessante di buchi.</v>
      </c>
    </row>
    <row r="1036">
      <c r="A1036" s="4">
        <v>1034.0</v>
      </c>
      <c r="B1036" s="5" t="s">
        <v>3109</v>
      </c>
      <c r="C1036" s="4">
        <v>0.0</v>
      </c>
      <c r="D1036" s="5" t="s">
        <v>3110</v>
      </c>
      <c r="E1036" s="5" t="s">
        <v>3111</v>
      </c>
      <c r="F1036" s="6" t="str">
        <f>IFERROR(__xludf.DUMMYFUNCTION("GOOGLETRANSLATE(D1036,""en"",""it"")"),"Mi piacciono le anatre, tranne i maiali.")</f>
        <v>Mi piacciono le anatre, tranne i maiali.</v>
      </c>
      <c r="G1036" s="6" t="str">
        <f>IFERROR(__xludf.DUMMYFUNCTION("GOOGLETRANSLATE(E1036,""fr"",""it"")"),"Mi piacciono le anatre, tranne i maiali.")</f>
        <v>Mi piacciono le anatre, tranne i maiali.</v>
      </c>
    </row>
    <row r="1037">
      <c r="A1037" s="4">
        <v>1035.0</v>
      </c>
      <c r="B1037" s="5" t="s">
        <v>3112</v>
      </c>
      <c r="C1037" s="4">
        <v>0.0</v>
      </c>
      <c r="D1037" s="5" t="s">
        <v>3113</v>
      </c>
      <c r="E1037" s="5" t="s">
        <v>3114</v>
      </c>
      <c r="F1037" s="6" t="str">
        <f>IFERROR(__xludf.DUMMYFUNCTION("GOOGLETRANSLATE(D1037,""en"",""it"")"),"Mi piacciono i calzini, un tipo di animale domestico interessante.")</f>
        <v>Mi piacciono i calzini, un tipo di animale domestico interessante.</v>
      </c>
      <c r="G1037" s="6" t="str">
        <f>IFERROR(__xludf.DUMMYFUNCTION("GOOGLETRANSLATE(E1037,""fr"",""it"")"),"Adoro le scarpe, un tipo interessante di animale domestico.")</f>
        <v>Adoro le scarpe, un tipo interessante di animale domestico.</v>
      </c>
    </row>
    <row r="1038">
      <c r="A1038" s="4">
        <v>1036.0</v>
      </c>
      <c r="B1038" s="5" t="s">
        <v>3115</v>
      </c>
      <c r="C1038" s="4">
        <v>0.0</v>
      </c>
      <c r="D1038" s="5" t="s">
        <v>3116</v>
      </c>
      <c r="E1038" s="5" t="s">
        <v>3117</v>
      </c>
      <c r="F1038" s="6" t="str">
        <f>IFERROR(__xludf.DUMMYFUNCTION("GOOGLETRANSLATE(D1038,""en"",""it"")"),"Mi piacciono gli animali domestici, un tipo di calzino interessante.")</f>
        <v>Mi piacciono gli animali domestici, un tipo di calzino interessante.</v>
      </c>
      <c r="G1038" s="6" t="str">
        <f>IFERROR(__xludf.DUMMYFUNCTION("GOOGLETRANSLATE(E1038,""fr"",""it"")"),"Amo gli animali domestici, un tipo interessante di scarpe.")</f>
        <v>Amo gli animali domestici, un tipo interessante di scarpe.</v>
      </c>
    </row>
    <row r="1039">
      <c r="A1039" s="4">
        <v>1037.0</v>
      </c>
      <c r="B1039" s="5" t="s">
        <v>3118</v>
      </c>
      <c r="C1039" s="4">
        <v>1.0</v>
      </c>
      <c r="D1039" s="5" t="s">
        <v>3119</v>
      </c>
      <c r="E1039" s="5" t="s">
        <v>3120</v>
      </c>
      <c r="F1039" s="6" t="str">
        <f>IFERROR(__xludf.DUMMYFUNCTION("GOOGLETRANSLATE(D1039,""en"",""it"")"),"Mi piacciono i calzini, un tipo interessante di vestiti.")</f>
        <v>Mi piacciono i calzini, un tipo interessante di vestiti.</v>
      </c>
      <c r="G1039" s="6" t="str">
        <f>IFERROR(__xludf.DUMMYFUNCTION("GOOGLETRANSLATE(E1039,""fr"",""it"")"),"Adoro le scarpe, un tipo interessante di vestiti.")</f>
        <v>Adoro le scarpe, un tipo interessante di vestiti.</v>
      </c>
    </row>
    <row r="1040">
      <c r="A1040" s="4">
        <v>1038.0</v>
      </c>
      <c r="B1040" s="5" t="s">
        <v>3121</v>
      </c>
      <c r="C1040" s="4">
        <v>0.0</v>
      </c>
      <c r="D1040" s="5" t="s">
        <v>3122</v>
      </c>
      <c r="E1040" s="5" t="s">
        <v>3123</v>
      </c>
      <c r="F1040" s="6" t="str">
        <f>IFERROR(__xludf.DUMMYFUNCTION("GOOGLETRANSLATE(D1040,""en"",""it"")"),"Mi piacciono i vestiti, un tipo interessante di calzini.")</f>
        <v>Mi piacciono i vestiti, un tipo interessante di calzini.</v>
      </c>
      <c r="G1040" s="6" t="str">
        <f>IFERROR(__xludf.DUMMYFUNCTION("GOOGLETRANSLATE(E1040,""fr"",""it"")"),"Amo i vestiti, un tipo interessante di scarpe.")</f>
        <v>Amo i vestiti, un tipo interessante di scarpe.</v>
      </c>
    </row>
    <row r="1041">
      <c r="A1041" s="4">
        <v>1039.0</v>
      </c>
      <c r="B1041" s="5" t="s">
        <v>3124</v>
      </c>
      <c r="C1041" s="4">
        <v>0.0</v>
      </c>
      <c r="D1041" s="5" t="s">
        <v>3125</v>
      </c>
      <c r="E1041" s="5" t="s">
        <v>3126</v>
      </c>
      <c r="F1041" s="6" t="str">
        <f>IFERROR(__xludf.DUMMYFUNCTION("GOOGLETRANSLATE(D1041,""en"",""it"")"),"Mi piacciono i calzini, un tipo interessante di gioielli.")</f>
        <v>Mi piacciono i calzini, un tipo interessante di gioielli.</v>
      </c>
      <c r="G1041" s="6" t="str">
        <f>IFERROR(__xludf.DUMMYFUNCTION("GOOGLETRANSLATE(E1041,""fr"",""it"")"),"Adoro le scarpe, un tipo interessante di gioielli.")</f>
        <v>Adoro le scarpe, un tipo interessante di gioielli.</v>
      </c>
    </row>
    <row r="1042">
      <c r="A1042" s="4">
        <v>1040.0</v>
      </c>
      <c r="B1042" s="5" t="s">
        <v>3127</v>
      </c>
      <c r="C1042" s="4">
        <v>0.0</v>
      </c>
      <c r="D1042" s="5" t="s">
        <v>3128</v>
      </c>
      <c r="E1042" s="5" t="s">
        <v>3129</v>
      </c>
      <c r="F1042" s="6" t="str">
        <f>IFERROR(__xludf.DUMMYFUNCTION("GOOGLETRANSLATE(D1042,""en"",""it"")"),"Mi piacciono i gioielli, un tipo interessante di calzino.")</f>
        <v>Mi piacciono i gioielli, un tipo interessante di calzino.</v>
      </c>
      <c r="G1042" s="6" t="str">
        <f>IFERROR(__xludf.DUMMYFUNCTION("GOOGLETRANSLATE(E1042,""fr"",""it"")"),"Amo i gioielli, un tipo interessante di scarpe.")</f>
        <v>Amo i gioielli, un tipo interessante di scarpe.</v>
      </c>
    </row>
    <row r="1043">
      <c r="A1043" s="4">
        <v>1041.0</v>
      </c>
      <c r="B1043" s="5" t="s">
        <v>3130</v>
      </c>
      <c r="C1043" s="4">
        <v>0.0</v>
      </c>
      <c r="D1043" s="5" t="s">
        <v>3131</v>
      </c>
      <c r="E1043" s="5" t="s">
        <v>3132</v>
      </c>
      <c r="F1043" s="6" t="str">
        <f>IFERROR(__xludf.DUMMYFUNCTION("GOOGLETRANSLATE(D1043,""en"",""it"")"),"Mi piacciono i calzini, un tipo di vetro interessante.")</f>
        <v>Mi piacciono i calzini, un tipo di vetro interessante.</v>
      </c>
      <c r="G1043" s="6" t="str">
        <f>IFERROR(__xludf.DUMMYFUNCTION("GOOGLETRANSLATE(E1043,""fr"",""it"")"),"Adoro le scarpe, un tipo interessante di vetro.")</f>
        <v>Adoro le scarpe, un tipo interessante di vetro.</v>
      </c>
    </row>
    <row r="1044">
      <c r="A1044" s="4">
        <v>1042.0</v>
      </c>
      <c r="B1044" s="5" t="s">
        <v>3133</v>
      </c>
      <c r="C1044" s="4">
        <v>0.0</v>
      </c>
      <c r="D1044" s="5" t="s">
        <v>3134</v>
      </c>
      <c r="E1044" s="5" t="s">
        <v>3135</v>
      </c>
      <c r="F1044" s="6" t="str">
        <f>IFERROR(__xludf.DUMMYFUNCTION("GOOGLETRANSLATE(D1044,""en"",""it"")"),"Mi piacciono gli occhiali, un tipo interessante di calzino.")</f>
        <v>Mi piacciono gli occhiali, un tipo interessante di calzino.</v>
      </c>
      <c r="G1044" s="6" t="str">
        <f>IFERROR(__xludf.DUMMYFUNCTION("GOOGLETRANSLATE(E1044,""fr"",""it"")"),"Amo gli occhiali, un tipo interessante di scarpe.")</f>
        <v>Amo gli occhiali, un tipo interessante di scarpe.</v>
      </c>
    </row>
    <row r="1045">
      <c r="A1045" s="4">
        <v>1043.0</v>
      </c>
      <c r="B1045" s="5" t="s">
        <v>3136</v>
      </c>
      <c r="C1045" s="4">
        <v>0.0</v>
      </c>
      <c r="D1045" s="5" t="s">
        <v>3137</v>
      </c>
      <c r="E1045" s="5" t="s">
        <v>3138</v>
      </c>
      <c r="F1045" s="6" t="str">
        <f>IFERROR(__xludf.DUMMYFUNCTION("GOOGLETRANSLATE(D1045,""en"",""it"")"),"Mi piacciono i calzini, un tipo di orecchino interessante.")</f>
        <v>Mi piacciono i calzini, un tipo di orecchino interessante.</v>
      </c>
      <c r="G1045" s="6" t="str">
        <f>IFERROR(__xludf.DUMMYFUNCTION("GOOGLETRANSLATE(E1045,""fr"",""it"")"),"Adoro le scarpe, un tipo di orecchino interessante.")</f>
        <v>Adoro le scarpe, un tipo di orecchino interessante.</v>
      </c>
    </row>
    <row r="1046">
      <c r="A1046" s="4">
        <v>1044.0</v>
      </c>
      <c r="B1046" s="5" t="s">
        <v>3139</v>
      </c>
      <c r="C1046" s="4">
        <v>0.0</v>
      </c>
      <c r="D1046" s="5" t="s">
        <v>3140</v>
      </c>
      <c r="E1046" s="5" t="s">
        <v>3141</v>
      </c>
      <c r="F1046" s="6" t="str">
        <f>IFERROR(__xludf.DUMMYFUNCTION("GOOGLETRANSLATE(D1046,""en"",""it"")"),"Mi piacciono gli orecchini, un tipo interessante di calzino.")</f>
        <v>Mi piacciono gli orecchini, un tipo interessante di calzino.</v>
      </c>
      <c r="G1046" s="6" t="str">
        <f>IFERROR(__xludf.DUMMYFUNCTION("GOOGLETRANSLATE(E1046,""fr"",""it"")"),"Mi piacciono gli orecchini, un tipo interessante di scarpe.")</f>
        <v>Mi piacciono gli orecchini, un tipo interessante di scarpe.</v>
      </c>
    </row>
    <row r="1047">
      <c r="A1047" s="4">
        <v>1045.0</v>
      </c>
      <c r="B1047" s="5" t="s">
        <v>3142</v>
      </c>
      <c r="C1047" s="4">
        <v>0.0</v>
      </c>
      <c r="D1047" s="5" t="s">
        <v>3143</v>
      </c>
      <c r="E1047" s="5" t="s">
        <v>3144</v>
      </c>
      <c r="F1047" s="6" t="str">
        <f>IFERROR(__xludf.DUMMYFUNCTION("GOOGLETRANSLATE(D1047,""en"",""it"")"),"Mi piacciono le gonne, un tipo interessante di animale domestico.")</f>
        <v>Mi piacciono le gonne, un tipo interessante di animale domestico.</v>
      </c>
      <c r="G1047" s="6" t="str">
        <f>IFERROR(__xludf.DUMMYFUNCTION("GOOGLETRANSLATE(E1047,""fr"",""it"")"),"Amo le gonne, un tipo interessante di animale domestico.")</f>
        <v>Amo le gonne, un tipo interessante di animale domestico.</v>
      </c>
    </row>
    <row r="1048">
      <c r="A1048" s="4">
        <v>1046.0</v>
      </c>
      <c r="B1048" s="5" t="s">
        <v>3145</v>
      </c>
      <c r="C1048" s="4">
        <v>0.0</v>
      </c>
      <c r="D1048" s="5" t="s">
        <v>3146</v>
      </c>
      <c r="E1048" s="5" t="s">
        <v>3147</v>
      </c>
      <c r="F1048" s="6" t="str">
        <f>IFERROR(__xludf.DUMMYFUNCTION("GOOGLETRANSLATE(D1048,""en"",""it"")"),"Mi piacciono gli animali domestici, un tipo di gonna interessante.")</f>
        <v>Mi piacciono gli animali domestici, un tipo di gonna interessante.</v>
      </c>
      <c r="G1048" s="6" t="str">
        <f>IFERROR(__xludf.DUMMYFUNCTION("GOOGLETRANSLATE(E1048,""fr"",""it"")"),"Amo gli animali domestici, un tipo di gonna interessante.")</f>
        <v>Amo gli animali domestici, un tipo di gonna interessante.</v>
      </c>
    </row>
    <row r="1049">
      <c r="A1049" s="4">
        <v>1047.0</v>
      </c>
      <c r="B1049" s="5" t="s">
        <v>3148</v>
      </c>
      <c r="C1049" s="4">
        <v>1.0</v>
      </c>
      <c r="D1049" s="5" t="s">
        <v>3149</v>
      </c>
      <c r="E1049" s="5" t="s">
        <v>3150</v>
      </c>
      <c r="F1049" s="6" t="str">
        <f>IFERROR(__xludf.DUMMYFUNCTION("GOOGLETRANSLATE(D1049,""en"",""it"")"),"Mi piacciono le gonne, un tipo interessante di vestiti.")</f>
        <v>Mi piacciono le gonne, un tipo interessante di vestiti.</v>
      </c>
      <c r="G1049" s="6" t="str">
        <f>IFERROR(__xludf.DUMMYFUNCTION("GOOGLETRANSLATE(E1049,""fr"",""it"")"),"Amo le gonne, un tipo interessante di vestiti.")</f>
        <v>Amo le gonne, un tipo interessante di vestiti.</v>
      </c>
    </row>
    <row r="1050">
      <c r="A1050" s="4">
        <v>1048.0</v>
      </c>
      <c r="B1050" s="5" t="s">
        <v>3151</v>
      </c>
      <c r="C1050" s="4">
        <v>0.0</v>
      </c>
      <c r="D1050" s="5" t="s">
        <v>3152</v>
      </c>
      <c r="E1050" s="5" t="s">
        <v>3153</v>
      </c>
      <c r="F1050" s="6" t="str">
        <f>IFERROR(__xludf.DUMMYFUNCTION("GOOGLETRANSLATE(D1050,""en"",""it"")"),"Mi piacciono i vestiti, un tipo interessante di gonna.")</f>
        <v>Mi piacciono i vestiti, un tipo interessante di gonna.</v>
      </c>
      <c r="G1050" s="6" t="str">
        <f>IFERROR(__xludf.DUMMYFUNCTION("GOOGLETRANSLATE(E1050,""fr"",""it"")"),"Mi piacciono i vestiti, un tipo interessante di gonna.")</f>
        <v>Mi piacciono i vestiti, un tipo interessante di gonna.</v>
      </c>
    </row>
    <row r="1051">
      <c r="A1051" s="4">
        <v>1049.0</v>
      </c>
      <c r="B1051" s="5" t="s">
        <v>3154</v>
      </c>
      <c r="C1051" s="4">
        <v>0.0</v>
      </c>
      <c r="D1051" s="5" t="s">
        <v>3155</v>
      </c>
      <c r="E1051" s="5" t="s">
        <v>3156</v>
      </c>
      <c r="F1051" s="6" t="str">
        <f>IFERROR(__xludf.DUMMYFUNCTION("GOOGLETRANSLATE(D1051,""en"",""it"")"),"Mi piacciono le gonne, un tipo di gioielli interessante.")</f>
        <v>Mi piacciono le gonne, un tipo di gioielli interessante.</v>
      </c>
      <c r="G1051" s="6" t="str">
        <f>IFERROR(__xludf.DUMMYFUNCTION("GOOGLETRANSLATE(E1051,""fr"",""it"")"),"Amo le gonne, un tipo di gioielli interessante.")</f>
        <v>Amo le gonne, un tipo di gioielli interessante.</v>
      </c>
    </row>
    <row r="1052">
      <c r="A1052" s="4">
        <v>1050.0</v>
      </c>
      <c r="B1052" s="5" t="s">
        <v>3157</v>
      </c>
      <c r="C1052" s="4">
        <v>0.0</v>
      </c>
      <c r="D1052" s="5" t="s">
        <v>3158</v>
      </c>
      <c r="E1052" s="5" t="s">
        <v>3159</v>
      </c>
      <c r="F1052" s="6" t="str">
        <f>IFERROR(__xludf.DUMMYFUNCTION("GOOGLETRANSLATE(D1052,""en"",""it"")"),"Mi piacciono i gioielli, un tipo interessante di gonna.")</f>
        <v>Mi piacciono i gioielli, un tipo interessante di gonna.</v>
      </c>
      <c r="G1052" s="6" t="str">
        <f>IFERROR(__xludf.DUMMYFUNCTION("GOOGLETRANSLATE(E1052,""fr"",""it"")"),"Mi piacciono i gioielli, un tipo interessante di gonna.")</f>
        <v>Mi piacciono i gioielli, un tipo interessante di gonna.</v>
      </c>
    </row>
    <row r="1053">
      <c r="A1053" s="4">
        <v>1051.0</v>
      </c>
      <c r="B1053" s="5" t="s">
        <v>3160</v>
      </c>
      <c r="C1053" s="4">
        <v>0.0</v>
      </c>
      <c r="D1053" s="5" t="s">
        <v>3161</v>
      </c>
      <c r="E1053" s="5" t="s">
        <v>3162</v>
      </c>
      <c r="F1053" s="6" t="str">
        <f>IFERROR(__xludf.DUMMYFUNCTION("GOOGLETRANSLATE(D1053,""en"",""it"")"),"Mi piacciono le gonne, un tipo di vetro interessante.")</f>
        <v>Mi piacciono le gonne, un tipo di vetro interessante.</v>
      </c>
      <c r="G1053" s="6" t="str">
        <f>IFERROR(__xludf.DUMMYFUNCTION("GOOGLETRANSLATE(E1053,""fr"",""it"")"),"Amo le gonne, un tipo di vetro interessante.")</f>
        <v>Amo le gonne, un tipo di vetro interessante.</v>
      </c>
    </row>
    <row r="1054">
      <c r="A1054" s="4">
        <v>1052.0</v>
      </c>
      <c r="B1054" s="5" t="s">
        <v>3163</v>
      </c>
      <c r="C1054" s="4">
        <v>0.0</v>
      </c>
      <c r="D1054" s="5" t="s">
        <v>3164</v>
      </c>
      <c r="E1054" s="5" t="s">
        <v>3165</v>
      </c>
      <c r="F1054" s="6" t="str">
        <f>IFERROR(__xludf.DUMMYFUNCTION("GOOGLETRANSLATE(D1054,""en"",""it"")"),"Mi piacciono gli occhiali, un tipo di gonna interessante.")</f>
        <v>Mi piacciono gli occhiali, un tipo di gonna interessante.</v>
      </c>
      <c r="G1054" s="6" t="str">
        <f>IFERROR(__xludf.DUMMYFUNCTION("GOOGLETRANSLATE(E1054,""fr"",""it"")"),"Amo gli occhiali, un tipo interessante di gonna.")</f>
        <v>Amo gli occhiali, un tipo interessante di gonna.</v>
      </c>
    </row>
    <row r="1055">
      <c r="A1055" s="4">
        <v>1053.0</v>
      </c>
      <c r="B1055" s="5" t="s">
        <v>3166</v>
      </c>
      <c r="C1055" s="4">
        <v>0.0</v>
      </c>
      <c r="D1055" s="5" t="s">
        <v>3167</v>
      </c>
      <c r="E1055" s="5" t="s">
        <v>3168</v>
      </c>
      <c r="F1055" s="6" t="str">
        <f>IFERROR(__xludf.DUMMYFUNCTION("GOOGLETRANSLATE(D1055,""en"",""it"")"),"Mi piacciono le gonne, un tipo interessante di orecchini.")</f>
        <v>Mi piacciono le gonne, un tipo interessante di orecchini.</v>
      </c>
      <c r="G1055" s="6" t="str">
        <f>IFERROR(__xludf.DUMMYFUNCTION("GOOGLETRANSLATE(E1055,""fr"",""it"")"),"Amo le gonne, un tipo interessante di orecchini.")</f>
        <v>Amo le gonne, un tipo interessante di orecchini.</v>
      </c>
    </row>
    <row r="1056">
      <c r="A1056" s="4">
        <v>1054.0</v>
      </c>
      <c r="B1056" s="5" t="s">
        <v>3169</v>
      </c>
      <c r="C1056" s="4">
        <v>0.0</v>
      </c>
      <c r="D1056" s="5" t="s">
        <v>3170</v>
      </c>
      <c r="E1056" s="5" t="s">
        <v>3171</v>
      </c>
      <c r="F1056" s="6" t="str">
        <f>IFERROR(__xludf.DUMMYFUNCTION("GOOGLETRANSLATE(D1056,""en"",""it"")"),"Mi piacciono gli orecchini, un tipo interessante di gonna.")</f>
        <v>Mi piacciono gli orecchini, un tipo interessante di gonna.</v>
      </c>
      <c r="G1056" s="6" t="str">
        <f>IFERROR(__xludf.DUMMYFUNCTION("GOOGLETRANSLATE(E1056,""fr"",""it"")"),"Mi piacciono gli orecchini, un tipo interessante di gonna.")</f>
        <v>Mi piacciono gli orecchini, un tipo interessante di gonna.</v>
      </c>
    </row>
    <row r="1057">
      <c r="A1057" s="4">
        <v>1055.0</v>
      </c>
      <c r="B1057" s="5" t="s">
        <v>3172</v>
      </c>
      <c r="C1057" s="4">
        <v>0.0</v>
      </c>
      <c r="D1057" s="5" t="s">
        <v>3173</v>
      </c>
      <c r="E1057" s="5" t="s">
        <v>3174</v>
      </c>
      <c r="F1057" s="6" t="str">
        <f>IFERROR(__xludf.DUMMYFUNCTION("GOOGLETRANSLATE(D1057,""en"",""it"")"),"Mi piacciono i maiali, tranne le anatre.")</f>
        <v>Mi piacciono i maiali, tranne le anatre.</v>
      </c>
      <c r="G1057" s="6" t="str">
        <f>IFERROR(__xludf.DUMMYFUNCTION("GOOGLETRANSLATE(E1057,""fr"",""it"")"),"Mi piacciono i maiali, tranne le anatre.")</f>
        <v>Mi piacciono i maiali, tranne le anatre.</v>
      </c>
    </row>
    <row r="1058">
      <c r="A1058" s="4">
        <v>1056.0</v>
      </c>
      <c r="B1058" s="5" t="s">
        <v>3175</v>
      </c>
      <c r="C1058" s="4">
        <v>0.0</v>
      </c>
      <c r="D1058" s="5" t="s">
        <v>3176</v>
      </c>
      <c r="E1058" s="5" t="s">
        <v>3177</v>
      </c>
      <c r="F1058" s="6" t="str">
        <f>IFERROR(__xludf.DUMMYFUNCTION("GOOGLETRANSLATE(D1058,""en"",""it"")"),"Mi piacciono le querce, un tipo di erba interessante.")</f>
        <v>Mi piacciono le querce, un tipo di erba interessante.</v>
      </c>
      <c r="G1058" s="6" t="str">
        <f>IFERROR(__xludf.DUMMYFUNCTION("GOOGLETRANSLATE(E1058,""fr"",""it"")"),"Adoro le querce, un tipo di prato interessante.")</f>
        <v>Adoro le querce, un tipo di prato interessante.</v>
      </c>
    </row>
    <row r="1059">
      <c r="A1059" s="4">
        <v>1057.0</v>
      </c>
      <c r="B1059" s="5" t="s">
        <v>3178</v>
      </c>
      <c r="C1059" s="4">
        <v>0.0</v>
      </c>
      <c r="D1059" s="5" t="s">
        <v>3179</v>
      </c>
      <c r="E1059" s="5" t="s">
        <v>3180</v>
      </c>
      <c r="F1059" s="6" t="str">
        <f>IFERROR(__xludf.DUMMYFUNCTION("GOOGLETRANSLATE(D1059,""en"",""it"")"),"Mi piace l'erba, un tipo interessante di quercia.")</f>
        <v>Mi piace l'erba, un tipo interessante di quercia.</v>
      </c>
      <c r="G1059" s="6" t="str">
        <f>IFERROR(__xludf.DUMMYFUNCTION("GOOGLETRANSLATE(E1059,""fr"",""it"")"),"Adoro il prato, un tipo interessante di querce.")</f>
        <v>Adoro il prato, un tipo interessante di querce.</v>
      </c>
    </row>
    <row r="1060">
      <c r="A1060" s="4">
        <v>1058.0</v>
      </c>
      <c r="B1060" s="5" t="s">
        <v>3181</v>
      </c>
      <c r="C1060" s="4">
        <v>1.0</v>
      </c>
      <c r="D1060" s="5" t="s">
        <v>3182</v>
      </c>
      <c r="E1060" s="5" t="s">
        <v>3183</v>
      </c>
      <c r="F1060" s="6" t="str">
        <f>IFERROR(__xludf.DUMMYFUNCTION("GOOGLETRANSLATE(D1060,""en"",""it"")"),"Mi piacciono le querce, un tipo interessante di albero.")</f>
        <v>Mi piacciono le querce, un tipo interessante di albero.</v>
      </c>
      <c r="G1060" s="6" t="str">
        <f>IFERROR(__xludf.DUMMYFUNCTION("GOOGLETRANSLATE(E1060,""fr"",""it"")"),"Adoro le querce, un tipo interessante di albero.")</f>
        <v>Adoro le querce, un tipo interessante di albero.</v>
      </c>
    </row>
    <row r="1061">
      <c r="A1061" s="4">
        <v>1059.0</v>
      </c>
      <c r="B1061" s="5" t="s">
        <v>3184</v>
      </c>
      <c r="C1061" s="4">
        <v>0.0</v>
      </c>
      <c r="D1061" s="5" t="s">
        <v>3185</v>
      </c>
      <c r="E1061" s="5" t="s">
        <v>3186</v>
      </c>
      <c r="F1061" s="6" t="str">
        <f>IFERROR(__xludf.DUMMYFUNCTION("GOOGLETRANSLATE(D1061,""en"",""it"")"),"Mi piacciono gli alberi, un tipo interessante di quercia.")</f>
        <v>Mi piacciono gli alberi, un tipo interessante di quercia.</v>
      </c>
      <c r="G1061" s="6" t="str">
        <f>IFERROR(__xludf.DUMMYFUNCTION("GOOGLETRANSLATE(E1061,""fr"",""it"")"),"Amo gli alberi, un tipo interessante di querce.")</f>
        <v>Amo gli alberi, un tipo interessante di querce.</v>
      </c>
    </row>
    <row r="1062">
      <c r="A1062" s="4">
        <v>1060.0</v>
      </c>
      <c r="B1062" s="5" t="s">
        <v>3187</v>
      </c>
      <c r="C1062" s="4">
        <v>0.0</v>
      </c>
      <c r="D1062" s="5" t="s">
        <v>3188</v>
      </c>
      <c r="E1062" s="5" t="s">
        <v>3189</v>
      </c>
      <c r="F1062" s="6" t="str">
        <f>IFERROR(__xludf.DUMMYFUNCTION("GOOGLETRANSLATE(D1062,""en"",""it"")"),"Mi piacciono gli alberi, un tipo di erba interessante.")</f>
        <v>Mi piacciono gli alberi, un tipo di erba interessante.</v>
      </c>
      <c r="G1062" s="6" t="str">
        <f>IFERROR(__xludf.DUMMYFUNCTION("GOOGLETRANSLATE(E1062,""fr"",""it"")"),"Amo gli alberi, un tipo di prato interessante.")</f>
        <v>Amo gli alberi, un tipo di prato interessante.</v>
      </c>
    </row>
    <row r="1063">
      <c r="A1063" s="4">
        <v>1061.0</v>
      </c>
      <c r="B1063" s="5" t="s">
        <v>3190</v>
      </c>
      <c r="C1063" s="4">
        <v>0.0</v>
      </c>
      <c r="D1063" s="5" t="s">
        <v>3191</v>
      </c>
      <c r="E1063" s="5" t="s">
        <v>3192</v>
      </c>
      <c r="F1063" s="6" t="str">
        <f>IFERROR(__xludf.DUMMYFUNCTION("GOOGLETRANSLATE(D1063,""en"",""it"")"),"Mi piacciono le querce, un tipo di animale interessante.")</f>
        <v>Mi piacciono le querce, un tipo di animale interessante.</v>
      </c>
      <c r="G1063" s="6" t="str">
        <f>IFERROR(__xludf.DUMMYFUNCTION("GOOGLETRANSLATE(E1063,""fr"",""it"")"),"Adoro le querce, un tipo di animale interessante.")</f>
        <v>Adoro le querce, un tipo di animale interessante.</v>
      </c>
    </row>
    <row r="1064">
      <c r="A1064" s="4">
        <v>1062.0</v>
      </c>
      <c r="B1064" s="5" t="s">
        <v>3193</v>
      </c>
      <c r="C1064" s="4">
        <v>0.0</v>
      </c>
      <c r="D1064" s="5" t="s">
        <v>3194</v>
      </c>
      <c r="E1064" s="5" t="s">
        <v>3195</v>
      </c>
      <c r="F1064" s="6" t="str">
        <f>IFERROR(__xludf.DUMMYFUNCTION("GOOGLETRANSLATE(D1064,""en"",""it"")"),"Mi piacciono gli animali, un tipo interessante di quercia.")</f>
        <v>Mi piacciono gli animali, un tipo interessante di quercia.</v>
      </c>
      <c r="G1064" s="6" t="str">
        <f>IFERROR(__xludf.DUMMYFUNCTION("GOOGLETRANSLATE(E1064,""fr"",""it"")"),"Amo gli animali, un tipo interessante di querce.")</f>
        <v>Amo gli animali, un tipo interessante di querce.</v>
      </c>
    </row>
    <row r="1065">
      <c r="A1065" s="4">
        <v>1063.0</v>
      </c>
      <c r="B1065" s="5" t="s">
        <v>3196</v>
      </c>
      <c r="C1065" s="4">
        <v>0.0</v>
      </c>
      <c r="D1065" s="5" t="s">
        <v>3197</v>
      </c>
      <c r="E1065" s="5" t="s">
        <v>3198</v>
      </c>
      <c r="F1065" s="6" t="str">
        <f>IFERROR(__xludf.DUMMYFUNCTION("GOOGLETRANSLATE(D1065,""en"",""it"")"),"Mi piacciono gli alberi, un tipo di animale interessante.")</f>
        <v>Mi piacciono gli alberi, un tipo di animale interessante.</v>
      </c>
      <c r="G1065" s="6" t="str">
        <f>IFERROR(__xludf.DUMMYFUNCTION("GOOGLETRANSLATE(E1065,""fr"",""it"")"),"Amo gli alberi, un tipo di animale interessante.")</f>
        <v>Amo gli alberi, un tipo di animale interessante.</v>
      </c>
    </row>
    <row r="1066">
      <c r="A1066" s="4">
        <v>1064.0</v>
      </c>
      <c r="B1066" s="5" t="s">
        <v>3199</v>
      </c>
      <c r="C1066" s="4">
        <v>0.0</v>
      </c>
      <c r="D1066" s="5" t="s">
        <v>3200</v>
      </c>
      <c r="E1066" s="5" t="s">
        <v>3201</v>
      </c>
      <c r="F1066" s="6" t="str">
        <f>IFERROR(__xludf.DUMMYFUNCTION("GOOGLETRANSLATE(D1066,""en"",""it"")"),"Mi piacciono le querce, un tipo interessante di cespuglio.")</f>
        <v>Mi piacciono le querce, un tipo interessante di cespuglio.</v>
      </c>
      <c r="G1066" s="6" t="str">
        <f>IFERROR(__xludf.DUMMYFUNCTION("GOOGLETRANSLATE(E1066,""fr"",""it"")"),"Adoro le querce, un tipo interessante di cespuglio.")</f>
        <v>Adoro le querce, un tipo interessante di cespuglio.</v>
      </c>
    </row>
    <row r="1067">
      <c r="A1067" s="4">
        <v>1065.0</v>
      </c>
      <c r="B1067" s="5" t="s">
        <v>3202</v>
      </c>
      <c r="C1067" s="4">
        <v>0.0</v>
      </c>
      <c r="D1067" s="5" t="s">
        <v>3203</v>
      </c>
      <c r="E1067" s="5" t="s">
        <v>3204</v>
      </c>
      <c r="F1067" s="6" t="str">
        <f>IFERROR(__xludf.DUMMYFUNCTION("GOOGLETRANSLATE(D1067,""en"",""it"")"),"Mi piacciono i cespugli, un tipo interessante di quercia.")</f>
        <v>Mi piacciono i cespugli, un tipo interessante di quercia.</v>
      </c>
      <c r="G1067" s="6" t="str">
        <f>IFERROR(__xludf.DUMMYFUNCTION("GOOGLETRANSLATE(E1067,""fr"",""it"")"),"Amo i cespugli, un tipo interessante di querce.")</f>
        <v>Amo i cespugli, un tipo interessante di querce.</v>
      </c>
    </row>
    <row r="1068">
      <c r="A1068" s="4">
        <v>1066.0</v>
      </c>
      <c r="B1068" s="5" t="s">
        <v>3205</v>
      </c>
      <c r="C1068" s="4">
        <v>0.0</v>
      </c>
      <c r="D1068" s="5" t="s">
        <v>3206</v>
      </c>
      <c r="E1068" s="5" t="s">
        <v>3207</v>
      </c>
      <c r="F1068" s="6" t="str">
        <f>IFERROR(__xludf.DUMMYFUNCTION("GOOGLETRANSLATE(D1068,""en"",""it"")"),"Mi piacciono gli alberi, un tipo interessante di cespuglio.")</f>
        <v>Mi piacciono gli alberi, un tipo interessante di cespuglio.</v>
      </c>
      <c r="G1068" s="6" t="str">
        <f>IFERROR(__xludf.DUMMYFUNCTION("GOOGLETRANSLATE(E1068,""fr"",""it"")"),"Amo gli alberi, un tipo interessante di cespuglio.")</f>
        <v>Amo gli alberi, un tipo interessante di cespuglio.</v>
      </c>
    </row>
    <row r="1069">
      <c r="A1069" s="4">
        <v>1067.0</v>
      </c>
      <c r="B1069" s="5" t="s">
        <v>3208</v>
      </c>
      <c r="C1069" s="4">
        <v>0.0</v>
      </c>
      <c r="D1069" s="5" t="s">
        <v>3209</v>
      </c>
      <c r="E1069" s="5" t="s">
        <v>3210</v>
      </c>
      <c r="F1069" s="6" t="str">
        <f>IFERROR(__xludf.DUMMYFUNCTION("GOOGLETRANSLATE(D1069,""en"",""it"")"),"Mi piacciono le querce, un tipo di arbusto interessante.")</f>
        <v>Mi piacciono le querce, un tipo di arbusto interessante.</v>
      </c>
      <c r="G1069" s="6" t="str">
        <f>IFERROR(__xludf.DUMMYFUNCTION("GOOGLETRANSLATE(E1069,""fr"",""it"")"),"Adoro le querce, un tipo interessante di arbusto.")</f>
        <v>Adoro le querce, un tipo interessante di arbusto.</v>
      </c>
    </row>
    <row r="1070">
      <c r="A1070" s="4">
        <v>1068.0</v>
      </c>
      <c r="B1070" s="5" t="s">
        <v>3211</v>
      </c>
      <c r="C1070" s="4">
        <v>0.0</v>
      </c>
      <c r="D1070" s="5" t="s">
        <v>3212</v>
      </c>
      <c r="E1070" s="5" t="s">
        <v>3213</v>
      </c>
      <c r="F1070" s="6" t="str">
        <f>IFERROR(__xludf.DUMMYFUNCTION("GOOGLETRANSLATE(D1070,""en"",""it"")"),"Mi piacciono gli arbusti, un tipo interessante di quercia.")</f>
        <v>Mi piacciono gli arbusti, un tipo interessante di quercia.</v>
      </c>
      <c r="G1070" s="6" t="str">
        <f>IFERROR(__xludf.DUMMYFUNCTION("GOOGLETRANSLATE(E1070,""fr"",""it"")"),"Amo gli arbusti, un tipo interessante di querce.")</f>
        <v>Amo gli arbusti, un tipo interessante di querce.</v>
      </c>
    </row>
    <row r="1071">
      <c r="A1071" s="4">
        <v>1069.0</v>
      </c>
      <c r="B1071" s="5" t="s">
        <v>3214</v>
      </c>
      <c r="C1071" s="4">
        <v>0.0</v>
      </c>
      <c r="D1071" s="5" t="s">
        <v>3215</v>
      </c>
      <c r="E1071" s="5" t="s">
        <v>3216</v>
      </c>
      <c r="F1071" s="6" t="str">
        <f>IFERROR(__xludf.DUMMYFUNCTION("GOOGLETRANSLATE(D1071,""en"",""it"")"),"Mi piacciono gli alberi, un tipo di arbusto interessante.")</f>
        <v>Mi piacciono gli alberi, un tipo di arbusto interessante.</v>
      </c>
      <c r="G1071" s="6" t="str">
        <f>IFERROR(__xludf.DUMMYFUNCTION("GOOGLETRANSLATE(E1071,""fr"",""it"")"),"Amo gli alberi, un tipo interessante di arbusto.")</f>
        <v>Amo gli alberi, un tipo interessante di arbusto.</v>
      </c>
    </row>
    <row r="1072">
      <c r="A1072" s="4">
        <v>1070.0</v>
      </c>
      <c r="B1072" s="5" t="s">
        <v>3217</v>
      </c>
      <c r="C1072" s="4">
        <v>0.0</v>
      </c>
      <c r="D1072" s="5" t="s">
        <v>3218</v>
      </c>
      <c r="E1072" s="5" t="s">
        <v>3219</v>
      </c>
      <c r="F1072" s="6" t="str">
        <f>IFERROR(__xludf.DUMMYFUNCTION("GOOGLETRANSLATE(D1072,""en"",""it"")"),"Mi piacciono le betulle, un tipo di erba interessante.")</f>
        <v>Mi piacciono le betulle, un tipo di erba interessante.</v>
      </c>
      <c r="G1072" s="6" t="str">
        <f>IFERROR(__xludf.DUMMYFUNCTION("GOOGLETRANSLATE(E1072,""fr"",""it"")"),"Amo Birch, un tipo interessante di prato.")</f>
        <v>Amo Birch, un tipo interessante di prato.</v>
      </c>
    </row>
    <row r="1073">
      <c r="A1073" s="4">
        <v>1071.0</v>
      </c>
      <c r="B1073" s="5" t="s">
        <v>3220</v>
      </c>
      <c r="C1073" s="4">
        <v>0.0</v>
      </c>
      <c r="D1073" s="5" t="s">
        <v>3221</v>
      </c>
      <c r="E1073" s="5" t="s">
        <v>3222</v>
      </c>
      <c r="F1073" s="6" t="str">
        <f>IFERROR(__xludf.DUMMYFUNCTION("GOOGLETRANSLATE(D1073,""en"",""it"")"),"Mi piace l'erba, un tipo interessante di betulla.")</f>
        <v>Mi piace l'erba, un tipo interessante di betulla.</v>
      </c>
      <c r="G1073" s="6" t="str">
        <f>IFERROR(__xludf.DUMMYFUNCTION("GOOGLETRANSLATE(E1073,""fr"",""it"")"),"Adoro il prato, un tipo interessante di betulla.")</f>
        <v>Adoro il prato, un tipo interessante di betulla.</v>
      </c>
    </row>
    <row r="1074">
      <c r="A1074" s="4">
        <v>1072.0</v>
      </c>
      <c r="B1074" s="5" t="s">
        <v>3223</v>
      </c>
      <c r="C1074" s="4">
        <v>1.0</v>
      </c>
      <c r="D1074" s="5" t="s">
        <v>3224</v>
      </c>
      <c r="E1074" s="5" t="s">
        <v>3225</v>
      </c>
      <c r="F1074" s="6" t="str">
        <f>IFERROR(__xludf.DUMMYFUNCTION("GOOGLETRANSLATE(D1074,""en"",""it"")"),"Mi piacciono le betulle, un tipo interessante di albero.")</f>
        <v>Mi piacciono le betulle, un tipo interessante di albero.</v>
      </c>
      <c r="G1074" s="6" t="str">
        <f>IFERROR(__xludf.DUMMYFUNCTION("GOOGLETRANSLATE(E1074,""fr"",""it"")"),"Amo Birches, un tipo interessante di albero.")</f>
        <v>Amo Birches, un tipo interessante di albero.</v>
      </c>
    </row>
    <row r="1075">
      <c r="A1075" s="4">
        <v>1073.0</v>
      </c>
      <c r="B1075" s="5" t="s">
        <v>3226</v>
      </c>
      <c r="C1075" s="4">
        <v>0.0</v>
      </c>
      <c r="D1075" s="5" t="s">
        <v>3227</v>
      </c>
      <c r="E1075" s="5" t="s">
        <v>3228</v>
      </c>
      <c r="F1075" s="6" t="str">
        <f>IFERROR(__xludf.DUMMYFUNCTION("GOOGLETRANSLATE(D1075,""en"",""it"")"),"Mi piacciono gli alberi, un tipo interessante di betulla.")</f>
        <v>Mi piacciono gli alberi, un tipo interessante di betulla.</v>
      </c>
      <c r="G1075" s="6" t="str">
        <f>IFERROR(__xludf.DUMMYFUNCTION("GOOGLETRANSLATE(E1075,""fr"",""it"")"),"Amo gli alberi, un tipo interessante di betulla.")</f>
        <v>Amo gli alberi, un tipo interessante di betulla.</v>
      </c>
    </row>
    <row r="1076">
      <c r="A1076" s="4">
        <v>1074.0</v>
      </c>
      <c r="B1076" s="5" t="s">
        <v>3229</v>
      </c>
      <c r="C1076" s="4">
        <v>0.0</v>
      </c>
      <c r="D1076" s="5" t="s">
        <v>3230</v>
      </c>
      <c r="E1076" s="5" t="s">
        <v>3231</v>
      </c>
      <c r="F1076" s="6" t="str">
        <f>IFERROR(__xludf.DUMMYFUNCTION("GOOGLETRANSLATE(D1076,""en"",""it"")"),"Mi piacciono le betulle, un tipo di animale interessante.")</f>
        <v>Mi piacciono le betulle, un tipo di animale interessante.</v>
      </c>
      <c r="G1076" s="6" t="str">
        <f>IFERROR(__xludf.DUMMYFUNCTION("GOOGLETRANSLATE(E1076,""fr"",""it"")"),"Amo Birch, un tipo di animale interessante.")</f>
        <v>Amo Birch, un tipo di animale interessante.</v>
      </c>
    </row>
    <row r="1077">
      <c r="A1077" s="4">
        <v>1075.0</v>
      </c>
      <c r="B1077" s="5" t="s">
        <v>3232</v>
      </c>
      <c r="C1077" s="4">
        <v>0.0</v>
      </c>
      <c r="D1077" s="5" t="s">
        <v>3233</v>
      </c>
      <c r="E1077" s="5" t="s">
        <v>3234</v>
      </c>
      <c r="F1077" s="6" t="str">
        <f>IFERROR(__xludf.DUMMYFUNCTION("GOOGLETRANSLATE(D1077,""en"",""it"")"),"Mi piacciono gli animali, un tipo interessante di betulla.")</f>
        <v>Mi piacciono gli animali, un tipo interessante di betulla.</v>
      </c>
      <c r="G1077" s="6" t="str">
        <f>IFERROR(__xludf.DUMMYFUNCTION("GOOGLETRANSLATE(E1077,""fr"",""it"")"),"Amo gli animali, un tipo interessante di betulla.")</f>
        <v>Amo gli animali, un tipo interessante di betulla.</v>
      </c>
    </row>
    <row r="1078">
      <c r="A1078" s="4">
        <v>1076.0</v>
      </c>
      <c r="B1078" s="5" t="s">
        <v>3235</v>
      </c>
      <c r="C1078" s="4">
        <v>0.0</v>
      </c>
      <c r="D1078" s="5" t="s">
        <v>3236</v>
      </c>
      <c r="E1078" s="5" t="s">
        <v>3237</v>
      </c>
      <c r="F1078" s="6" t="str">
        <f>IFERROR(__xludf.DUMMYFUNCTION("GOOGLETRANSLATE(D1078,""en"",""it"")"),"Mi piacciono le betulle, un tipo interessante di cespuglio.")</f>
        <v>Mi piacciono le betulle, un tipo interessante di cespuglio.</v>
      </c>
      <c r="G1078" s="6" t="str">
        <f>IFERROR(__xludf.DUMMYFUNCTION("GOOGLETRANSLATE(E1078,""fr"",""it"")"),"Amo Birch, un tipo interessante di cespuglio.")</f>
        <v>Amo Birch, un tipo interessante di cespuglio.</v>
      </c>
    </row>
    <row r="1079">
      <c r="A1079" s="4">
        <v>1077.0</v>
      </c>
      <c r="B1079" s="5" t="s">
        <v>3238</v>
      </c>
      <c r="C1079" s="4">
        <v>0.0</v>
      </c>
      <c r="D1079" s="5" t="s">
        <v>3239</v>
      </c>
      <c r="E1079" s="5" t="s">
        <v>3240</v>
      </c>
      <c r="F1079" s="6" t="str">
        <f>IFERROR(__xludf.DUMMYFUNCTION("GOOGLETRANSLATE(D1079,""en"",""it"")"),"Mi piacciono i cespugli, un tipo interessante di betulla.")</f>
        <v>Mi piacciono i cespugli, un tipo interessante di betulla.</v>
      </c>
      <c r="G1079" s="6" t="str">
        <f>IFERROR(__xludf.DUMMYFUNCTION("GOOGLETRANSLATE(E1079,""fr"",""it"")"),"Amo i cespugli, un tipo interessante di betulla.")</f>
        <v>Amo i cespugli, un tipo interessante di betulla.</v>
      </c>
    </row>
    <row r="1080">
      <c r="A1080" s="4">
        <v>1078.0</v>
      </c>
      <c r="B1080" s="5" t="s">
        <v>3241</v>
      </c>
      <c r="C1080" s="4">
        <v>0.0</v>
      </c>
      <c r="D1080" s="5" t="s">
        <v>3242</v>
      </c>
      <c r="E1080" s="5" t="s">
        <v>3243</v>
      </c>
      <c r="F1080" s="6" t="str">
        <f>IFERROR(__xludf.DUMMYFUNCTION("GOOGLETRANSLATE(D1080,""en"",""it"")"),"Mi piacciono le betulle, un tipo di arbusto interessante.")</f>
        <v>Mi piacciono le betulle, un tipo di arbusto interessante.</v>
      </c>
      <c r="G1080" s="6" t="str">
        <f>IFERROR(__xludf.DUMMYFUNCTION("GOOGLETRANSLATE(E1080,""fr"",""it"")"),"Amo Birch, un tipo interessante di arbusto.")</f>
        <v>Amo Birch, un tipo interessante di arbusto.</v>
      </c>
    </row>
    <row r="1081">
      <c r="A1081" s="4">
        <v>1079.0</v>
      </c>
      <c r="B1081" s="5" t="s">
        <v>3244</v>
      </c>
      <c r="C1081" s="4">
        <v>0.0</v>
      </c>
      <c r="D1081" s="5" t="s">
        <v>3245</v>
      </c>
      <c r="E1081" s="5" t="s">
        <v>3246</v>
      </c>
      <c r="F1081" s="6" t="str">
        <f>IFERROR(__xludf.DUMMYFUNCTION("GOOGLETRANSLATE(D1081,""en"",""it"")"),"Mi piacciono gli arbusti, un tipo interessante di betulla.")</f>
        <v>Mi piacciono gli arbusti, un tipo interessante di betulla.</v>
      </c>
      <c r="G1081" s="6" t="str">
        <f>IFERROR(__xludf.DUMMYFUNCTION("GOOGLETRANSLATE(E1081,""fr"",""it"")"),"Amo gli arbusti, un tipo interessante di betulla.")</f>
        <v>Amo gli arbusti, un tipo interessante di betulla.</v>
      </c>
    </row>
    <row r="1082">
      <c r="A1082" s="4">
        <v>1080.0</v>
      </c>
      <c r="B1082" s="5" t="s">
        <v>3247</v>
      </c>
      <c r="C1082" s="4">
        <v>0.0</v>
      </c>
      <c r="D1082" s="5" t="s">
        <v>3248</v>
      </c>
      <c r="E1082" s="5" t="s">
        <v>3249</v>
      </c>
      <c r="F1082" s="6" t="str">
        <f>IFERROR(__xludf.DUMMYFUNCTION("GOOGLETRANSLATE(D1082,""en"",""it"")"),"Mi piacciono gli abeti, un tipo di erba interessante.")</f>
        <v>Mi piacciono gli abeti, un tipo di erba interessante.</v>
      </c>
      <c r="G1082" s="6" t="str">
        <f>IFERROR(__xludf.DUMMYFUNCTION("GOOGLETRANSLATE(E1082,""fr"",""it"")"),"Amo gli abeti, un tipo di prato interessante.")</f>
        <v>Amo gli abeti, un tipo di prato interessante.</v>
      </c>
    </row>
    <row r="1083">
      <c r="A1083" s="4">
        <v>1081.0</v>
      </c>
      <c r="B1083" s="5" t="s">
        <v>3250</v>
      </c>
      <c r="C1083" s="4">
        <v>0.0</v>
      </c>
      <c r="D1083" s="5" t="s">
        <v>3251</v>
      </c>
      <c r="E1083" s="5" t="s">
        <v>3252</v>
      </c>
      <c r="F1083" s="6" t="str">
        <f>IFERROR(__xludf.DUMMYFUNCTION("GOOGLETRANSLATE(D1083,""en"",""it"")"),"Mi piace l'erba, un tipo interessante di abeti.")</f>
        <v>Mi piace l'erba, un tipo interessante di abeti.</v>
      </c>
      <c r="G1083" s="6" t="str">
        <f>IFERROR(__xludf.DUMMYFUNCTION("GOOGLETRANSLATE(E1083,""fr"",""it"")"),"Adoro il prato, un tipo interessante di abeti.")</f>
        <v>Adoro il prato, un tipo interessante di abeti.</v>
      </c>
    </row>
    <row r="1084">
      <c r="A1084" s="4">
        <v>1082.0</v>
      </c>
      <c r="B1084" s="5" t="s">
        <v>3253</v>
      </c>
      <c r="C1084" s="4">
        <v>1.0</v>
      </c>
      <c r="D1084" s="5" t="s">
        <v>3254</v>
      </c>
      <c r="E1084" s="5" t="s">
        <v>3255</v>
      </c>
      <c r="F1084" s="6" t="str">
        <f>IFERROR(__xludf.DUMMYFUNCTION("GOOGLETRANSLATE(D1084,""en"",""it"")"),"Mi piacciono gli abeti, un tipo interessante di albero.")</f>
        <v>Mi piacciono gli abeti, un tipo interessante di albero.</v>
      </c>
      <c r="G1084" s="6" t="str">
        <f>IFERROR(__xludf.DUMMYFUNCTION("GOOGLETRANSLATE(E1084,""fr"",""it"")"),"Adoro gli abeti, un tipo interessante di albero.")</f>
        <v>Adoro gli abeti, un tipo interessante di albero.</v>
      </c>
    </row>
    <row r="1085">
      <c r="A1085" s="4">
        <v>1083.0</v>
      </c>
      <c r="B1085" s="5" t="s">
        <v>3256</v>
      </c>
      <c r="C1085" s="4">
        <v>0.0</v>
      </c>
      <c r="D1085" s="5" t="s">
        <v>3257</v>
      </c>
      <c r="E1085" s="5" t="s">
        <v>3258</v>
      </c>
      <c r="F1085" s="6" t="str">
        <f>IFERROR(__xludf.DUMMYFUNCTION("GOOGLETRANSLATE(D1085,""en"",""it"")"),"Mi piacciono gli alberi, un tipo interessante di abeti.")</f>
        <v>Mi piacciono gli alberi, un tipo interessante di abeti.</v>
      </c>
      <c r="G1085" s="6" t="str">
        <f>IFERROR(__xludf.DUMMYFUNCTION("GOOGLETRANSLATE(E1085,""fr"",""it"")"),"Amo gli alberi, un tipo interessante di abeti.")</f>
        <v>Amo gli alberi, un tipo interessante di abeti.</v>
      </c>
    </row>
    <row r="1086">
      <c r="A1086" s="4">
        <v>1084.0</v>
      </c>
      <c r="B1086" s="5" t="s">
        <v>3259</v>
      </c>
      <c r="C1086" s="4">
        <v>0.0</v>
      </c>
      <c r="D1086" s="5" t="s">
        <v>3260</v>
      </c>
      <c r="E1086" s="5" t="s">
        <v>3261</v>
      </c>
      <c r="F1086" s="6" t="str">
        <f>IFERROR(__xludf.DUMMYFUNCTION("GOOGLETRANSLATE(D1086,""en"",""it"")"),"Mi piacciono gli abeti, un tipo di animale interessante.")</f>
        <v>Mi piacciono gli abeti, un tipo di animale interessante.</v>
      </c>
      <c r="G1086" s="6" t="str">
        <f>IFERROR(__xludf.DUMMYFUNCTION("GOOGLETRANSLATE(E1086,""fr"",""it"")"),"Adoro gli abeti, un tipo di animale interessante.")</f>
        <v>Adoro gli abeti, un tipo di animale interessante.</v>
      </c>
    </row>
    <row r="1087">
      <c r="A1087" s="4">
        <v>1085.0</v>
      </c>
      <c r="B1087" s="5" t="s">
        <v>3262</v>
      </c>
      <c r="C1087" s="4">
        <v>0.0</v>
      </c>
      <c r="D1087" s="5" t="s">
        <v>3263</v>
      </c>
      <c r="E1087" s="5" t="s">
        <v>3264</v>
      </c>
      <c r="F1087" s="6" t="str">
        <f>IFERROR(__xludf.DUMMYFUNCTION("GOOGLETRANSLATE(D1087,""en"",""it"")"),"Mi piacciono gli animali, un tipo interessante di abeti.")</f>
        <v>Mi piacciono gli animali, un tipo interessante di abeti.</v>
      </c>
      <c r="G1087" s="6" t="str">
        <f>IFERROR(__xludf.DUMMYFUNCTION("GOOGLETRANSLATE(E1087,""fr"",""it"")"),"Amo gli animali, un tipo interessante di abeti.")</f>
        <v>Amo gli animali, un tipo interessante di abeti.</v>
      </c>
    </row>
    <row r="1088">
      <c r="A1088" s="4">
        <v>1086.0</v>
      </c>
      <c r="B1088" s="5" t="s">
        <v>3265</v>
      </c>
      <c r="C1088" s="4">
        <v>0.0</v>
      </c>
      <c r="D1088" s="5" t="s">
        <v>3266</v>
      </c>
      <c r="E1088" s="5" t="s">
        <v>3267</v>
      </c>
      <c r="F1088" s="6" t="str">
        <f>IFERROR(__xludf.DUMMYFUNCTION("GOOGLETRANSLATE(D1088,""en"",""it"")"),"Mi piacciono gli abeti, un tipo interessante di cespuglio.")</f>
        <v>Mi piacciono gli abeti, un tipo interessante di cespuglio.</v>
      </c>
      <c r="G1088" s="6" t="str">
        <f>IFERROR(__xludf.DUMMYFUNCTION("GOOGLETRANSLATE(E1088,""fr"",""it"")"),"Amo gli abeti, un tipo interessante di cespuglio.")</f>
        <v>Amo gli abeti, un tipo interessante di cespuglio.</v>
      </c>
    </row>
    <row r="1089">
      <c r="A1089" s="4">
        <v>1087.0</v>
      </c>
      <c r="B1089" s="5" t="s">
        <v>3268</v>
      </c>
      <c r="C1089" s="4">
        <v>0.0</v>
      </c>
      <c r="D1089" s="5" t="s">
        <v>3269</v>
      </c>
      <c r="E1089" s="5" t="s">
        <v>3270</v>
      </c>
      <c r="F1089" s="6" t="str">
        <f>IFERROR(__xludf.DUMMYFUNCTION("GOOGLETRANSLATE(D1089,""en"",""it"")"),"Mi piacciono i cespugli, un tipo interessante di abeti.")</f>
        <v>Mi piacciono i cespugli, un tipo interessante di abeti.</v>
      </c>
      <c r="G1089" s="6" t="str">
        <f>IFERROR(__xludf.DUMMYFUNCTION("GOOGLETRANSLATE(E1089,""fr"",""it"")"),"Amo i cespugli, un tipo interessante di abeti.")</f>
        <v>Amo i cespugli, un tipo interessante di abeti.</v>
      </c>
    </row>
    <row r="1090">
      <c r="A1090" s="4">
        <v>1088.0</v>
      </c>
      <c r="B1090" s="5" t="s">
        <v>3271</v>
      </c>
      <c r="C1090" s="4">
        <v>0.0</v>
      </c>
      <c r="D1090" s="5" t="s">
        <v>3272</v>
      </c>
      <c r="E1090" s="5" t="s">
        <v>3273</v>
      </c>
      <c r="F1090" s="6" t="str">
        <f>IFERROR(__xludf.DUMMYFUNCTION("GOOGLETRANSLATE(D1090,""en"",""it"")"),"Mi piacciono gli abeti, un tipo di arbusto interessante.")</f>
        <v>Mi piacciono gli abeti, un tipo di arbusto interessante.</v>
      </c>
      <c r="G1090" s="6" t="str">
        <f>IFERROR(__xludf.DUMMYFUNCTION("GOOGLETRANSLATE(E1090,""fr"",""it"")"),"Adoro gli abeti, un interessante tipo di arbusto.")</f>
        <v>Adoro gli abeti, un interessante tipo di arbusto.</v>
      </c>
    </row>
    <row r="1091">
      <c r="A1091" s="4">
        <v>1089.0</v>
      </c>
      <c r="B1091" s="5" t="s">
        <v>3274</v>
      </c>
      <c r="C1091" s="4">
        <v>0.0</v>
      </c>
      <c r="D1091" s="5" t="s">
        <v>3275</v>
      </c>
      <c r="E1091" s="5" t="s">
        <v>3276</v>
      </c>
      <c r="F1091" s="6" t="str">
        <f>IFERROR(__xludf.DUMMYFUNCTION("GOOGLETRANSLATE(D1091,""en"",""it"")"),"Mi piacciono gli arbusti, un tipo interessante di abeti.")</f>
        <v>Mi piacciono gli arbusti, un tipo interessante di abeti.</v>
      </c>
      <c r="G1091" s="6" t="str">
        <f>IFERROR(__xludf.DUMMYFUNCTION("GOOGLETRANSLATE(E1091,""fr"",""it"")"),"Amo gli arbusti, un tipo interessante di abeti.")</f>
        <v>Amo gli arbusti, un tipo interessante di abeti.</v>
      </c>
    </row>
    <row r="1092">
      <c r="A1092" s="4">
        <v>1090.0</v>
      </c>
      <c r="B1092" s="5" t="s">
        <v>3277</v>
      </c>
      <c r="C1092" s="4">
        <v>0.0</v>
      </c>
      <c r="D1092" s="5" t="s">
        <v>3278</v>
      </c>
      <c r="E1092" s="5" t="s">
        <v>3279</v>
      </c>
      <c r="F1092" s="6" t="str">
        <f>IFERROR(__xludf.DUMMYFUNCTION("GOOGLETRANSLATE(D1092,""en"",""it"")"),"Mi piacciono i pini, un tipo di erba interessante.")</f>
        <v>Mi piacciono i pini, un tipo di erba interessante.</v>
      </c>
      <c r="G1092" s="6" t="str">
        <f>IFERROR(__xludf.DUMMYFUNCTION("GOOGLETRANSLATE(E1092,""fr"",""it"")"),"Adoro i pini, un tipo di prato interessante.")</f>
        <v>Adoro i pini, un tipo di prato interessante.</v>
      </c>
    </row>
    <row r="1093">
      <c r="A1093" s="4">
        <v>1091.0</v>
      </c>
      <c r="B1093" s="5" t="s">
        <v>3280</v>
      </c>
      <c r="C1093" s="4">
        <v>0.0</v>
      </c>
      <c r="D1093" s="5" t="s">
        <v>3281</v>
      </c>
      <c r="E1093" s="5" t="s">
        <v>3282</v>
      </c>
      <c r="F1093" s="6" t="str">
        <f>IFERROR(__xludf.DUMMYFUNCTION("GOOGLETRANSLATE(D1093,""en"",""it"")"),"Mi piace l'erba, un tipo interessante di pino.")</f>
        <v>Mi piace l'erba, un tipo interessante di pino.</v>
      </c>
      <c r="G1093" s="6" t="str">
        <f>IFERROR(__xludf.DUMMYFUNCTION("GOOGLETRANSLATE(E1093,""fr"",""it"")"),"Adoro il prato, un tipo interessante di pino.")</f>
        <v>Adoro il prato, un tipo interessante di pino.</v>
      </c>
    </row>
    <row r="1094">
      <c r="A1094" s="4">
        <v>1092.0</v>
      </c>
      <c r="B1094" s="5" t="s">
        <v>3283</v>
      </c>
      <c r="C1094" s="4">
        <v>1.0</v>
      </c>
      <c r="D1094" s="5" t="s">
        <v>3284</v>
      </c>
      <c r="E1094" s="5" t="s">
        <v>3285</v>
      </c>
      <c r="F1094" s="6" t="str">
        <f>IFERROR(__xludf.DUMMYFUNCTION("GOOGLETRANSLATE(D1094,""en"",""it"")"),"Mi piacciono i pini, un tipo di albero interessante.")</f>
        <v>Mi piacciono i pini, un tipo di albero interessante.</v>
      </c>
      <c r="G1094" s="6" t="str">
        <f>IFERROR(__xludf.DUMMYFUNCTION("GOOGLETRANSLATE(E1094,""fr"",""it"")"),"Adoro i pini, un tipo interessante di albero.")</f>
        <v>Adoro i pini, un tipo interessante di albero.</v>
      </c>
    </row>
    <row r="1095">
      <c r="A1095" s="4">
        <v>1093.0</v>
      </c>
      <c r="B1095" s="5" t="s">
        <v>3286</v>
      </c>
      <c r="C1095" s="4">
        <v>0.0</v>
      </c>
      <c r="D1095" s="5" t="s">
        <v>3287</v>
      </c>
      <c r="E1095" s="5" t="s">
        <v>3288</v>
      </c>
      <c r="F1095" s="6" t="str">
        <f>IFERROR(__xludf.DUMMYFUNCTION("GOOGLETRANSLATE(D1095,""en"",""it"")"),"Mi piacciono gli alberi, un tipo di pino interessante.")</f>
        <v>Mi piacciono gli alberi, un tipo di pino interessante.</v>
      </c>
      <c r="G1095" s="6" t="str">
        <f>IFERROR(__xludf.DUMMYFUNCTION("GOOGLETRANSLATE(E1095,""fr"",""it"")"),"Amo gli alberi, un tipo interessante di pino.")</f>
        <v>Amo gli alberi, un tipo interessante di pino.</v>
      </c>
    </row>
    <row r="1096">
      <c r="A1096" s="4">
        <v>1094.0</v>
      </c>
      <c r="B1096" s="5" t="s">
        <v>3289</v>
      </c>
      <c r="C1096" s="4">
        <v>0.0</v>
      </c>
      <c r="D1096" s="5" t="s">
        <v>3290</v>
      </c>
      <c r="E1096" s="5" t="s">
        <v>3291</v>
      </c>
      <c r="F1096" s="6" t="str">
        <f>IFERROR(__xludf.DUMMYFUNCTION("GOOGLETRANSLATE(D1096,""en"",""it"")"),"Mi piacciono i pini, un tipo di animale interessante.")</f>
        <v>Mi piacciono i pini, un tipo di animale interessante.</v>
      </c>
      <c r="G1096" s="6" t="str">
        <f>IFERROR(__xludf.DUMMYFUNCTION("GOOGLETRANSLATE(E1096,""fr"",""it"")"),"Adoro i pini, un tipo di animale interessante.")</f>
        <v>Adoro i pini, un tipo di animale interessante.</v>
      </c>
    </row>
    <row r="1097">
      <c r="A1097" s="4">
        <v>1095.0</v>
      </c>
      <c r="B1097" s="5" t="s">
        <v>3292</v>
      </c>
      <c r="C1097" s="4">
        <v>0.0</v>
      </c>
      <c r="D1097" s="5" t="s">
        <v>3293</v>
      </c>
      <c r="E1097" s="5" t="s">
        <v>3294</v>
      </c>
      <c r="F1097" s="6" t="str">
        <f>IFERROR(__xludf.DUMMYFUNCTION("GOOGLETRANSLATE(D1097,""en"",""it"")"),"Mi piacciono gli animali, un tipo interessante di pino.")</f>
        <v>Mi piacciono gli animali, un tipo interessante di pino.</v>
      </c>
      <c r="G1097" s="6" t="str">
        <f>IFERROR(__xludf.DUMMYFUNCTION("GOOGLETRANSLATE(E1097,""fr"",""it"")"),"Amo gli animali, un tipo interessante di pino.")</f>
        <v>Amo gli animali, un tipo interessante di pino.</v>
      </c>
    </row>
    <row r="1098">
      <c r="A1098" s="4">
        <v>1096.0</v>
      </c>
      <c r="B1098" s="5" t="s">
        <v>3295</v>
      </c>
      <c r="C1098" s="4">
        <v>0.0</v>
      </c>
      <c r="D1098" s="5" t="s">
        <v>3296</v>
      </c>
      <c r="E1098" s="5" t="s">
        <v>3297</v>
      </c>
      <c r="F1098" s="6" t="str">
        <f>IFERROR(__xludf.DUMMYFUNCTION("GOOGLETRANSLATE(D1098,""en"",""it"")"),"Mi piacciono i pini, un tipo di cespuglio interessante.")</f>
        <v>Mi piacciono i pini, un tipo di cespuglio interessante.</v>
      </c>
      <c r="G1098" s="6" t="str">
        <f>IFERROR(__xludf.DUMMYFUNCTION("GOOGLETRANSLATE(E1098,""fr"",""it"")"),"Adoro i pini, un tipo interessante di cespuglio.")</f>
        <v>Adoro i pini, un tipo interessante di cespuglio.</v>
      </c>
    </row>
    <row r="1099">
      <c r="A1099" s="4">
        <v>1097.0</v>
      </c>
      <c r="B1099" s="5" t="s">
        <v>3298</v>
      </c>
      <c r="C1099" s="4">
        <v>0.0</v>
      </c>
      <c r="D1099" s="5" t="s">
        <v>3299</v>
      </c>
      <c r="E1099" s="5" t="s">
        <v>3300</v>
      </c>
      <c r="F1099" s="6" t="str">
        <f>IFERROR(__xludf.DUMMYFUNCTION("GOOGLETRANSLATE(D1099,""en"",""it"")"),"Mi piacciono i cespugli, un tipo di pino interessante.")</f>
        <v>Mi piacciono i cespugli, un tipo di pino interessante.</v>
      </c>
      <c r="G1099" s="6" t="str">
        <f>IFERROR(__xludf.DUMMYFUNCTION("GOOGLETRANSLATE(E1099,""fr"",""it"")"),"Adoro i cespugli, un tipo interessante di pino.")</f>
        <v>Adoro i cespugli, un tipo interessante di pino.</v>
      </c>
    </row>
    <row r="1100">
      <c r="A1100" s="4">
        <v>1098.0</v>
      </c>
      <c r="B1100" s="5" t="s">
        <v>3301</v>
      </c>
      <c r="C1100" s="4">
        <v>0.0</v>
      </c>
      <c r="D1100" s="5" t="s">
        <v>3302</v>
      </c>
      <c r="E1100" s="5" t="s">
        <v>3303</v>
      </c>
      <c r="F1100" s="6" t="str">
        <f>IFERROR(__xludf.DUMMYFUNCTION("GOOGLETRANSLATE(D1100,""en"",""it"")"),"Mi piacciono i pini, un tipo di arbusto interessante.")</f>
        <v>Mi piacciono i pini, un tipo di arbusto interessante.</v>
      </c>
      <c r="G1100" s="6" t="str">
        <f>IFERROR(__xludf.DUMMYFUNCTION("GOOGLETRANSLATE(E1100,""fr"",""it"")"),"Adoro i pini, un tipo interessante di arbusto.")</f>
        <v>Adoro i pini, un tipo interessante di arbusto.</v>
      </c>
    </row>
    <row r="1101">
      <c r="A1101" s="4">
        <v>1099.0</v>
      </c>
      <c r="B1101" s="5" t="s">
        <v>3304</v>
      </c>
      <c r="C1101" s="4">
        <v>0.0</v>
      </c>
      <c r="D1101" s="5" t="s">
        <v>3305</v>
      </c>
      <c r="E1101" s="5" t="s">
        <v>3306</v>
      </c>
      <c r="F1101" s="6" t="str">
        <f>IFERROR(__xludf.DUMMYFUNCTION("GOOGLETRANSLATE(D1101,""en"",""it"")"),"Mi piacciono gli arbusti, un tipo interessante di pino.")</f>
        <v>Mi piacciono gli arbusti, un tipo interessante di pino.</v>
      </c>
      <c r="G1101" s="6" t="str">
        <f>IFERROR(__xludf.DUMMYFUNCTION("GOOGLETRANSLATE(E1101,""fr"",""it"")"),"Amo gli arbusti, un tipo interessante di pino.")</f>
        <v>Amo gli arbusti, un tipo interessante di pino.</v>
      </c>
    </row>
    <row r="1102">
      <c r="A1102" s="4">
        <v>1100.0</v>
      </c>
      <c r="B1102" s="5" t="s">
        <v>3307</v>
      </c>
      <c r="C1102" s="4">
        <v>0.0</v>
      </c>
      <c r="D1102" s="5" t="s">
        <v>3308</v>
      </c>
      <c r="E1102" s="5" t="s">
        <v>3309</v>
      </c>
      <c r="F1102" s="6" t="str">
        <f>IFERROR(__xludf.DUMMYFUNCTION("GOOGLETRANSLATE(D1102,""en"",""it"")"),"Io uso poliestere, un tipo di legno interessante.")</f>
        <v>Io uso poliestere, un tipo di legno interessante.</v>
      </c>
      <c r="G1102" s="6" t="str">
        <f>IFERROR(__xludf.DUMMYFUNCTION("GOOGLETRANSLATE(E1102,""fr"",""it"")"),"Io uso il poliestere, un tipo interessante di legno.")</f>
        <v>Io uso il poliestere, un tipo interessante di legno.</v>
      </c>
    </row>
    <row r="1103">
      <c r="A1103" s="4">
        <v>1101.0</v>
      </c>
      <c r="B1103" s="5" t="s">
        <v>3310</v>
      </c>
      <c r="C1103" s="4">
        <v>0.0</v>
      </c>
      <c r="D1103" s="5" t="s">
        <v>3311</v>
      </c>
      <c r="E1103" s="5" t="s">
        <v>3312</v>
      </c>
      <c r="F1103" s="6" t="str">
        <f>IFERROR(__xludf.DUMMYFUNCTION("GOOGLETRANSLATE(D1103,""en"",""it"")"),"Io uso il legno, un tipo interessante di poliestere.")</f>
        <v>Io uso il legno, un tipo interessante di poliestere.</v>
      </c>
      <c r="G1103" s="6" t="str">
        <f>IFERROR(__xludf.DUMMYFUNCTION("GOOGLETRANSLATE(E1103,""fr"",""it"")"),"Io uso il legno, un tipo interessante di poliestere.")</f>
        <v>Io uso il legno, un tipo interessante di poliestere.</v>
      </c>
    </row>
    <row r="1104">
      <c r="A1104" s="4">
        <v>1102.0</v>
      </c>
      <c r="B1104" s="5" t="s">
        <v>3313</v>
      </c>
      <c r="C1104" s="4">
        <v>1.0</v>
      </c>
      <c r="D1104" s="5" t="s">
        <v>3314</v>
      </c>
      <c r="E1104" s="5" t="s">
        <v>3315</v>
      </c>
      <c r="F1104" s="6" t="str">
        <f>IFERROR(__xludf.DUMMYFUNCTION("GOOGLETRANSLATE(D1104,""en"",""it"")"),"Io uso poliestere, un tipo di plastica interessante.")</f>
        <v>Io uso poliestere, un tipo di plastica interessante.</v>
      </c>
      <c r="G1104" s="6" t="str">
        <f>IFERROR(__xludf.DUMMYFUNCTION("GOOGLETRANSLATE(E1104,""fr"",""it"")"),"Io uso il poliestere, un tipo interessante di plastica.")</f>
        <v>Io uso il poliestere, un tipo interessante di plastica.</v>
      </c>
    </row>
    <row r="1105">
      <c r="A1105" s="4">
        <v>1103.0</v>
      </c>
      <c r="B1105" s="5" t="s">
        <v>3316</v>
      </c>
      <c r="C1105" s="4">
        <v>0.0</v>
      </c>
      <c r="D1105" s="5" t="s">
        <v>3317</v>
      </c>
      <c r="E1105" s="5" t="s">
        <v>3318</v>
      </c>
      <c r="F1105" s="6" t="str">
        <f>IFERROR(__xludf.DUMMYFUNCTION("GOOGLETRANSLATE(D1105,""en"",""it"")"),"Io uso la plastica, un tipo interessante di poliestere.")</f>
        <v>Io uso la plastica, un tipo interessante di poliestere.</v>
      </c>
      <c r="G1105" s="6" t="str">
        <f>IFERROR(__xludf.DUMMYFUNCTION("GOOGLETRANSLATE(E1105,""fr"",""it"")"),"Io uso la plastica, un tipo interessante di poliestere.")</f>
        <v>Io uso la plastica, un tipo interessante di poliestere.</v>
      </c>
    </row>
    <row r="1106">
      <c r="A1106" s="4">
        <v>1104.0</v>
      </c>
      <c r="B1106" s="5" t="s">
        <v>3319</v>
      </c>
      <c r="C1106" s="4">
        <v>0.0</v>
      </c>
      <c r="D1106" s="5" t="s">
        <v>3320</v>
      </c>
      <c r="E1106" s="5" t="s">
        <v>3321</v>
      </c>
      <c r="F1106" s="6" t="str">
        <f>IFERROR(__xludf.DUMMYFUNCTION("GOOGLETRANSLATE(D1106,""en"",""it"")"),"Io uso la plastica, un tipo di legno interessante.")</f>
        <v>Io uso la plastica, un tipo di legno interessante.</v>
      </c>
      <c r="G1106" s="6" t="str">
        <f>IFERROR(__xludf.DUMMYFUNCTION("GOOGLETRANSLATE(E1106,""fr"",""it"")"),"Io uso la plastica, un tipo di legno interessante.")</f>
        <v>Io uso la plastica, un tipo di legno interessante.</v>
      </c>
    </row>
    <row r="1107">
      <c r="A1107" s="4">
        <v>1105.0</v>
      </c>
      <c r="B1107" s="5" t="s">
        <v>3322</v>
      </c>
      <c r="C1107" s="4">
        <v>0.0</v>
      </c>
      <c r="D1107" s="5" t="s">
        <v>3323</v>
      </c>
      <c r="E1107" s="5" t="s">
        <v>3324</v>
      </c>
      <c r="F1107" s="6" t="str">
        <f>IFERROR(__xludf.DUMMYFUNCTION("GOOGLETRANSLATE(D1107,""en"",""it"")"),"Io uso poliestere, un tipo di cotone interessante.")</f>
        <v>Io uso poliestere, un tipo di cotone interessante.</v>
      </c>
      <c r="G1107" s="6" t="str">
        <f>IFERROR(__xludf.DUMMYFUNCTION("GOOGLETRANSLATE(E1107,""fr"",""it"")"),"Io uso il poliestere, un tipo interessante di cotone.")</f>
        <v>Io uso il poliestere, un tipo interessante di cotone.</v>
      </c>
    </row>
    <row r="1108">
      <c r="A1108" s="4">
        <v>1106.0</v>
      </c>
      <c r="B1108" s="5" t="s">
        <v>3325</v>
      </c>
      <c r="C1108" s="4">
        <v>0.0</v>
      </c>
      <c r="D1108" s="5" t="s">
        <v>3326</v>
      </c>
      <c r="E1108" s="5" t="s">
        <v>3327</v>
      </c>
      <c r="F1108" s="6" t="str">
        <f>IFERROR(__xludf.DUMMYFUNCTION("GOOGLETRANSLATE(D1108,""en"",""it"")"),"Uso il cotone, un tipo interessante di poliestere.")</f>
        <v>Uso il cotone, un tipo interessante di poliestere.</v>
      </c>
      <c r="G1108" s="6" t="str">
        <f>IFERROR(__xludf.DUMMYFUNCTION("GOOGLETRANSLATE(E1108,""fr"",""it"")"),"Uso il cotone, un tipo interessante di poliestere.")</f>
        <v>Uso il cotone, un tipo interessante di poliestere.</v>
      </c>
    </row>
    <row r="1109">
      <c r="A1109" s="4">
        <v>1107.0</v>
      </c>
      <c r="B1109" s="5" t="s">
        <v>3328</v>
      </c>
      <c r="C1109" s="4">
        <v>0.0</v>
      </c>
      <c r="D1109" s="5" t="s">
        <v>3329</v>
      </c>
      <c r="E1109" s="5" t="s">
        <v>3330</v>
      </c>
      <c r="F1109" s="6" t="str">
        <f>IFERROR(__xludf.DUMMYFUNCTION("GOOGLETRANSLATE(D1109,""en"",""it"")"),"Io uso la plastica, un tipo interessante di cotone.")</f>
        <v>Io uso la plastica, un tipo interessante di cotone.</v>
      </c>
      <c r="G1109" s="6" t="str">
        <f>IFERROR(__xludf.DUMMYFUNCTION("GOOGLETRANSLATE(E1109,""fr"",""it"")"),"Io uso la plastica, un tipo interessante di cotone.")</f>
        <v>Io uso la plastica, un tipo interessante di cotone.</v>
      </c>
    </row>
    <row r="1110">
      <c r="A1110" s="4">
        <v>1108.0</v>
      </c>
      <c r="B1110" s="5" t="s">
        <v>3331</v>
      </c>
      <c r="C1110" s="4">
        <v>0.0</v>
      </c>
      <c r="D1110" s="5" t="s">
        <v>3332</v>
      </c>
      <c r="E1110" s="5" t="s">
        <v>3333</v>
      </c>
      <c r="F1110" s="6" t="str">
        <f>IFERROR(__xludf.DUMMYFUNCTION("GOOGLETRANSLATE(D1110,""en"",""it"")"),"Io uso poliestere, un tipo di vetro interessante.")</f>
        <v>Io uso poliestere, un tipo di vetro interessante.</v>
      </c>
      <c r="G1110" s="6" t="str">
        <f>IFERROR(__xludf.DUMMYFUNCTION("GOOGLETRANSLATE(E1110,""fr"",""it"")"),"Io uso il poliestere, un tipo di vetro interessante.")</f>
        <v>Io uso il poliestere, un tipo di vetro interessante.</v>
      </c>
    </row>
    <row r="1111">
      <c r="A1111" s="4">
        <v>1109.0</v>
      </c>
      <c r="B1111" s="5" t="s">
        <v>3334</v>
      </c>
      <c r="C1111" s="4">
        <v>0.0</v>
      </c>
      <c r="D1111" s="5" t="s">
        <v>3335</v>
      </c>
      <c r="E1111" s="5" t="s">
        <v>3336</v>
      </c>
      <c r="F1111" s="6" t="str">
        <f>IFERROR(__xludf.DUMMYFUNCTION("GOOGLETRANSLATE(D1111,""en"",""it"")"),"Io uso il vetro, un tipo interessante di poliestere.")</f>
        <v>Io uso il vetro, un tipo interessante di poliestere.</v>
      </c>
      <c r="G1111" s="6" t="str">
        <f>IFERROR(__xludf.DUMMYFUNCTION("GOOGLETRANSLATE(E1111,""fr"",""it"")"),"Io uso il vetro, un tipo interessante di poliestere.")</f>
        <v>Io uso il vetro, un tipo interessante di poliestere.</v>
      </c>
    </row>
    <row r="1112">
      <c r="A1112" s="4">
        <v>1110.0</v>
      </c>
      <c r="B1112" s="5" t="s">
        <v>3337</v>
      </c>
      <c r="C1112" s="4">
        <v>0.0</v>
      </c>
      <c r="D1112" s="5" t="s">
        <v>3338</v>
      </c>
      <c r="E1112" s="5" t="s">
        <v>3339</v>
      </c>
      <c r="F1112" s="6" t="str">
        <f>IFERROR(__xludf.DUMMYFUNCTION("GOOGLETRANSLATE(D1112,""en"",""it"")"),"Io uso la plastica, un tipo di vetro interessante.")</f>
        <v>Io uso la plastica, un tipo di vetro interessante.</v>
      </c>
      <c r="G1112" s="6" t="str">
        <f>IFERROR(__xludf.DUMMYFUNCTION("GOOGLETRANSLATE(E1112,""fr"",""it"")"),"Io uso la plastica, un tipo di vetro interessante.")</f>
        <v>Io uso la plastica, un tipo di vetro interessante.</v>
      </c>
    </row>
    <row r="1113">
      <c r="A1113" s="4">
        <v>1111.0</v>
      </c>
      <c r="B1113" s="5" t="s">
        <v>3340</v>
      </c>
      <c r="C1113" s="4">
        <v>0.0</v>
      </c>
      <c r="D1113" s="5" t="s">
        <v>3341</v>
      </c>
      <c r="E1113" s="5" t="s">
        <v>3342</v>
      </c>
      <c r="F1113" s="6" t="str">
        <f>IFERROR(__xludf.DUMMYFUNCTION("GOOGLETRANSLATE(D1113,""en"",""it"")"),"Io uso poliestere, un tipo di pelle interessante.")</f>
        <v>Io uso poliestere, un tipo di pelle interessante.</v>
      </c>
      <c r="G1113" s="6" t="str">
        <f>IFERROR(__xludf.DUMMYFUNCTION("GOOGLETRANSLATE(E1113,""fr"",""it"")"),"Io uso il poliestere, un tipo interessante di pelle.")</f>
        <v>Io uso il poliestere, un tipo interessante di pelle.</v>
      </c>
    </row>
    <row r="1114">
      <c r="A1114" s="4">
        <v>1112.0</v>
      </c>
      <c r="B1114" s="5" t="s">
        <v>3343</v>
      </c>
      <c r="C1114" s="4">
        <v>0.0</v>
      </c>
      <c r="D1114" s="5" t="s">
        <v>3344</v>
      </c>
      <c r="E1114" s="5" t="s">
        <v>3345</v>
      </c>
      <c r="F1114" s="6" t="str">
        <f>IFERROR(__xludf.DUMMYFUNCTION("GOOGLETRANSLATE(D1114,""en"",""it"")"),"Io uso pelle, un tipo interessante di poliestere.")</f>
        <v>Io uso pelle, un tipo interessante di poliestere.</v>
      </c>
      <c r="G1114" s="6" t="str">
        <f>IFERROR(__xludf.DUMMYFUNCTION("GOOGLETRANSLATE(E1114,""fr"",""it"")"),"Io uso la pelle, un tipo interessante di poliestere.")</f>
        <v>Io uso la pelle, un tipo interessante di poliestere.</v>
      </c>
    </row>
    <row r="1115">
      <c r="A1115" s="4">
        <v>1113.0</v>
      </c>
      <c r="B1115" s="5" t="s">
        <v>3346</v>
      </c>
      <c r="C1115" s="4">
        <v>0.0</v>
      </c>
      <c r="D1115" s="5" t="s">
        <v>3347</v>
      </c>
      <c r="E1115" s="5" t="s">
        <v>3348</v>
      </c>
      <c r="F1115" s="6" t="str">
        <f>IFERROR(__xludf.DUMMYFUNCTION("GOOGLETRANSLATE(D1115,""en"",""it"")"),"Io uso la plastica, un tipo interessante di pelle.")</f>
        <v>Io uso la plastica, un tipo interessante di pelle.</v>
      </c>
      <c r="G1115" s="6" t="str">
        <f>IFERROR(__xludf.DUMMYFUNCTION("GOOGLETRANSLATE(E1115,""fr"",""it"")"),"Io uso la plastica, un tipo di pelle interessante.")</f>
        <v>Io uso la plastica, un tipo di pelle interessante.</v>
      </c>
    </row>
    <row r="1116">
      <c r="A1116" s="4">
        <v>1114.0</v>
      </c>
      <c r="B1116" s="5" t="s">
        <v>3349</v>
      </c>
      <c r="C1116" s="4">
        <v>0.0</v>
      </c>
      <c r="D1116" s="5" t="s">
        <v>3350</v>
      </c>
      <c r="E1116" s="5" t="s">
        <v>3351</v>
      </c>
      <c r="F1116" s="6" t="str">
        <f>IFERROR(__xludf.DUMMYFUNCTION("GOOGLETRANSLATE(D1116,""en"",""it"")"),"Io uso il nylon, un tipo interessante di legno.")</f>
        <v>Io uso il nylon, un tipo interessante di legno.</v>
      </c>
      <c r="G1116" s="6" t="str">
        <f>IFERROR(__xludf.DUMMYFUNCTION("GOOGLETRANSLATE(E1116,""fr"",""it"")"),"Io uso il nylon, un tipo interessante di legno.")</f>
        <v>Io uso il nylon, un tipo interessante di legno.</v>
      </c>
    </row>
    <row r="1117">
      <c r="A1117" s="4">
        <v>1115.0</v>
      </c>
      <c r="B1117" s="5" t="s">
        <v>3352</v>
      </c>
      <c r="C1117" s="4">
        <v>0.0</v>
      </c>
      <c r="D1117" s="5" t="s">
        <v>3353</v>
      </c>
      <c r="E1117" s="5" t="s">
        <v>3354</v>
      </c>
      <c r="F1117" s="6" t="str">
        <f>IFERROR(__xludf.DUMMYFUNCTION("GOOGLETRANSLATE(D1117,""en"",""it"")"),"Io uso il legno, un tipo interessante di nylon.")</f>
        <v>Io uso il legno, un tipo interessante di nylon.</v>
      </c>
      <c r="G1117" s="6" t="str">
        <f>IFERROR(__xludf.DUMMYFUNCTION("GOOGLETRANSLATE(E1117,""fr"",""it"")"),"Io uso il legno, un tipo interessante di nylon.")</f>
        <v>Io uso il legno, un tipo interessante di nylon.</v>
      </c>
    </row>
    <row r="1118">
      <c r="A1118" s="4">
        <v>1116.0</v>
      </c>
      <c r="B1118" s="5" t="s">
        <v>3355</v>
      </c>
      <c r="C1118" s="4">
        <v>1.0</v>
      </c>
      <c r="D1118" s="5" t="s">
        <v>3356</v>
      </c>
      <c r="E1118" s="5" t="s">
        <v>3357</v>
      </c>
      <c r="F1118" s="6" t="str">
        <f>IFERROR(__xludf.DUMMYFUNCTION("GOOGLETRANSLATE(D1118,""en"",""it"")"),"Io uso il nylon, un tipo interessante di plastica.")</f>
        <v>Io uso il nylon, un tipo interessante di plastica.</v>
      </c>
      <c r="G1118" s="6" t="str">
        <f>IFERROR(__xludf.DUMMYFUNCTION("GOOGLETRANSLATE(E1118,""fr"",""it"")"),"Io uso il nylon, un tipo interessante di plastica.")</f>
        <v>Io uso il nylon, un tipo interessante di plastica.</v>
      </c>
    </row>
    <row r="1119">
      <c r="A1119" s="4">
        <v>1117.0</v>
      </c>
      <c r="B1119" s="5" t="s">
        <v>3358</v>
      </c>
      <c r="C1119" s="4">
        <v>0.0</v>
      </c>
      <c r="D1119" s="5" t="s">
        <v>3359</v>
      </c>
      <c r="E1119" s="5" t="s">
        <v>3360</v>
      </c>
      <c r="F1119" s="6" t="str">
        <f>IFERROR(__xludf.DUMMYFUNCTION("GOOGLETRANSLATE(D1119,""en"",""it"")"),"Io uso la plastica, un tipo interessante di nylon.")</f>
        <v>Io uso la plastica, un tipo interessante di nylon.</v>
      </c>
      <c r="G1119" s="6" t="str">
        <f>IFERROR(__xludf.DUMMYFUNCTION("GOOGLETRANSLATE(E1119,""fr"",""it"")"),"Io uso la plastica, un tipo interessante di nylon.")</f>
        <v>Io uso la plastica, un tipo interessante di nylon.</v>
      </c>
    </row>
    <row r="1120">
      <c r="A1120" s="4">
        <v>1118.0</v>
      </c>
      <c r="B1120" s="5" t="s">
        <v>3361</v>
      </c>
      <c r="C1120" s="4">
        <v>0.0</v>
      </c>
      <c r="D1120" s="5" t="s">
        <v>3362</v>
      </c>
      <c r="E1120" s="5" t="s">
        <v>3363</v>
      </c>
      <c r="F1120" s="6" t="str">
        <f>IFERROR(__xludf.DUMMYFUNCTION("GOOGLETRANSLATE(D1120,""en"",""it"")"),"Io uso il nylon, un tipo interessante di cotone.")</f>
        <v>Io uso il nylon, un tipo interessante di cotone.</v>
      </c>
      <c r="G1120" s="6" t="str">
        <f>IFERROR(__xludf.DUMMYFUNCTION("GOOGLETRANSLATE(E1120,""fr"",""it"")"),"Io uso il nylon, un tipo interessante di cotone.")</f>
        <v>Io uso il nylon, un tipo interessante di cotone.</v>
      </c>
    </row>
    <row r="1121">
      <c r="A1121" s="4">
        <v>1119.0</v>
      </c>
      <c r="B1121" s="5" t="s">
        <v>3364</v>
      </c>
      <c r="C1121" s="4">
        <v>0.0</v>
      </c>
      <c r="D1121" s="5" t="s">
        <v>3365</v>
      </c>
      <c r="E1121" s="5" t="s">
        <v>3366</v>
      </c>
      <c r="F1121" s="6" t="str">
        <f>IFERROR(__xludf.DUMMYFUNCTION("GOOGLETRANSLATE(D1121,""en"",""it"")"),"Io uso cotone, un tipo interessante di nylon.")</f>
        <v>Io uso cotone, un tipo interessante di nylon.</v>
      </c>
      <c r="G1121" s="6" t="str">
        <f>IFERROR(__xludf.DUMMYFUNCTION("GOOGLETRANSLATE(E1121,""fr"",""it"")"),"Io uso cotone, un tipo interessante di nylon.")</f>
        <v>Io uso cotone, un tipo interessante di nylon.</v>
      </c>
    </row>
    <row r="1122">
      <c r="A1122" s="4">
        <v>1120.0</v>
      </c>
      <c r="B1122" s="5" t="s">
        <v>3367</v>
      </c>
      <c r="C1122" s="4">
        <v>0.0</v>
      </c>
      <c r="D1122" s="5" t="s">
        <v>3368</v>
      </c>
      <c r="E1122" s="5" t="s">
        <v>3369</v>
      </c>
      <c r="F1122" s="6" t="str">
        <f>IFERROR(__xludf.DUMMYFUNCTION("GOOGLETRANSLATE(D1122,""en"",""it"")"),"Io uso il nylon, un tipo di vetro interessante.")</f>
        <v>Io uso il nylon, un tipo di vetro interessante.</v>
      </c>
      <c r="G1122" s="6" t="str">
        <f>IFERROR(__xludf.DUMMYFUNCTION("GOOGLETRANSLATE(E1122,""fr"",""it"")"),"Io uso il nylon, un tipo di vetro interessante.")</f>
        <v>Io uso il nylon, un tipo di vetro interessante.</v>
      </c>
    </row>
    <row r="1123">
      <c r="A1123" s="4">
        <v>1121.0</v>
      </c>
      <c r="B1123" s="5" t="s">
        <v>3370</v>
      </c>
      <c r="C1123" s="4">
        <v>0.0</v>
      </c>
      <c r="D1123" s="5" t="s">
        <v>3371</v>
      </c>
      <c r="E1123" s="5" t="s">
        <v>3372</v>
      </c>
      <c r="F1123" s="6" t="str">
        <f>IFERROR(__xludf.DUMMYFUNCTION("GOOGLETRANSLATE(D1123,""en"",""it"")"),"Io uso il vetro, un tipo interessante di nylon.")</f>
        <v>Io uso il vetro, un tipo interessante di nylon.</v>
      </c>
      <c r="G1123" s="6" t="str">
        <f>IFERROR(__xludf.DUMMYFUNCTION("GOOGLETRANSLATE(E1123,""fr"",""it"")"),"Io uso il vetro, un tipo interessante di nylon.")</f>
        <v>Io uso il vetro, un tipo interessante di nylon.</v>
      </c>
    </row>
    <row r="1124">
      <c r="A1124" s="4">
        <v>1122.0</v>
      </c>
      <c r="B1124" s="5" t="s">
        <v>3373</v>
      </c>
      <c r="C1124" s="4">
        <v>0.0</v>
      </c>
      <c r="D1124" s="5" t="s">
        <v>3374</v>
      </c>
      <c r="E1124" s="5" t="s">
        <v>3375</v>
      </c>
      <c r="F1124" s="6" t="str">
        <f>IFERROR(__xludf.DUMMYFUNCTION("GOOGLETRANSLATE(D1124,""en"",""it"")"),"Io uso il nylon, un tipo di pelle interessante.")</f>
        <v>Io uso il nylon, un tipo di pelle interessante.</v>
      </c>
      <c r="G1124" s="6" t="str">
        <f>IFERROR(__xludf.DUMMYFUNCTION("GOOGLETRANSLATE(E1124,""fr"",""it"")"),"Io uso il nylon, un tipo di pelle interessante.")</f>
        <v>Io uso il nylon, un tipo di pelle interessante.</v>
      </c>
    </row>
    <row r="1125">
      <c r="A1125" s="4">
        <v>1123.0</v>
      </c>
      <c r="B1125" s="5" t="s">
        <v>3376</v>
      </c>
      <c r="C1125" s="4">
        <v>0.0</v>
      </c>
      <c r="D1125" s="5" t="s">
        <v>3377</v>
      </c>
      <c r="E1125" s="5" t="s">
        <v>3378</v>
      </c>
      <c r="F1125" s="6" t="str">
        <f>IFERROR(__xludf.DUMMYFUNCTION("GOOGLETRANSLATE(D1125,""en"",""it"")"),"Io uso pelle, un tipo interessante di nylon.")</f>
        <v>Io uso pelle, un tipo interessante di nylon.</v>
      </c>
      <c r="G1125" s="6" t="str">
        <f>IFERROR(__xludf.DUMMYFUNCTION("GOOGLETRANSLATE(E1125,""fr"",""it"")"),"Io uso la pelle, un tipo interessante di nylon.")</f>
        <v>Io uso la pelle, un tipo interessante di nylon.</v>
      </c>
    </row>
    <row r="1126">
      <c r="A1126" s="4">
        <v>1124.0</v>
      </c>
      <c r="B1126" s="5" t="s">
        <v>3379</v>
      </c>
      <c r="C1126" s="4">
        <v>0.0</v>
      </c>
      <c r="D1126" s="5" t="s">
        <v>3380</v>
      </c>
      <c r="E1126" s="5" t="s">
        <v>3381</v>
      </c>
      <c r="F1126" s="6" t="str">
        <f>IFERROR(__xludf.DUMMYFUNCTION("GOOGLETRANSLATE(D1126,""en"",""it"")"),"Io uso il vinile, un tipo di legno interessante.")</f>
        <v>Io uso il vinile, un tipo di legno interessante.</v>
      </c>
      <c r="G1126" s="6" t="str">
        <f>IFERROR(__xludf.DUMMYFUNCTION("GOOGLETRANSLATE(E1126,""fr"",""it"")"),"Io uso il vinile, un tipo di legno interessante.")</f>
        <v>Io uso il vinile, un tipo di legno interessante.</v>
      </c>
    </row>
    <row r="1127">
      <c r="A1127" s="4">
        <v>1125.0</v>
      </c>
      <c r="B1127" s="5" t="s">
        <v>3382</v>
      </c>
      <c r="C1127" s="4">
        <v>0.0</v>
      </c>
      <c r="D1127" s="5" t="s">
        <v>3383</v>
      </c>
      <c r="E1127" s="5" t="s">
        <v>3384</v>
      </c>
      <c r="F1127" s="6" t="str">
        <f>IFERROR(__xludf.DUMMYFUNCTION("GOOGLETRANSLATE(D1127,""en"",""it"")"),"Io uso il legno, un tipo interessante di vinile.")</f>
        <v>Io uso il legno, un tipo interessante di vinile.</v>
      </c>
      <c r="G1127" s="6" t="str">
        <f>IFERROR(__xludf.DUMMYFUNCTION("GOOGLETRANSLATE(E1127,""fr"",""it"")"),"Io uso il legno, un tipo interessante di vinile.")</f>
        <v>Io uso il legno, un tipo interessante di vinile.</v>
      </c>
    </row>
    <row r="1128">
      <c r="A1128" s="4">
        <v>1126.0</v>
      </c>
      <c r="B1128" s="5" t="s">
        <v>3385</v>
      </c>
      <c r="C1128" s="4">
        <v>1.0</v>
      </c>
      <c r="D1128" s="5" t="s">
        <v>3386</v>
      </c>
      <c r="E1128" s="5" t="s">
        <v>3387</v>
      </c>
      <c r="F1128" s="6" t="str">
        <f>IFERROR(__xludf.DUMMYFUNCTION("GOOGLETRANSLATE(D1128,""en"",""it"")"),"Io uso il vinile, un tipo interessante di plastica.")</f>
        <v>Io uso il vinile, un tipo interessante di plastica.</v>
      </c>
      <c r="G1128" s="6" t="str">
        <f>IFERROR(__xludf.DUMMYFUNCTION("GOOGLETRANSLATE(E1128,""fr"",""it"")"),"Io uso il vinile, un tipo interessante di plastica.")</f>
        <v>Io uso il vinile, un tipo interessante di plastica.</v>
      </c>
    </row>
    <row r="1129">
      <c r="A1129" s="4">
        <v>1127.0</v>
      </c>
      <c r="B1129" s="5" t="s">
        <v>3388</v>
      </c>
      <c r="C1129" s="4">
        <v>0.0</v>
      </c>
      <c r="D1129" s="5" t="s">
        <v>3389</v>
      </c>
      <c r="E1129" s="5" t="s">
        <v>3390</v>
      </c>
      <c r="F1129" s="6" t="str">
        <f>IFERROR(__xludf.DUMMYFUNCTION("GOOGLETRANSLATE(D1129,""en"",""it"")"),"Io uso la plastica, un tipo interessante di vinile.")</f>
        <v>Io uso la plastica, un tipo interessante di vinile.</v>
      </c>
      <c r="G1129" s="6" t="str">
        <f>IFERROR(__xludf.DUMMYFUNCTION("GOOGLETRANSLATE(E1129,""fr"",""it"")"),"Io uso la plastica, un tipo interessante di vinile.")</f>
        <v>Io uso la plastica, un tipo interessante di vinile.</v>
      </c>
    </row>
    <row r="1130">
      <c r="A1130" s="4">
        <v>1128.0</v>
      </c>
      <c r="B1130" s="5" t="s">
        <v>3391</v>
      </c>
      <c r="C1130" s="4">
        <v>0.0</v>
      </c>
      <c r="D1130" s="5" t="s">
        <v>3392</v>
      </c>
      <c r="E1130" s="5" t="s">
        <v>3393</v>
      </c>
      <c r="F1130" s="6" t="str">
        <f>IFERROR(__xludf.DUMMYFUNCTION("GOOGLETRANSLATE(D1130,""en"",""it"")"),"Io uso il vinile, un tipo di cotone interessante.")</f>
        <v>Io uso il vinile, un tipo di cotone interessante.</v>
      </c>
      <c r="G1130" s="6" t="str">
        <f>IFERROR(__xludf.DUMMYFUNCTION("GOOGLETRANSLATE(E1130,""fr"",""it"")"),"Io uso il vinile, un tipo di cotone interessante.")</f>
        <v>Io uso il vinile, un tipo di cotone interessante.</v>
      </c>
    </row>
    <row r="1131">
      <c r="A1131" s="4">
        <v>1129.0</v>
      </c>
      <c r="B1131" s="5" t="s">
        <v>3394</v>
      </c>
      <c r="C1131" s="4">
        <v>0.0</v>
      </c>
      <c r="D1131" s="5" t="s">
        <v>3395</v>
      </c>
      <c r="E1131" s="5" t="s">
        <v>3396</v>
      </c>
      <c r="F1131" s="6" t="str">
        <f>IFERROR(__xludf.DUMMYFUNCTION("GOOGLETRANSLATE(D1131,""en"",""it"")"),"Io uso cotone, un tipo interessante di vinile.")</f>
        <v>Io uso cotone, un tipo interessante di vinile.</v>
      </c>
      <c r="G1131" s="6" t="str">
        <f>IFERROR(__xludf.DUMMYFUNCTION("GOOGLETRANSLATE(E1131,""fr"",""it"")"),"Io uso cotone, un tipo interessante di vinile.")</f>
        <v>Io uso cotone, un tipo interessante di vinile.</v>
      </c>
    </row>
    <row r="1132">
      <c r="A1132" s="4">
        <v>1130.0</v>
      </c>
      <c r="B1132" s="5" t="s">
        <v>3397</v>
      </c>
      <c r="C1132" s="4">
        <v>0.0</v>
      </c>
      <c r="D1132" s="5" t="s">
        <v>3398</v>
      </c>
      <c r="E1132" s="5" t="s">
        <v>3399</v>
      </c>
      <c r="F1132" s="6" t="str">
        <f>IFERROR(__xludf.DUMMYFUNCTION("GOOGLETRANSLATE(D1132,""en"",""it"")"),"Io uso il vinile, un tipo di vetro interessante.")</f>
        <v>Io uso il vinile, un tipo di vetro interessante.</v>
      </c>
      <c r="G1132" s="6" t="str">
        <f>IFERROR(__xludf.DUMMYFUNCTION("GOOGLETRANSLATE(E1132,""fr"",""it"")"),"Io uso il vinile, un tipo di vetro interessante.")</f>
        <v>Io uso il vinile, un tipo di vetro interessante.</v>
      </c>
    </row>
    <row r="1133">
      <c r="A1133" s="4">
        <v>1131.0</v>
      </c>
      <c r="B1133" s="5" t="s">
        <v>3400</v>
      </c>
      <c r="C1133" s="4">
        <v>0.0</v>
      </c>
      <c r="D1133" s="5" t="s">
        <v>3401</v>
      </c>
      <c r="E1133" s="5" t="s">
        <v>3402</v>
      </c>
      <c r="F1133" s="6" t="str">
        <f>IFERROR(__xludf.DUMMYFUNCTION("GOOGLETRANSLATE(D1133,""en"",""it"")"),"Io uso il vetro, un tipo interessante di vinile.")</f>
        <v>Io uso il vetro, un tipo interessante di vinile.</v>
      </c>
      <c r="G1133" s="6" t="str">
        <f>IFERROR(__xludf.DUMMYFUNCTION("GOOGLETRANSLATE(E1133,""fr"",""it"")"),"Io uso il vetro, un tipo interessante di vinile.")</f>
        <v>Io uso il vetro, un tipo interessante di vinile.</v>
      </c>
    </row>
    <row r="1134">
      <c r="A1134" s="4">
        <v>1132.0</v>
      </c>
      <c r="B1134" s="5" t="s">
        <v>3403</v>
      </c>
      <c r="C1134" s="4">
        <v>0.0</v>
      </c>
      <c r="D1134" s="5" t="s">
        <v>3404</v>
      </c>
      <c r="E1134" s="5" t="s">
        <v>3405</v>
      </c>
      <c r="F1134" s="6" t="str">
        <f>IFERROR(__xludf.DUMMYFUNCTION("GOOGLETRANSLATE(D1134,""en"",""it"")"),"Io uso il vinile, un tipo di pelle interessante.")</f>
        <v>Io uso il vinile, un tipo di pelle interessante.</v>
      </c>
      <c r="G1134" s="6" t="str">
        <f>IFERROR(__xludf.DUMMYFUNCTION("GOOGLETRANSLATE(E1134,""fr"",""it"")"),"Io uso il vinile, un tipo di pelle interessante.")</f>
        <v>Io uso il vinile, un tipo di pelle interessante.</v>
      </c>
    </row>
    <row r="1135">
      <c r="A1135" s="4">
        <v>1133.0</v>
      </c>
      <c r="B1135" s="5" t="s">
        <v>3406</v>
      </c>
      <c r="C1135" s="4">
        <v>0.0</v>
      </c>
      <c r="D1135" s="5" t="s">
        <v>3407</v>
      </c>
      <c r="E1135" s="5" t="s">
        <v>3408</v>
      </c>
      <c r="F1135" s="6" t="str">
        <f>IFERROR(__xludf.DUMMYFUNCTION("GOOGLETRANSLATE(D1135,""en"",""it"")"),"Io uso la pelle, un tipo interessante di vinile.")</f>
        <v>Io uso la pelle, un tipo interessante di vinile.</v>
      </c>
      <c r="G1135" s="6" t="str">
        <f>IFERROR(__xludf.DUMMYFUNCTION("GOOGLETRANSLATE(E1135,""fr"",""it"")"),"Io uso la pelle, un tipo interessante di vinile.")</f>
        <v>Io uso la pelle, un tipo interessante di vinile.</v>
      </c>
    </row>
    <row r="1136">
      <c r="A1136" s="4">
        <v>1134.0</v>
      </c>
      <c r="B1136" s="5" t="s">
        <v>3409</v>
      </c>
      <c r="C1136" s="4">
        <v>0.0</v>
      </c>
      <c r="D1136" s="5" t="s">
        <v>3410</v>
      </c>
      <c r="E1136" s="5" t="s">
        <v>3411</v>
      </c>
      <c r="F1136" s="6" t="str">
        <f>IFERROR(__xludf.DUMMYFUNCTION("GOOGLETRANSLATE(D1136,""en"",""it"")"),"Mi piacciono le anatre, tranne i cani.")</f>
        <v>Mi piacciono le anatre, tranne i cani.</v>
      </c>
      <c r="G1136" s="6" t="str">
        <f>IFERROR(__xludf.DUMMYFUNCTION("GOOGLETRANSLATE(E1136,""fr"",""it"")"),"Mi piacciono le anatre, tranne i cani.")</f>
        <v>Mi piacciono le anatre, tranne i cani.</v>
      </c>
    </row>
    <row r="1137">
      <c r="A1137" s="4">
        <v>1135.0</v>
      </c>
      <c r="B1137" s="5" t="s">
        <v>3412</v>
      </c>
      <c r="C1137" s="4">
        <v>0.0</v>
      </c>
      <c r="D1137" s="5" t="s">
        <v>3413</v>
      </c>
      <c r="E1137" s="5" t="s">
        <v>3414</v>
      </c>
      <c r="F1137" s="6" t="str">
        <f>IFERROR(__xludf.DUMMYFUNCTION("GOOGLETRANSLATE(D1137,""en"",""it"")"),"Io uso il PVC, un tipo di legno interessante.")</f>
        <v>Io uso il PVC, un tipo di legno interessante.</v>
      </c>
      <c r="G1137" s="6" t="str">
        <f>IFERROR(__xludf.DUMMYFUNCTION("GOOGLETRANSLATE(E1137,""fr"",""it"")"),"Io uso il PVC, un tipo interessante di legno.")</f>
        <v>Io uso il PVC, un tipo interessante di legno.</v>
      </c>
    </row>
    <row r="1138">
      <c r="A1138" s="4">
        <v>1136.0</v>
      </c>
      <c r="B1138" s="5" t="s">
        <v>3415</v>
      </c>
      <c r="C1138" s="4">
        <v>0.0</v>
      </c>
      <c r="D1138" s="5" t="s">
        <v>3416</v>
      </c>
      <c r="E1138" s="5" t="s">
        <v>3417</v>
      </c>
      <c r="F1138" s="6" t="str">
        <f>IFERROR(__xludf.DUMMYFUNCTION("GOOGLETRANSLATE(D1138,""en"",""it"")"),"Io uso il legno, un tipo interessante di PVC.")</f>
        <v>Io uso il legno, un tipo interessante di PVC.</v>
      </c>
      <c r="G1138" s="6" t="str">
        <f>IFERROR(__xludf.DUMMYFUNCTION("GOOGLETRANSLATE(E1138,""fr"",""it"")"),"Io uso il legno, un tipo interessante di PVC.")</f>
        <v>Io uso il legno, un tipo interessante di PVC.</v>
      </c>
    </row>
    <row r="1139">
      <c r="A1139" s="4">
        <v>1137.0</v>
      </c>
      <c r="B1139" s="5" t="s">
        <v>3418</v>
      </c>
      <c r="C1139" s="4">
        <v>1.0</v>
      </c>
      <c r="D1139" s="5" t="s">
        <v>3419</v>
      </c>
      <c r="E1139" s="5" t="s">
        <v>3420</v>
      </c>
      <c r="F1139" s="6" t="str">
        <f>IFERROR(__xludf.DUMMYFUNCTION("GOOGLETRANSLATE(D1139,""en"",""it"")"),"Io uso il PVC, un tipo interessante di plastica.")</f>
        <v>Io uso il PVC, un tipo interessante di plastica.</v>
      </c>
      <c r="G1139" s="6" t="str">
        <f>IFERROR(__xludf.DUMMYFUNCTION("GOOGLETRANSLATE(E1139,""fr"",""it"")"),"Io uso il PVC, un tipo interessante di plastica.")</f>
        <v>Io uso il PVC, un tipo interessante di plastica.</v>
      </c>
    </row>
    <row r="1140">
      <c r="A1140" s="4">
        <v>1138.0</v>
      </c>
      <c r="B1140" s="5" t="s">
        <v>3421</v>
      </c>
      <c r="C1140" s="4">
        <v>0.0</v>
      </c>
      <c r="D1140" s="5" t="s">
        <v>3422</v>
      </c>
      <c r="E1140" s="5" t="s">
        <v>3423</v>
      </c>
      <c r="F1140" s="6" t="str">
        <f>IFERROR(__xludf.DUMMYFUNCTION("GOOGLETRANSLATE(D1140,""en"",""it"")"),"Io uso la plastica, un tipo interessante di PVC.")</f>
        <v>Io uso la plastica, un tipo interessante di PVC.</v>
      </c>
      <c r="G1140" s="6" t="str">
        <f>IFERROR(__xludf.DUMMYFUNCTION("GOOGLETRANSLATE(E1140,""fr"",""it"")"),"Io uso la plastica, un tipo interessante di PVC.")</f>
        <v>Io uso la plastica, un tipo interessante di PVC.</v>
      </c>
    </row>
    <row r="1141">
      <c r="A1141" s="4">
        <v>1139.0</v>
      </c>
      <c r="B1141" s="5" t="s">
        <v>3424</v>
      </c>
      <c r="C1141" s="4">
        <v>0.0</v>
      </c>
      <c r="D1141" s="5" t="s">
        <v>3425</v>
      </c>
      <c r="E1141" s="5" t="s">
        <v>3426</v>
      </c>
      <c r="F1141" s="6" t="str">
        <f>IFERROR(__xludf.DUMMYFUNCTION("GOOGLETRANSLATE(D1141,""en"",""it"")"),"Io uso il PVC, un tipo interessante di cotone.")</f>
        <v>Io uso il PVC, un tipo interessante di cotone.</v>
      </c>
      <c r="G1141" s="6" t="str">
        <f>IFERROR(__xludf.DUMMYFUNCTION("GOOGLETRANSLATE(E1141,""fr"",""it"")"),"Io uso il PVC, un tipo interessante di cotone.")</f>
        <v>Io uso il PVC, un tipo interessante di cotone.</v>
      </c>
    </row>
    <row r="1142">
      <c r="A1142" s="4">
        <v>1140.0</v>
      </c>
      <c r="B1142" s="5" t="s">
        <v>3427</v>
      </c>
      <c r="C1142" s="4">
        <v>0.0</v>
      </c>
      <c r="D1142" s="5" t="s">
        <v>3428</v>
      </c>
      <c r="E1142" s="5" t="s">
        <v>3429</v>
      </c>
      <c r="F1142" s="6" t="str">
        <f>IFERROR(__xludf.DUMMYFUNCTION("GOOGLETRANSLATE(D1142,""en"",""it"")"),"Io uso cotone, un tipo di PVC interessante.")</f>
        <v>Io uso cotone, un tipo di PVC interessante.</v>
      </c>
      <c r="G1142" s="6" t="str">
        <f>IFERROR(__xludf.DUMMYFUNCTION("GOOGLETRANSLATE(E1142,""fr"",""it"")"),"Io uso cotone, un tipo di PVC interessante.")</f>
        <v>Io uso cotone, un tipo di PVC interessante.</v>
      </c>
    </row>
    <row r="1143">
      <c r="A1143" s="4">
        <v>1141.0</v>
      </c>
      <c r="B1143" s="5" t="s">
        <v>3430</v>
      </c>
      <c r="C1143" s="4">
        <v>0.0</v>
      </c>
      <c r="D1143" s="5" t="s">
        <v>3431</v>
      </c>
      <c r="E1143" s="5" t="s">
        <v>3432</v>
      </c>
      <c r="F1143" s="6" t="str">
        <f>IFERROR(__xludf.DUMMYFUNCTION("GOOGLETRANSLATE(D1143,""en"",""it"")"),"Io uso il PVC, un tipo di vetro interessante.")</f>
        <v>Io uso il PVC, un tipo di vetro interessante.</v>
      </c>
      <c r="G1143" s="6" t="str">
        <f>IFERROR(__xludf.DUMMYFUNCTION("GOOGLETRANSLATE(E1143,""fr"",""it"")"),"Io uso il PVC, un tipo di vetro interessante.")</f>
        <v>Io uso il PVC, un tipo di vetro interessante.</v>
      </c>
    </row>
    <row r="1144">
      <c r="A1144" s="4">
        <v>1142.0</v>
      </c>
      <c r="B1144" s="5" t="s">
        <v>3433</v>
      </c>
      <c r="C1144" s="4">
        <v>0.0</v>
      </c>
      <c r="D1144" s="5" t="s">
        <v>3434</v>
      </c>
      <c r="E1144" s="5" t="s">
        <v>3435</v>
      </c>
      <c r="F1144" s="6" t="str">
        <f>IFERROR(__xludf.DUMMYFUNCTION("GOOGLETRANSLATE(D1144,""en"",""it"")"),"Io uso il vetro, un tipo interessante di PVC.")</f>
        <v>Io uso il vetro, un tipo interessante di PVC.</v>
      </c>
      <c r="G1144" s="6" t="str">
        <f>IFERROR(__xludf.DUMMYFUNCTION("GOOGLETRANSLATE(E1144,""fr"",""it"")"),"Io uso il vetro, un tipo di PVC interessante.")</f>
        <v>Io uso il vetro, un tipo di PVC interessante.</v>
      </c>
    </row>
    <row r="1145">
      <c r="A1145" s="4">
        <v>1143.0</v>
      </c>
      <c r="B1145" s="5" t="s">
        <v>3436</v>
      </c>
      <c r="C1145" s="4">
        <v>0.0</v>
      </c>
      <c r="D1145" s="5" t="s">
        <v>3437</v>
      </c>
      <c r="E1145" s="5" t="s">
        <v>3438</v>
      </c>
      <c r="F1145" s="6" t="str">
        <f>IFERROR(__xludf.DUMMYFUNCTION("GOOGLETRANSLATE(D1145,""en"",""it"")"),"Io uso PVC, un tipo interessante di pelle.")</f>
        <v>Io uso PVC, un tipo interessante di pelle.</v>
      </c>
      <c r="G1145" s="6" t="str">
        <f>IFERROR(__xludf.DUMMYFUNCTION("GOOGLETRANSLATE(E1145,""fr"",""it"")"),"Io uso il PVC, un tipo di pelle interessante.")</f>
        <v>Io uso il PVC, un tipo di pelle interessante.</v>
      </c>
    </row>
    <row r="1146">
      <c r="A1146" s="4">
        <v>1144.0</v>
      </c>
      <c r="B1146" s="5" t="s">
        <v>3439</v>
      </c>
      <c r="C1146" s="4">
        <v>0.0</v>
      </c>
      <c r="D1146" s="5" t="s">
        <v>3440</v>
      </c>
      <c r="E1146" s="5" t="s">
        <v>3441</v>
      </c>
      <c r="F1146" s="6" t="str">
        <f>IFERROR(__xludf.DUMMYFUNCTION("GOOGLETRANSLATE(D1146,""en"",""it"")"),"Io uso in pelle, un tipo interessante di PVC.")</f>
        <v>Io uso in pelle, un tipo interessante di PVC.</v>
      </c>
      <c r="G1146" s="6" t="str">
        <f>IFERROR(__xludf.DUMMYFUNCTION("GOOGLETRANSLATE(E1146,""fr"",""it"")"),"Io uso la pelle, un tipo di PVC interessante.")</f>
        <v>Io uso la pelle, un tipo di PVC interessante.</v>
      </c>
    </row>
    <row r="1147">
      <c r="A1147" s="4">
        <v>1145.0</v>
      </c>
      <c r="B1147" s="5" t="s">
        <v>3442</v>
      </c>
      <c r="C1147" s="4">
        <v>0.0</v>
      </c>
      <c r="D1147" s="5" t="s">
        <v>3443</v>
      </c>
      <c r="E1147" s="5" t="s">
        <v>3444</v>
      </c>
      <c r="F1147" s="6" t="str">
        <f>IFERROR(__xludf.DUMMYFUNCTION("GOOGLETRANSLATE(D1147,""en"",""it"")"),"Mi piacciono le sedie, un tipo interessante di posate.")</f>
        <v>Mi piacciono le sedie, un tipo interessante di posate.</v>
      </c>
      <c r="G1147" s="6" t="str">
        <f>IFERROR(__xludf.DUMMYFUNCTION("GOOGLETRANSLATE(E1147,""fr"",""it"")"),"Apprezzo le sedie, un tipo interessante di posate.")</f>
        <v>Apprezzo le sedie, un tipo interessante di posate.</v>
      </c>
    </row>
    <row r="1148">
      <c r="A1148" s="4">
        <v>1146.0</v>
      </c>
      <c r="B1148" s="5" t="s">
        <v>3445</v>
      </c>
      <c r="C1148" s="4">
        <v>0.0</v>
      </c>
      <c r="D1148" s="5" t="s">
        <v>3446</v>
      </c>
      <c r="E1148" s="5" t="s">
        <v>3447</v>
      </c>
      <c r="F1148" s="6" t="str">
        <f>IFERROR(__xludf.DUMMYFUNCTION("GOOGLETRANSLATE(D1148,""en"",""it"")"),"Mi piacciono i posate, un tipo di sedia interessante.")</f>
        <v>Mi piacciono i posate, un tipo di sedia interessante.</v>
      </c>
      <c r="G1148" s="6" t="str">
        <f>IFERROR(__xludf.DUMMYFUNCTION("GOOGLETRANSLATE(E1148,""fr"",""it"")"),"Apprezzo le posate, un tipo interessante di sedia.")</f>
        <v>Apprezzo le posate, un tipo interessante di sedia.</v>
      </c>
    </row>
    <row r="1149">
      <c r="A1149" s="4">
        <v>1147.0</v>
      </c>
      <c r="B1149" s="5" t="s">
        <v>3448</v>
      </c>
      <c r="C1149" s="4">
        <v>1.0</v>
      </c>
      <c r="D1149" s="5" t="s">
        <v>3449</v>
      </c>
      <c r="E1149" s="5" t="s">
        <v>3450</v>
      </c>
      <c r="F1149" s="6" t="str">
        <f>IFERROR(__xludf.DUMMYFUNCTION("GOOGLETRANSLATE(D1149,""en"",""it"")"),"Mi piacciono le sedie, un tipo di mobile interessante.")</f>
        <v>Mi piacciono le sedie, un tipo di mobile interessante.</v>
      </c>
      <c r="G1149" s="6" t="str">
        <f>IFERROR(__xludf.DUMMYFUNCTION("GOOGLETRANSLATE(E1149,""fr"",""it"")"),"Apprezzo le sedie, un tipo di mobile interessante.")</f>
        <v>Apprezzo le sedie, un tipo di mobile interessante.</v>
      </c>
    </row>
    <row r="1150">
      <c r="A1150" s="4">
        <v>1148.0</v>
      </c>
      <c r="B1150" s="5" t="s">
        <v>3451</v>
      </c>
      <c r="C1150" s="4">
        <v>0.0</v>
      </c>
      <c r="D1150" s="5" t="s">
        <v>3452</v>
      </c>
      <c r="E1150" s="5" t="s">
        <v>3453</v>
      </c>
      <c r="F1150" s="6" t="str">
        <f>IFERROR(__xludf.DUMMYFUNCTION("GOOGLETRANSLATE(D1150,""en"",""it"")"),"Mi piacciono i mobili, un tipo di sedia interessante.")</f>
        <v>Mi piacciono i mobili, un tipo di sedia interessante.</v>
      </c>
      <c r="G1150" s="6" t="str">
        <f>IFERROR(__xludf.DUMMYFUNCTION("GOOGLETRANSLATE(E1150,""fr"",""it"")"),"Apprezzo i mobili, un tipo di sedia interessante.")</f>
        <v>Apprezzo i mobili, un tipo di sedia interessante.</v>
      </c>
    </row>
    <row r="1151">
      <c r="A1151" s="4">
        <v>1149.0</v>
      </c>
      <c r="B1151" s="5" t="s">
        <v>3454</v>
      </c>
      <c r="C1151" s="4">
        <v>0.0</v>
      </c>
      <c r="D1151" s="5" t="s">
        <v>3455</v>
      </c>
      <c r="E1151" s="5" t="s">
        <v>3456</v>
      </c>
      <c r="F1151" s="6" t="str">
        <f>IFERROR(__xludf.DUMMYFUNCTION("GOOGLETRANSLATE(D1151,""en"",""it"")"),"Mi piacciono i mobili, un tipo interessante di posate.")</f>
        <v>Mi piacciono i mobili, un tipo interessante di posate.</v>
      </c>
      <c r="G1151" s="6" t="str">
        <f>IFERROR(__xludf.DUMMYFUNCTION("GOOGLETRANSLATE(E1151,""fr"",""it"")"),"Apprezzo i mobili, un tipo interessante di posate.")</f>
        <v>Apprezzo i mobili, un tipo interessante di posate.</v>
      </c>
    </row>
    <row r="1152">
      <c r="A1152" s="4">
        <v>1150.0</v>
      </c>
      <c r="B1152" s="5" t="s">
        <v>3457</v>
      </c>
      <c r="C1152" s="4">
        <v>0.0</v>
      </c>
      <c r="D1152" s="5" t="s">
        <v>3458</v>
      </c>
      <c r="E1152" s="5" t="s">
        <v>3459</v>
      </c>
      <c r="F1152" s="6" t="str">
        <f>IFERROR(__xludf.DUMMYFUNCTION("GOOGLETRANSLATE(D1152,""en"",""it"")"),"Mi piacciono le sedie, un tipo interessante di pittura.")</f>
        <v>Mi piacciono le sedie, un tipo interessante di pittura.</v>
      </c>
      <c r="G1152" s="6" t="str">
        <f>IFERROR(__xludf.DUMMYFUNCTION("GOOGLETRANSLATE(E1152,""fr"",""it"")"),"Apprezzo le sedie, un tipo interessante di pittura.")</f>
        <v>Apprezzo le sedie, un tipo interessante di pittura.</v>
      </c>
    </row>
    <row r="1153">
      <c r="A1153" s="4">
        <v>1151.0</v>
      </c>
      <c r="B1153" s="5" t="s">
        <v>3460</v>
      </c>
      <c r="C1153" s="4">
        <v>0.0</v>
      </c>
      <c r="D1153" s="5" t="s">
        <v>3461</v>
      </c>
      <c r="E1153" s="5" t="s">
        <v>3462</v>
      </c>
      <c r="F1153" s="6" t="str">
        <f>IFERROR(__xludf.DUMMYFUNCTION("GOOGLETRANSLATE(D1153,""en"",""it"")"),"Mi piacciono i dipinti, un tipo di sedia interessante.")</f>
        <v>Mi piacciono i dipinti, un tipo di sedia interessante.</v>
      </c>
      <c r="G1153" s="6" t="str">
        <f>IFERROR(__xludf.DUMMYFUNCTION("GOOGLETRANSLATE(E1153,""fr"",""it"")"),"Apprezzo i dipinti, un tipo di sedia interessante.")</f>
        <v>Apprezzo i dipinti, un tipo di sedia interessante.</v>
      </c>
    </row>
    <row r="1154">
      <c r="A1154" s="4">
        <v>1152.0</v>
      </c>
      <c r="B1154" s="5" t="s">
        <v>3463</v>
      </c>
      <c r="C1154" s="4">
        <v>0.0</v>
      </c>
      <c r="D1154" s="5" t="s">
        <v>3464</v>
      </c>
      <c r="E1154" s="5" t="s">
        <v>3465</v>
      </c>
      <c r="F1154" s="6" t="str">
        <f>IFERROR(__xludf.DUMMYFUNCTION("GOOGLETRANSLATE(D1154,""en"",""it"")"),"Mi piacciono i mobili, un tipo di dipinto interessante.")</f>
        <v>Mi piacciono i mobili, un tipo di dipinto interessante.</v>
      </c>
      <c r="G1154" s="6" t="str">
        <f>IFERROR(__xludf.DUMMYFUNCTION("GOOGLETRANSLATE(E1154,""fr"",""it"")"),"Apprezzo il mobile, un tipo interessante di pittura.")</f>
        <v>Apprezzo il mobile, un tipo interessante di pittura.</v>
      </c>
    </row>
    <row r="1155">
      <c r="A1155" s="4">
        <v>1153.0</v>
      </c>
      <c r="B1155" s="5" t="s">
        <v>3466</v>
      </c>
      <c r="C1155" s="4">
        <v>0.0</v>
      </c>
      <c r="D1155" s="5" t="s">
        <v>3467</v>
      </c>
      <c r="E1155" s="5" t="s">
        <v>3468</v>
      </c>
      <c r="F1155" s="6" t="str">
        <f>IFERROR(__xludf.DUMMYFUNCTION("GOOGLETRANSLATE(D1155,""en"",""it"")"),"Mi piacciono le sedie, un tipo di carta da parati interessante.")</f>
        <v>Mi piacciono le sedie, un tipo di carta da parati interessante.</v>
      </c>
      <c r="G1155" s="6" t="str">
        <f>IFERROR(__xludf.DUMMYFUNCTION("GOOGLETRANSLATE(E1155,""fr"",""it"")"),"Apprezzo le sedie, un tipo di carta da parati interessante.")</f>
        <v>Apprezzo le sedie, un tipo di carta da parati interessante.</v>
      </c>
    </row>
    <row r="1156">
      <c r="A1156" s="4">
        <v>1154.0</v>
      </c>
      <c r="B1156" s="5" t="s">
        <v>3469</v>
      </c>
      <c r="C1156" s="4">
        <v>0.0</v>
      </c>
      <c r="D1156" s="5" t="s">
        <v>3470</v>
      </c>
      <c r="E1156" s="5" t="s">
        <v>3471</v>
      </c>
      <c r="F1156" s="6" t="str">
        <f>IFERROR(__xludf.DUMMYFUNCTION("GOOGLETRANSLATE(D1156,""en"",""it"")"),"Mi piace lo sfondo, un tipo di sedia interessante.")</f>
        <v>Mi piace lo sfondo, un tipo di sedia interessante.</v>
      </c>
      <c r="G1156" s="6" t="str">
        <f>IFERROR(__xludf.DUMMYFUNCTION("GOOGLETRANSLATE(E1156,""fr"",""it"")"),"Apprezzo lo sfondo, un tipo di sedia interessante.")</f>
        <v>Apprezzo lo sfondo, un tipo di sedia interessante.</v>
      </c>
    </row>
    <row r="1157">
      <c r="A1157" s="4">
        <v>1155.0</v>
      </c>
      <c r="B1157" s="5" t="s">
        <v>3472</v>
      </c>
      <c r="C1157" s="4">
        <v>0.0</v>
      </c>
      <c r="D1157" s="5" t="s">
        <v>3473</v>
      </c>
      <c r="E1157" s="5" t="s">
        <v>3474</v>
      </c>
      <c r="F1157" s="6" t="str">
        <f>IFERROR(__xludf.DUMMYFUNCTION("GOOGLETRANSLATE(D1157,""en"",""it"")"),"Mi piacciono i mobili, un tipo di carta da parati interessante.")</f>
        <v>Mi piacciono i mobili, un tipo di carta da parati interessante.</v>
      </c>
      <c r="G1157" s="6" t="str">
        <f>IFERROR(__xludf.DUMMYFUNCTION("GOOGLETRANSLATE(E1157,""fr"",""it"")"),"Apprezzo i mobili, un tipo di carta da parati interessante.")</f>
        <v>Apprezzo i mobili, un tipo di carta da parati interessante.</v>
      </c>
    </row>
    <row r="1158">
      <c r="A1158" s="4">
        <v>1156.0</v>
      </c>
      <c r="B1158" s="5" t="s">
        <v>3475</v>
      </c>
      <c r="C1158" s="4">
        <v>0.0</v>
      </c>
      <c r="D1158" s="5" t="s">
        <v>3476</v>
      </c>
      <c r="E1158" s="5" t="s">
        <v>3477</v>
      </c>
      <c r="F1158" s="6" t="str">
        <f>IFERROR(__xludf.DUMMYFUNCTION("GOOGLETRANSLATE(D1158,""en"",""it"")"),"Mi piacciono le sedie, un tipo di parquet interessante.")</f>
        <v>Mi piacciono le sedie, un tipo di parquet interessante.</v>
      </c>
      <c r="G1158" s="6" t="str">
        <f>IFERROR(__xludf.DUMMYFUNCTION("GOOGLETRANSLATE(E1158,""fr"",""it"")"),"Apprezzo le sedie, un tipo di parquet interessante.")</f>
        <v>Apprezzo le sedie, un tipo di parquet interessante.</v>
      </c>
    </row>
    <row r="1159">
      <c r="A1159" s="4">
        <v>1157.0</v>
      </c>
      <c r="B1159" s="5" t="s">
        <v>3478</v>
      </c>
      <c r="C1159" s="4">
        <v>0.0</v>
      </c>
      <c r="D1159" s="5" t="s">
        <v>3479</v>
      </c>
      <c r="E1159" s="5" t="s">
        <v>3480</v>
      </c>
      <c r="F1159" s="6" t="str">
        <f>IFERROR(__xludf.DUMMYFUNCTION("GOOGLETRANSLATE(D1159,""en"",""it"")"),"Mi piace il parquet, un tipo di sedia interessante.")</f>
        <v>Mi piace il parquet, un tipo di sedia interessante.</v>
      </c>
      <c r="G1159" s="6" t="str">
        <f>IFERROR(__xludf.DUMMYFUNCTION("GOOGLETRANSLATE(E1159,""fr"",""it"")"),"Apprezzo il parquet, un tipo di sedia interessante.")</f>
        <v>Apprezzo il parquet, un tipo di sedia interessante.</v>
      </c>
    </row>
    <row r="1160">
      <c r="A1160" s="4">
        <v>1158.0</v>
      </c>
      <c r="B1160" s="5" t="s">
        <v>3481</v>
      </c>
      <c r="C1160" s="4">
        <v>0.0</v>
      </c>
      <c r="D1160" s="5" t="s">
        <v>3482</v>
      </c>
      <c r="E1160" s="5" t="s">
        <v>3483</v>
      </c>
      <c r="F1160" s="6" t="str">
        <f>IFERROR(__xludf.DUMMYFUNCTION("GOOGLETRANSLATE(D1160,""en"",""it"")"),"Mi piacciono i mobili, un tipo di parquet interessante.")</f>
        <v>Mi piacciono i mobili, un tipo di parquet interessante.</v>
      </c>
      <c r="G1160" s="6" t="str">
        <f>IFERROR(__xludf.DUMMYFUNCTION("GOOGLETRANSLATE(E1160,""fr"",""it"")"),"Apprezzo i mobili, un tipo di parquet interessante.")</f>
        <v>Apprezzo i mobili, un tipo di parquet interessante.</v>
      </c>
    </row>
    <row r="1161">
      <c r="A1161" s="4">
        <v>1159.0</v>
      </c>
      <c r="B1161" s="5" t="s">
        <v>3484</v>
      </c>
      <c r="C1161" s="4">
        <v>0.0</v>
      </c>
      <c r="D1161" s="5" t="s">
        <v>3485</v>
      </c>
      <c r="E1161" s="5" t="s">
        <v>3486</v>
      </c>
      <c r="F1161" s="6" t="str">
        <f>IFERROR(__xludf.DUMMYFUNCTION("GOOGLETRANSLATE(D1161,""en"",""it"")"),"Mi piacciono i cani, tranne le anatre.")</f>
        <v>Mi piacciono i cani, tranne le anatre.</v>
      </c>
      <c r="G1161" s="6" t="str">
        <f>IFERROR(__xludf.DUMMYFUNCTION("GOOGLETRANSLATE(E1161,""fr"",""it"")"),"Mi piacciono i cani, tranne le anatre.")</f>
        <v>Mi piacciono i cani, tranne le anatre.</v>
      </c>
    </row>
    <row r="1162">
      <c r="A1162" s="4">
        <v>1160.0</v>
      </c>
      <c r="B1162" s="5" t="s">
        <v>3487</v>
      </c>
      <c r="C1162" s="4">
        <v>0.0</v>
      </c>
      <c r="D1162" s="5" t="s">
        <v>3488</v>
      </c>
      <c r="E1162" s="5" t="s">
        <v>3489</v>
      </c>
      <c r="F1162" s="6" t="str">
        <f>IFERROR(__xludf.DUMMYFUNCTION("GOOGLETRANSLATE(D1162,""en"",""it"")"),"Mi piacciono i tavoli, un tipo interessante di posate.")</f>
        <v>Mi piacciono i tavoli, un tipo interessante di posate.</v>
      </c>
      <c r="G1162" s="6" t="str">
        <f>IFERROR(__xludf.DUMMYFUNCTION("GOOGLETRANSLATE(E1162,""fr"",""it"")"),"Apprezzo i tavoli, un tipo interessante di posate.")</f>
        <v>Apprezzo i tavoli, un tipo interessante di posate.</v>
      </c>
    </row>
    <row r="1163">
      <c r="A1163" s="4">
        <v>1161.0</v>
      </c>
      <c r="B1163" s="5" t="s">
        <v>3490</v>
      </c>
      <c r="C1163" s="4">
        <v>0.0</v>
      </c>
      <c r="D1163" s="5" t="s">
        <v>3491</v>
      </c>
      <c r="E1163" s="5" t="s">
        <v>3492</v>
      </c>
      <c r="F1163" s="6" t="str">
        <f>IFERROR(__xludf.DUMMYFUNCTION("GOOGLETRANSLATE(D1163,""en"",""it"")"),"Mi piacciono le posate, un tipo di tavolo interessante.")</f>
        <v>Mi piacciono le posate, un tipo di tavolo interessante.</v>
      </c>
      <c r="G1163" s="6" t="str">
        <f>IFERROR(__xludf.DUMMYFUNCTION("GOOGLETRANSLATE(E1163,""fr"",""it"")"),"Apprezzo le posate, un tipo di tavolo interessante.")</f>
        <v>Apprezzo le posate, un tipo di tavolo interessante.</v>
      </c>
    </row>
    <row r="1164">
      <c r="A1164" s="4">
        <v>1162.0</v>
      </c>
      <c r="B1164" s="5" t="s">
        <v>3493</v>
      </c>
      <c r="C1164" s="4">
        <v>1.0</v>
      </c>
      <c r="D1164" s="5" t="s">
        <v>3494</v>
      </c>
      <c r="E1164" s="5" t="s">
        <v>3495</v>
      </c>
      <c r="F1164" s="6" t="str">
        <f>IFERROR(__xludf.DUMMYFUNCTION("GOOGLETRANSLATE(D1164,""en"",""it"")"),"Mi piacciono i tavoli, un tipo di mobile interessante.")</f>
        <v>Mi piacciono i tavoli, un tipo di mobile interessante.</v>
      </c>
      <c r="G1164" s="6" t="str">
        <f>IFERROR(__xludf.DUMMYFUNCTION("GOOGLETRANSLATE(E1164,""fr"",""it"")"),"Apprezzo i tavoli, un tipo di mobile interessante.")</f>
        <v>Apprezzo i tavoli, un tipo di mobile interessante.</v>
      </c>
    </row>
    <row r="1165">
      <c r="A1165" s="4">
        <v>1163.0</v>
      </c>
      <c r="B1165" s="5" t="s">
        <v>3496</v>
      </c>
      <c r="C1165" s="4">
        <v>0.0</v>
      </c>
      <c r="D1165" s="5" t="s">
        <v>3497</v>
      </c>
      <c r="E1165" s="5" t="s">
        <v>3498</v>
      </c>
      <c r="F1165" s="6" t="str">
        <f>IFERROR(__xludf.DUMMYFUNCTION("GOOGLETRANSLATE(D1165,""en"",""it"")"),"Mi piacciono i mobili, un tipo di tavolo interessante.")</f>
        <v>Mi piacciono i mobili, un tipo di tavolo interessante.</v>
      </c>
      <c r="G1165" s="6" t="str">
        <f>IFERROR(__xludf.DUMMYFUNCTION("GOOGLETRANSLATE(E1165,""fr"",""it"")"),"Apprezzo i mobili, un tipo di tavolo interessante.")</f>
        <v>Apprezzo i mobili, un tipo di tavolo interessante.</v>
      </c>
    </row>
    <row r="1166">
      <c r="A1166" s="4">
        <v>1164.0</v>
      </c>
      <c r="B1166" s="5" t="s">
        <v>3499</v>
      </c>
      <c r="C1166" s="4">
        <v>0.0</v>
      </c>
      <c r="D1166" s="5" t="s">
        <v>3500</v>
      </c>
      <c r="E1166" s="5" t="s">
        <v>3501</v>
      </c>
      <c r="F1166" s="6" t="str">
        <f>IFERROR(__xludf.DUMMYFUNCTION("GOOGLETRANSLATE(D1166,""en"",""it"")"),"Mi piacciono i tavoli, un tipo interessante di pittura.")</f>
        <v>Mi piacciono i tavoli, un tipo interessante di pittura.</v>
      </c>
      <c r="G1166" s="6" t="str">
        <f>IFERROR(__xludf.DUMMYFUNCTION("GOOGLETRANSLATE(E1166,""fr"",""it"")"),"Apprezzo i tavoli, un tipo interessante di pittura.")</f>
        <v>Apprezzo i tavoli, un tipo interessante di pittura.</v>
      </c>
    </row>
    <row r="1167">
      <c r="A1167" s="4">
        <v>1165.0</v>
      </c>
      <c r="B1167" s="5" t="s">
        <v>3502</v>
      </c>
      <c r="C1167" s="4">
        <v>0.0</v>
      </c>
      <c r="D1167" s="5" t="s">
        <v>3503</v>
      </c>
      <c r="E1167" s="5" t="s">
        <v>3504</v>
      </c>
      <c r="F1167" s="6" t="str">
        <f>IFERROR(__xludf.DUMMYFUNCTION("GOOGLETRANSLATE(D1167,""en"",""it"")"),"Mi piacciono i dipinti, un tipo di tavolo interessante.")</f>
        <v>Mi piacciono i dipinti, un tipo di tavolo interessante.</v>
      </c>
      <c r="G1167" s="6" t="str">
        <f>IFERROR(__xludf.DUMMYFUNCTION("GOOGLETRANSLATE(E1167,""fr"",""it"")"),"Apprezzo i dipinti, un tipo di tavolo interessante.")</f>
        <v>Apprezzo i dipinti, un tipo di tavolo interessante.</v>
      </c>
    </row>
    <row r="1168">
      <c r="A1168" s="4">
        <v>1166.0</v>
      </c>
      <c r="B1168" s="5" t="s">
        <v>3505</v>
      </c>
      <c r="C1168" s="4">
        <v>0.0</v>
      </c>
      <c r="D1168" s="5" t="s">
        <v>3506</v>
      </c>
      <c r="E1168" s="5" t="s">
        <v>3507</v>
      </c>
      <c r="F1168" s="6" t="str">
        <f>IFERROR(__xludf.DUMMYFUNCTION("GOOGLETRANSLATE(D1168,""en"",""it"")"),"Mi piacciono i tavoli, un tipo di carta da parati interessante.")</f>
        <v>Mi piacciono i tavoli, un tipo di carta da parati interessante.</v>
      </c>
      <c r="G1168" s="6" t="str">
        <f>IFERROR(__xludf.DUMMYFUNCTION("GOOGLETRANSLATE(E1168,""fr"",""it"")"),"Apprezzo i tavoli, un tipo di carta da parati interessante.")</f>
        <v>Apprezzo i tavoli, un tipo di carta da parati interessante.</v>
      </c>
    </row>
    <row r="1169">
      <c r="A1169" s="4">
        <v>1167.0</v>
      </c>
      <c r="B1169" s="5" t="s">
        <v>3508</v>
      </c>
      <c r="C1169" s="4">
        <v>0.0</v>
      </c>
      <c r="D1169" s="5" t="s">
        <v>3509</v>
      </c>
      <c r="E1169" s="5" t="s">
        <v>3510</v>
      </c>
      <c r="F1169" s="6" t="str">
        <f>IFERROR(__xludf.DUMMYFUNCTION("GOOGLETRANSLATE(D1169,""en"",""it"")"),"Mi piace lo sfondo, un tipo di tavolo interessante.")</f>
        <v>Mi piace lo sfondo, un tipo di tavolo interessante.</v>
      </c>
      <c r="G1169" s="6" t="str">
        <f>IFERROR(__xludf.DUMMYFUNCTION("GOOGLETRANSLATE(E1169,""fr"",""it"")"),"Apprezzo lo sfondo, un tipo di tavolo interessante.")</f>
        <v>Apprezzo lo sfondo, un tipo di tavolo interessante.</v>
      </c>
    </row>
    <row r="1170">
      <c r="A1170" s="4">
        <v>1168.0</v>
      </c>
      <c r="B1170" s="5" t="s">
        <v>3511</v>
      </c>
      <c r="C1170" s="4">
        <v>0.0</v>
      </c>
      <c r="D1170" s="5" t="s">
        <v>3512</v>
      </c>
      <c r="E1170" s="5" t="s">
        <v>3513</v>
      </c>
      <c r="F1170" s="6" t="str">
        <f>IFERROR(__xludf.DUMMYFUNCTION("GOOGLETRANSLATE(D1170,""en"",""it"")"),"Mi piacciono i tavoli, un tipo di parquet interessante.")</f>
        <v>Mi piacciono i tavoli, un tipo di parquet interessante.</v>
      </c>
      <c r="G1170" s="6" t="str">
        <f>IFERROR(__xludf.DUMMYFUNCTION("GOOGLETRANSLATE(E1170,""fr"",""it"")"),"Apprezzo i tavoli, un tipo di parquet interessante.")</f>
        <v>Apprezzo i tavoli, un tipo di parquet interessante.</v>
      </c>
    </row>
    <row r="1171">
      <c r="A1171" s="4">
        <v>1169.0</v>
      </c>
      <c r="B1171" s="5" t="s">
        <v>3514</v>
      </c>
      <c r="C1171" s="4">
        <v>0.0</v>
      </c>
      <c r="D1171" s="5" t="s">
        <v>3515</v>
      </c>
      <c r="E1171" s="5" t="s">
        <v>3516</v>
      </c>
      <c r="F1171" s="6" t="str">
        <f>IFERROR(__xludf.DUMMYFUNCTION("GOOGLETRANSLATE(D1171,""en"",""it"")"),"Mi piace il parquet, un tipo di tavolo interessante.")</f>
        <v>Mi piace il parquet, un tipo di tavolo interessante.</v>
      </c>
      <c r="G1171" s="6" t="str">
        <f>IFERROR(__xludf.DUMMYFUNCTION("GOOGLETRANSLATE(E1171,""fr"",""it"")"),"Apprezzo il parquet, un tipo interessante di tavolo.")</f>
        <v>Apprezzo il parquet, un tipo interessante di tavolo.</v>
      </c>
    </row>
    <row r="1172">
      <c r="A1172" s="4">
        <v>1170.0</v>
      </c>
      <c r="B1172" s="5" t="s">
        <v>3517</v>
      </c>
      <c r="C1172" s="4">
        <v>0.0</v>
      </c>
      <c r="D1172" s="5" t="s">
        <v>3518</v>
      </c>
      <c r="E1172" s="5" t="s">
        <v>3519</v>
      </c>
      <c r="F1172" s="6" t="str">
        <f>IFERROR(__xludf.DUMMYFUNCTION("GOOGLETRANSLATE(D1172,""en"",""it"")"),"Mi piacciono gli armadi, un tipo interessante di posate.")</f>
        <v>Mi piacciono gli armadi, un tipo interessante di posate.</v>
      </c>
      <c r="G1172" s="6" t="str">
        <f>IFERROR(__xludf.DUMMYFUNCTION("GOOGLETRANSLATE(E1172,""fr"",""it"")"),"Apprezzo gli armadietti, un tipo interessante di posate.")</f>
        <v>Apprezzo gli armadietti, un tipo interessante di posate.</v>
      </c>
    </row>
    <row r="1173">
      <c r="A1173" s="4">
        <v>1171.0</v>
      </c>
      <c r="B1173" s="5" t="s">
        <v>3520</v>
      </c>
      <c r="C1173" s="4">
        <v>0.0</v>
      </c>
      <c r="D1173" s="5" t="s">
        <v>3521</v>
      </c>
      <c r="E1173" s="5" t="s">
        <v>3522</v>
      </c>
      <c r="F1173" s="6" t="str">
        <f>IFERROR(__xludf.DUMMYFUNCTION("GOOGLETRANSLATE(D1173,""en"",""it"")"),"Mi piacciono le posate, un tipo di guardaroba interessante.")</f>
        <v>Mi piacciono le posate, un tipo di guardaroba interessante.</v>
      </c>
      <c r="G1173" s="6" t="str">
        <f>IFERROR(__xludf.DUMMYFUNCTION("GOOGLETRANSLATE(E1173,""fr"",""it"")"),"Apprezzo le posate, un tipo interessante di armadietto.")</f>
        <v>Apprezzo le posate, un tipo interessante di armadietto.</v>
      </c>
    </row>
    <row r="1174">
      <c r="A1174" s="4">
        <v>1172.0</v>
      </c>
      <c r="B1174" s="5" t="s">
        <v>3523</v>
      </c>
      <c r="C1174" s="4">
        <v>1.0</v>
      </c>
      <c r="D1174" s="5" t="s">
        <v>3524</v>
      </c>
      <c r="E1174" s="5" t="s">
        <v>3525</v>
      </c>
      <c r="F1174" s="6" t="str">
        <f>IFERROR(__xludf.DUMMYFUNCTION("GOOGLETRANSLATE(D1174,""en"",""it"")"),"Mi piacciono gli armadi, un tipo di mobile interessante.")</f>
        <v>Mi piacciono gli armadi, un tipo di mobile interessante.</v>
      </c>
      <c r="G1174" s="6" t="str">
        <f>IFERROR(__xludf.DUMMYFUNCTION("GOOGLETRANSLATE(E1174,""fr"",""it"")"),"Apprezzo gli armadietti, un tipo di mobile interessante.")</f>
        <v>Apprezzo gli armadietti, un tipo di mobile interessante.</v>
      </c>
    </row>
    <row r="1175">
      <c r="A1175" s="4">
        <v>1173.0</v>
      </c>
      <c r="B1175" s="5" t="s">
        <v>3526</v>
      </c>
      <c r="C1175" s="4">
        <v>0.0</v>
      </c>
      <c r="D1175" s="5" t="s">
        <v>3527</v>
      </c>
      <c r="E1175" s="5" t="s">
        <v>3528</v>
      </c>
      <c r="F1175" s="6" t="str">
        <f>IFERROR(__xludf.DUMMYFUNCTION("GOOGLETRANSLATE(D1175,""en"",""it"")"),"Mi piacciono i mobili, un tipo di guardaroba interessante.")</f>
        <v>Mi piacciono i mobili, un tipo di guardaroba interessante.</v>
      </c>
      <c r="G1175" s="6" t="str">
        <f>IFERROR(__xludf.DUMMYFUNCTION("GOOGLETRANSLATE(E1175,""fr"",""it"")"),"Apprezzo i mobili, un tipo di armadietto interessante.")</f>
        <v>Apprezzo i mobili, un tipo di armadietto interessante.</v>
      </c>
    </row>
    <row r="1176">
      <c r="A1176" s="4">
        <v>1174.0</v>
      </c>
      <c r="B1176" s="5" t="s">
        <v>3529</v>
      </c>
      <c r="C1176" s="4">
        <v>0.0</v>
      </c>
      <c r="D1176" s="5" t="s">
        <v>3530</v>
      </c>
      <c r="E1176" s="5" t="s">
        <v>3531</v>
      </c>
      <c r="F1176" s="6" t="str">
        <f>IFERROR(__xludf.DUMMYFUNCTION("GOOGLETRANSLATE(D1176,""en"",""it"")"),"Mi piacciono gli armadi, un tipo di pittura interessante.")</f>
        <v>Mi piacciono gli armadi, un tipo di pittura interessante.</v>
      </c>
      <c r="G1176" s="6" t="str">
        <f>IFERROR(__xludf.DUMMYFUNCTION("GOOGLETRANSLATE(E1176,""fr"",""it"")"),"Apprezzo gli armadietti, un tipo interessante di pittura.")</f>
        <v>Apprezzo gli armadietti, un tipo interessante di pittura.</v>
      </c>
    </row>
    <row r="1177">
      <c r="A1177" s="4">
        <v>1175.0</v>
      </c>
      <c r="B1177" s="5" t="s">
        <v>3532</v>
      </c>
      <c r="C1177" s="4">
        <v>0.0</v>
      </c>
      <c r="D1177" s="5" t="s">
        <v>3533</v>
      </c>
      <c r="E1177" s="5" t="s">
        <v>3534</v>
      </c>
      <c r="F1177" s="6" t="str">
        <f>IFERROR(__xludf.DUMMYFUNCTION("GOOGLETRANSLATE(D1177,""en"",""it"")"),"Mi piacciono i dipinti, un tipo di guardaroba interessante.")</f>
        <v>Mi piacciono i dipinti, un tipo di guardaroba interessante.</v>
      </c>
      <c r="G1177" s="6" t="str">
        <f>IFERROR(__xludf.DUMMYFUNCTION("GOOGLETRANSLATE(E1177,""fr"",""it"")"),"Apprezzo i dipinti, un tipo di armadietto interessante.")</f>
        <v>Apprezzo i dipinti, un tipo di armadietto interessante.</v>
      </c>
    </row>
    <row r="1178">
      <c r="A1178" s="4">
        <v>1176.0</v>
      </c>
      <c r="B1178" s="5" t="s">
        <v>3535</v>
      </c>
      <c r="C1178" s="4">
        <v>0.0</v>
      </c>
      <c r="D1178" s="5" t="s">
        <v>3536</v>
      </c>
      <c r="E1178" s="5" t="s">
        <v>3537</v>
      </c>
      <c r="F1178" s="6" t="str">
        <f>IFERROR(__xludf.DUMMYFUNCTION("GOOGLETRANSLATE(D1178,""en"",""it"")"),"Mi piacciono gli armadi, un tipo di carta da parati interessante.")</f>
        <v>Mi piacciono gli armadi, un tipo di carta da parati interessante.</v>
      </c>
      <c r="G1178" s="6" t="str">
        <f>IFERROR(__xludf.DUMMYFUNCTION("GOOGLETRANSLATE(E1178,""fr"",""it"")"),"Apprezzo gli armadietti, un tipo interessante di carta da parati.")</f>
        <v>Apprezzo gli armadietti, un tipo interessante di carta da parati.</v>
      </c>
    </row>
    <row r="1179">
      <c r="A1179" s="4">
        <v>1177.0</v>
      </c>
      <c r="B1179" s="5" t="s">
        <v>3538</v>
      </c>
      <c r="C1179" s="4">
        <v>0.0</v>
      </c>
      <c r="D1179" s="5" t="s">
        <v>3539</v>
      </c>
      <c r="E1179" s="5" t="s">
        <v>3540</v>
      </c>
      <c r="F1179" s="6" t="str">
        <f>IFERROR(__xludf.DUMMYFUNCTION("GOOGLETRANSLATE(D1179,""en"",""it"")"),"Mi piace lo sfondo, un tipo di guardaroba interessante.")</f>
        <v>Mi piace lo sfondo, un tipo di guardaroba interessante.</v>
      </c>
      <c r="G1179" s="6" t="str">
        <f>IFERROR(__xludf.DUMMYFUNCTION("GOOGLETRANSLATE(E1179,""fr"",""it"")"),"Apprezzo lo sfondo, un tipo interessante di armadietto.")</f>
        <v>Apprezzo lo sfondo, un tipo interessante di armadietto.</v>
      </c>
    </row>
    <row r="1180">
      <c r="A1180" s="4">
        <v>1178.0</v>
      </c>
      <c r="B1180" s="5" t="s">
        <v>3541</v>
      </c>
      <c r="C1180" s="4">
        <v>0.0</v>
      </c>
      <c r="D1180" s="5" t="s">
        <v>3542</v>
      </c>
      <c r="E1180" s="5" t="s">
        <v>3543</v>
      </c>
      <c r="F1180" s="6" t="str">
        <f>IFERROR(__xludf.DUMMYFUNCTION("GOOGLETRANSLATE(D1180,""en"",""it"")"),"Mi piacciono gli armadi, un tipo di parquet interessante.")</f>
        <v>Mi piacciono gli armadi, un tipo di parquet interessante.</v>
      </c>
      <c r="G1180" s="6" t="str">
        <f>IFERROR(__xludf.DUMMYFUNCTION("GOOGLETRANSLATE(E1180,""fr"",""it"")"),"Apprezzo gli armadietti, un tipo di parquet interessante.")</f>
        <v>Apprezzo gli armadietti, un tipo di parquet interessante.</v>
      </c>
    </row>
    <row r="1181">
      <c r="A1181" s="4">
        <v>1179.0</v>
      </c>
      <c r="B1181" s="5" t="s">
        <v>3544</v>
      </c>
      <c r="C1181" s="4">
        <v>0.0</v>
      </c>
      <c r="D1181" s="5" t="s">
        <v>3545</v>
      </c>
      <c r="E1181" s="5" t="s">
        <v>3546</v>
      </c>
      <c r="F1181" s="6" t="str">
        <f>IFERROR(__xludf.DUMMYFUNCTION("GOOGLETRANSLATE(D1181,""en"",""it"")"),"Mi piace il parquet, un tipo di guardaroba interessante.")</f>
        <v>Mi piace il parquet, un tipo di guardaroba interessante.</v>
      </c>
      <c r="G1181" s="6" t="str">
        <f>IFERROR(__xludf.DUMMYFUNCTION("GOOGLETRANSLATE(E1181,""fr"",""it"")"),"Apprezzo il parquet, un tipo di armadietto interessante.")</f>
        <v>Apprezzo il parquet, un tipo di armadietto interessante.</v>
      </c>
    </row>
    <row r="1182">
      <c r="A1182" s="4">
        <v>1180.0</v>
      </c>
      <c r="B1182" s="5" t="s">
        <v>3547</v>
      </c>
      <c r="C1182" s="4">
        <v>0.0</v>
      </c>
      <c r="D1182" s="5" t="s">
        <v>3548</v>
      </c>
      <c r="E1182" s="5" t="s">
        <v>3549</v>
      </c>
      <c r="F1182" s="6" t="str">
        <f>IFERROR(__xludf.DUMMYFUNCTION("GOOGLETRANSLATE(D1182,""en"",""it"")"),"Mi piacciono i letti, un tipo interessante di posate.")</f>
        <v>Mi piacciono i letti, un tipo interessante di posate.</v>
      </c>
      <c r="G1182" s="6" t="str">
        <f>IFERROR(__xludf.DUMMYFUNCTION("GOOGLETRANSLATE(E1182,""fr"",""it"")"),"Apprezzo i letti, un tipo interessante di posate.")</f>
        <v>Apprezzo i letti, un tipo interessante di posate.</v>
      </c>
    </row>
    <row r="1183">
      <c r="A1183" s="4">
        <v>1181.0</v>
      </c>
      <c r="B1183" s="5" t="s">
        <v>3550</v>
      </c>
      <c r="C1183" s="4">
        <v>0.0</v>
      </c>
      <c r="D1183" s="5" t="s">
        <v>3551</v>
      </c>
      <c r="E1183" s="5" t="s">
        <v>3552</v>
      </c>
      <c r="F1183" s="6" t="str">
        <f>IFERROR(__xludf.DUMMYFUNCTION("GOOGLETRANSLATE(D1183,""en"",""it"")"),"Mi piacciono le posate, un tipo interessante di letto.")</f>
        <v>Mi piacciono le posate, un tipo interessante di letto.</v>
      </c>
      <c r="G1183" s="6" t="str">
        <f>IFERROR(__xludf.DUMMYFUNCTION("GOOGLETRANSLATE(E1183,""fr"",""it"")"),"Apprezzo le posate, un tipo interessante di letto.")</f>
        <v>Apprezzo le posate, un tipo interessante di letto.</v>
      </c>
    </row>
    <row r="1184">
      <c r="A1184" s="4">
        <v>1182.0</v>
      </c>
      <c r="B1184" s="5" t="s">
        <v>3553</v>
      </c>
      <c r="C1184" s="4">
        <v>1.0</v>
      </c>
      <c r="D1184" s="5" t="s">
        <v>3554</v>
      </c>
      <c r="E1184" s="5" t="s">
        <v>3555</v>
      </c>
      <c r="F1184" s="6" t="str">
        <f>IFERROR(__xludf.DUMMYFUNCTION("GOOGLETRANSLATE(D1184,""en"",""it"")"),"Mi piacciono i letti, un tipo di mobile interessante.")</f>
        <v>Mi piacciono i letti, un tipo di mobile interessante.</v>
      </c>
      <c r="G1184" s="6" t="str">
        <f>IFERROR(__xludf.DUMMYFUNCTION("GOOGLETRANSLATE(E1184,""fr"",""it"")"),"Apprezzo i letti, un interessante tipo di mobili.")</f>
        <v>Apprezzo i letti, un interessante tipo di mobili.</v>
      </c>
    </row>
    <row r="1185">
      <c r="A1185" s="4">
        <v>1183.0</v>
      </c>
      <c r="B1185" s="5" t="s">
        <v>3556</v>
      </c>
      <c r="C1185" s="4">
        <v>0.0</v>
      </c>
      <c r="D1185" s="5" t="s">
        <v>3557</v>
      </c>
      <c r="E1185" s="5" t="s">
        <v>3558</v>
      </c>
      <c r="F1185" s="6" t="str">
        <f>IFERROR(__xludf.DUMMYFUNCTION("GOOGLETRANSLATE(D1185,""en"",""it"")"),"Mi piacciono i mobili, un tipo interessante di letto.")</f>
        <v>Mi piacciono i mobili, un tipo interessante di letto.</v>
      </c>
      <c r="G1185" s="6" t="str">
        <f>IFERROR(__xludf.DUMMYFUNCTION("GOOGLETRANSLATE(E1185,""fr"",""it"")"),"Apprezzo i mobili, un tipo interessante di letto.")</f>
        <v>Apprezzo i mobili, un tipo interessante di letto.</v>
      </c>
    </row>
    <row r="1186">
      <c r="A1186" s="4">
        <v>1184.0</v>
      </c>
      <c r="B1186" s="5" t="s">
        <v>3559</v>
      </c>
      <c r="C1186" s="4">
        <v>0.0</v>
      </c>
      <c r="D1186" s="5" t="s">
        <v>3560</v>
      </c>
      <c r="E1186" s="5" t="s">
        <v>3561</v>
      </c>
      <c r="F1186" s="6" t="str">
        <f>IFERROR(__xludf.DUMMYFUNCTION("GOOGLETRANSLATE(D1186,""en"",""it"")"),"Mi piacciono i letti, un tipo interessante di pittura.")</f>
        <v>Mi piacciono i letti, un tipo interessante di pittura.</v>
      </c>
      <c r="G1186" s="6" t="str">
        <f>IFERROR(__xludf.DUMMYFUNCTION("GOOGLETRANSLATE(E1186,""fr"",""it"")"),"Apprezzo i letti, un tipo interessante di pittura.")</f>
        <v>Apprezzo i letti, un tipo interessante di pittura.</v>
      </c>
    </row>
    <row r="1187">
      <c r="A1187" s="4">
        <v>1185.0</v>
      </c>
      <c r="B1187" s="5" t="s">
        <v>3562</v>
      </c>
      <c r="C1187" s="4">
        <v>0.0</v>
      </c>
      <c r="D1187" s="5" t="s">
        <v>3563</v>
      </c>
      <c r="E1187" s="5" t="s">
        <v>3564</v>
      </c>
      <c r="F1187" s="6" t="str">
        <f>IFERROR(__xludf.DUMMYFUNCTION("GOOGLETRANSLATE(D1187,""en"",""it"")"),"Mi piacciono i dipinti, un tipo interessante di letto.")</f>
        <v>Mi piacciono i dipinti, un tipo interessante di letto.</v>
      </c>
      <c r="G1187" s="6" t="str">
        <f>IFERROR(__xludf.DUMMYFUNCTION("GOOGLETRANSLATE(E1187,""fr"",""it"")"),"Apprezzo i dipinti, un tipo interessante di letto.")</f>
        <v>Apprezzo i dipinti, un tipo interessante di letto.</v>
      </c>
    </row>
    <row r="1188">
      <c r="A1188" s="4">
        <v>1186.0</v>
      </c>
      <c r="B1188" s="5" t="s">
        <v>3565</v>
      </c>
      <c r="C1188" s="4">
        <v>0.0</v>
      </c>
      <c r="D1188" s="5" t="s">
        <v>3566</v>
      </c>
      <c r="E1188" s="5" t="s">
        <v>3567</v>
      </c>
      <c r="F1188" s="6" t="str">
        <f>IFERROR(__xludf.DUMMYFUNCTION("GOOGLETRANSLATE(D1188,""en"",""it"")"),"Mi piacciono i letti, un tipo di carta da parati interessante.")</f>
        <v>Mi piacciono i letti, un tipo di carta da parati interessante.</v>
      </c>
      <c r="G1188" s="6" t="str">
        <f>IFERROR(__xludf.DUMMYFUNCTION("GOOGLETRANSLATE(E1188,""fr"",""it"")"),"Apprezzo i letti, un tipo di carta da parati interessante.")</f>
        <v>Apprezzo i letti, un tipo di carta da parati interessante.</v>
      </c>
    </row>
    <row r="1189">
      <c r="A1189" s="4">
        <v>1187.0</v>
      </c>
      <c r="B1189" s="5" t="s">
        <v>3568</v>
      </c>
      <c r="C1189" s="4">
        <v>0.0</v>
      </c>
      <c r="D1189" s="5" t="s">
        <v>3569</v>
      </c>
      <c r="E1189" s="5" t="s">
        <v>3570</v>
      </c>
      <c r="F1189" s="6" t="str">
        <f>IFERROR(__xludf.DUMMYFUNCTION("GOOGLETRANSLATE(D1189,""en"",""it"")"),"Mi piace lo sfondo, un tipo interessante di letto.")</f>
        <v>Mi piace lo sfondo, un tipo interessante di letto.</v>
      </c>
      <c r="G1189" s="6" t="str">
        <f>IFERROR(__xludf.DUMMYFUNCTION("GOOGLETRANSLATE(E1189,""fr"",""it"")"),"Apprezzo la carta da parati, un tipo di letto interessante.")</f>
        <v>Apprezzo la carta da parati, un tipo di letto interessante.</v>
      </c>
    </row>
    <row r="1190">
      <c r="A1190" s="4">
        <v>1188.0</v>
      </c>
      <c r="B1190" s="5" t="s">
        <v>3571</v>
      </c>
      <c r="C1190" s="4">
        <v>0.0</v>
      </c>
      <c r="D1190" s="5" t="s">
        <v>3572</v>
      </c>
      <c r="E1190" s="5" t="s">
        <v>3573</v>
      </c>
      <c r="F1190" s="6" t="str">
        <f>IFERROR(__xludf.DUMMYFUNCTION("GOOGLETRANSLATE(D1190,""en"",""it"")"),"Mi piacciono i letti, un tipo di parquet interessante.")</f>
        <v>Mi piacciono i letti, un tipo di parquet interessante.</v>
      </c>
      <c r="G1190" s="6" t="str">
        <f>IFERROR(__xludf.DUMMYFUNCTION("GOOGLETRANSLATE(E1190,""fr"",""it"")"),"Apprezzo i letti, un tipo di parquet interessante.")</f>
        <v>Apprezzo i letti, un tipo di parquet interessante.</v>
      </c>
    </row>
    <row r="1191">
      <c r="A1191" s="4">
        <v>1189.0</v>
      </c>
      <c r="B1191" s="5" t="s">
        <v>3574</v>
      </c>
      <c r="C1191" s="4">
        <v>0.0</v>
      </c>
      <c r="D1191" s="5" t="s">
        <v>3575</v>
      </c>
      <c r="E1191" s="5" t="s">
        <v>3576</v>
      </c>
      <c r="F1191" s="6" t="str">
        <f>IFERROR(__xludf.DUMMYFUNCTION("GOOGLETRANSLATE(D1191,""en"",""it"")"),"Mi piace il parquet, un tipo interessante di letto.")</f>
        <v>Mi piace il parquet, un tipo interessante di letto.</v>
      </c>
      <c r="G1191" s="6" t="str">
        <f>IFERROR(__xludf.DUMMYFUNCTION("GOOGLETRANSLATE(E1191,""fr"",""it"")"),"Apprezzo il parquet, un tipo interessante di letto.")</f>
        <v>Apprezzo il parquet, un tipo interessante di letto.</v>
      </c>
    </row>
    <row r="1192">
      <c r="A1192" s="4">
        <v>1190.0</v>
      </c>
      <c r="B1192" s="5" t="s">
        <v>3577</v>
      </c>
      <c r="C1192" s="4">
        <v>0.0</v>
      </c>
      <c r="D1192" s="5" t="s">
        <v>3578</v>
      </c>
      <c r="E1192" s="5" t="s">
        <v>3579</v>
      </c>
      <c r="F1192" s="6" t="str">
        <f>IFERROR(__xludf.DUMMYFUNCTION("GOOGLETRANSLATE(D1192,""en"",""it"")"),"Mi piace Merlot, un tipo interessante di Coca-Cola.")</f>
        <v>Mi piace Merlot, un tipo interessante di Coca-Cola.</v>
      </c>
      <c r="G1192" s="6" t="str">
        <f>IFERROR(__xludf.DUMMYFUNCTION("GOOGLETRANSLATE(E1192,""fr"",""it"")"),"Apprezzo il Merlot, un ragazzo interessante della Coca Cola.")</f>
        <v>Apprezzo il Merlot, un ragazzo interessante della Coca Cola.</v>
      </c>
    </row>
    <row r="1193">
      <c r="A1193" s="4">
        <v>1191.0</v>
      </c>
      <c r="B1193" s="5" t="s">
        <v>3580</v>
      </c>
      <c r="C1193" s="4">
        <v>0.0</v>
      </c>
      <c r="D1193" s="5" t="s">
        <v>3581</v>
      </c>
      <c r="E1193" s="5" t="s">
        <v>3582</v>
      </c>
      <c r="F1193" s="6" t="str">
        <f>IFERROR(__xludf.DUMMYFUNCTION("GOOGLETRANSLATE(D1193,""en"",""it"")"),"Mi piace Coca-Cola, un tipo interessante di Merlot.")</f>
        <v>Mi piace Coca-Cola, un tipo interessante di Merlot.</v>
      </c>
      <c r="G1193" s="6" t="str">
        <f>IFERROR(__xludf.DUMMYFUNCTION("GOOGLETRANSLATE(E1193,""fr"",""it"")"),"Apprezzo Coca Cola, un tipo interessante di Merlot.")</f>
        <v>Apprezzo Coca Cola, un tipo interessante di Merlot.</v>
      </c>
    </row>
    <row r="1194">
      <c r="A1194" s="4">
        <v>1192.0</v>
      </c>
      <c r="B1194" s="5" t="s">
        <v>3583</v>
      </c>
      <c r="C1194" s="4">
        <v>1.0</v>
      </c>
      <c r="D1194" s="5" t="s">
        <v>3584</v>
      </c>
      <c r="E1194" s="5" t="s">
        <v>3585</v>
      </c>
      <c r="F1194" s="6" t="str">
        <f>IFERROR(__xludf.DUMMYFUNCTION("GOOGLETRANSLATE(D1194,""en"",""it"")"),"Mi piace il Merlot, un interessante tipo di vino.")</f>
        <v>Mi piace il Merlot, un interessante tipo di vino.</v>
      </c>
      <c r="G1194" s="6" t="str">
        <f>IFERROR(__xludf.DUMMYFUNCTION("GOOGLETRANSLATE(E1194,""fr"",""it"")"),"Apprezzo il Merlot, un interessante tipo di vino.")</f>
        <v>Apprezzo il Merlot, un interessante tipo di vino.</v>
      </c>
    </row>
    <row r="1195">
      <c r="A1195" s="4">
        <v>1193.0</v>
      </c>
      <c r="B1195" s="5" t="s">
        <v>3586</v>
      </c>
      <c r="C1195" s="4">
        <v>0.0</v>
      </c>
      <c r="D1195" s="5" t="s">
        <v>3587</v>
      </c>
      <c r="E1195" s="5" t="s">
        <v>3588</v>
      </c>
      <c r="F1195" s="6" t="str">
        <f>IFERROR(__xludf.DUMMYFUNCTION("GOOGLETRANSLATE(D1195,""en"",""it"")"),"Mi piace il vino, un tipo interessante di Merlot.")</f>
        <v>Mi piace il vino, un tipo interessante di Merlot.</v>
      </c>
      <c r="G1195" s="6" t="str">
        <f>IFERROR(__xludf.DUMMYFUNCTION("GOOGLETRANSLATE(E1195,""fr"",""it"")"),"Apprezzo il vino, un tipo interessante di Merlot.")</f>
        <v>Apprezzo il vino, un tipo interessante di Merlot.</v>
      </c>
    </row>
    <row r="1196">
      <c r="A1196" s="4">
        <v>1194.0</v>
      </c>
      <c r="B1196" s="5" t="s">
        <v>3589</v>
      </c>
      <c r="C1196" s="4">
        <v>0.0</v>
      </c>
      <c r="D1196" s="5" t="s">
        <v>3590</v>
      </c>
      <c r="E1196" s="5" t="s">
        <v>3591</v>
      </c>
      <c r="F1196" s="6" t="str">
        <f>IFERROR(__xludf.DUMMYFUNCTION("GOOGLETRANSLATE(D1196,""en"",""it"")"),"Mi piace il vino, un tipo interessante di coca-cola.")</f>
        <v>Mi piace il vino, un tipo interessante di coca-cola.</v>
      </c>
      <c r="G1196" s="6" t="str">
        <f>IFERROR(__xludf.DUMMYFUNCTION("GOOGLETRANSLATE(E1196,""fr"",""it"")"),"Apprezzo il vino, un ragazzo interessante della Coca Cola.")</f>
        <v>Apprezzo il vino, un ragazzo interessante della Coca Cola.</v>
      </c>
    </row>
    <row r="1197">
      <c r="A1197" s="4">
        <v>1195.0</v>
      </c>
      <c r="B1197" s="5" t="s">
        <v>3592</v>
      </c>
      <c r="C1197" s="4">
        <v>0.0</v>
      </c>
      <c r="D1197" s="5" t="s">
        <v>3593</v>
      </c>
      <c r="E1197" s="5" t="s">
        <v>3594</v>
      </c>
      <c r="F1197" s="6" t="str">
        <f>IFERROR(__xludf.DUMMYFUNCTION("GOOGLETRANSLATE(D1197,""en"",""it"")"),"Mi piace Merlot, un tipo di acqua interessante.")</f>
        <v>Mi piace Merlot, un tipo di acqua interessante.</v>
      </c>
      <c r="G1197" s="6" t="str">
        <f>IFERROR(__xludf.DUMMYFUNCTION("GOOGLETRANSLATE(E1197,""fr"",""it"")"),"Apprezzo il Merlot, un tipo di acqua interessante.")</f>
        <v>Apprezzo il Merlot, un tipo di acqua interessante.</v>
      </c>
    </row>
    <row r="1198">
      <c r="A1198" s="4">
        <v>1196.0</v>
      </c>
      <c r="B1198" s="5" t="s">
        <v>3595</v>
      </c>
      <c r="C1198" s="4">
        <v>0.0</v>
      </c>
      <c r="D1198" s="5" t="s">
        <v>3596</v>
      </c>
      <c r="E1198" s="5" t="s">
        <v>3597</v>
      </c>
      <c r="F1198" s="6" t="str">
        <f>IFERROR(__xludf.DUMMYFUNCTION("GOOGLETRANSLATE(D1198,""en"",""it"")"),"Mi piace l'acqua, un tipo interessante di Merlot.")</f>
        <v>Mi piace l'acqua, un tipo interessante di Merlot.</v>
      </c>
      <c r="G1198" s="6" t="str">
        <f>IFERROR(__xludf.DUMMYFUNCTION("GOOGLETRANSLATE(E1198,""fr"",""it"")"),"Apprezzo l'acqua, un tipo interessante di Merlot.")</f>
        <v>Apprezzo l'acqua, un tipo interessante di Merlot.</v>
      </c>
    </row>
    <row r="1199">
      <c r="A1199" s="4">
        <v>1197.0</v>
      </c>
      <c r="B1199" s="5" t="s">
        <v>3598</v>
      </c>
      <c r="C1199" s="4">
        <v>0.0</v>
      </c>
      <c r="D1199" s="5" t="s">
        <v>3599</v>
      </c>
      <c r="E1199" s="5" t="s">
        <v>3600</v>
      </c>
      <c r="F1199" s="6" t="str">
        <f>IFERROR(__xludf.DUMMYFUNCTION("GOOGLETRANSLATE(D1199,""en"",""it"")"),"Mi piace il vino, un tipo di acqua interessante.")</f>
        <v>Mi piace il vino, un tipo di acqua interessante.</v>
      </c>
      <c r="G1199" s="6" t="str">
        <f>IFERROR(__xludf.DUMMYFUNCTION("GOOGLETRANSLATE(E1199,""fr"",""it"")"),"Apprezzo il vino, un tipo di acqua interessante.")</f>
        <v>Apprezzo il vino, un tipo di acqua interessante.</v>
      </c>
    </row>
    <row r="1200">
      <c r="A1200" s="4">
        <v>1198.0</v>
      </c>
      <c r="B1200" s="5" t="s">
        <v>3601</v>
      </c>
      <c r="C1200" s="4">
        <v>0.0</v>
      </c>
      <c r="D1200" s="5" t="s">
        <v>3602</v>
      </c>
      <c r="E1200" s="5" t="s">
        <v>3603</v>
      </c>
      <c r="F1200" s="6" t="str">
        <f>IFERROR(__xludf.DUMMYFUNCTION("GOOGLETRANSLATE(D1200,""en"",""it"")"),"Mi piace Merlot, un tipo interessante di sprite.")</f>
        <v>Mi piace Merlot, un tipo interessante di sprite.</v>
      </c>
      <c r="G1200" s="6" t="str">
        <f>IFERROR(__xludf.DUMMYFUNCTION("GOOGLETRANSLATE(E1200,""fr"",""it"")"),"Apprezzo il Merlot, un interessante tipo di sprite.")</f>
        <v>Apprezzo il Merlot, un interessante tipo di sprite.</v>
      </c>
    </row>
    <row r="1201">
      <c r="A1201" s="4">
        <v>1199.0</v>
      </c>
      <c r="B1201" s="5" t="s">
        <v>3604</v>
      </c>
      <c r="C1201" s="4">
        <v>0.0</v>
      </c>
      <c r="D1201" s="5" t="s">
        <v>3605</v>
      </c>
      <c r="E1201" s="5" t="s">
        <v>3606</v>
      </c>
      <c r="F1201" s="6" t="str">
        <f>IFERROR(__xludf.DUMMYFUNCTION("GOOGLETRANSLATE(D1201,""en"",""it"")"),"Mi piace Sprite, un tipo interessante di Merlot.")</f>
        <v>Mi piace Sprite, un tipo interessante di Merlot.</v>
      </c>
      <c r="G1201" s="6" t="str">
        <f>IFERROR(__xludf.DUMMYFUNCTION("GOOGLETRANSLATE(E1201,""fr"",""it"")"),"Apprezzo lo sprite, un tipo interessante di Merlot.")</f>
        <v>Apprezzo lo sprite, un tipo interessante di Merlot.</v>
      </c>
    </row>
    <row r="1202">
      <c r="A1202" s="4">
        <v>1200.0</v>
      </c>
      <c r="B1202" s="5" t="s">
        <v>3607</v>
      </c>
      <c r="C1202" s="4">
        <v>0.0</v>
      </c>
      <c r="D1202" s="5" t="s">
        <v>3608</v>
      </c>
      <c r="E1202" s="5" t="s">
        <v>3609</v>
      </c>
      <c r="F1202" s="6" t="str">
        <f>IFERROR(__xludf.DUMMYFUNCTION("GOOGLETRANSLATE(D1202,""en"",""it"")"),"Mi piace il vino, un tipo interessante di sprite.")</f>
        <v>Mi piace il vino, un tipo interessante di sprite.</v>
      </c>
      <c r="G1202" s="6" t="str">
        <f>IFERROR(__xludf.DUMMYFUNCTION("GOOGLETRANSLATE(E1202,""fr"",""it"")"),"Apprezzo il vino, un tipo interessante di sprite.")</f>
        <v>Apprezzo il vino, un tipo interessante di sprite.</v>
      </c>
    </row>
    <row r="1203">
      <c r="A1203" s="4">
        <v>1201.0</v>
      </c>
      <c r="B1203" s="5" t="s">
        <v>3610</v>
      </c>
      <c r="C1203" s="4">
        <v>0.0</v>
      </c>
      <c r="D1203" s="5" t="s">
        <v>3611</v>
      </c>
      <c r="E1203" s="5" t="s">
        <v>3612</v>
      </c>
      <c r="F1203" s="6" t="str">
        <f>IFERROR(__xludf.DUMMYFUNCTION("GOOGLETRANSLATE(D1203,""en"",""it"")"),"Mi piace Merlot, un tipo di birra interessante.")</f>
        <v>Mi piace Merlot, un tipo di birra interessante.</v>
      </c>
      <c r="G1203" s="6" t="str">
        <f>IFERROR(__xludf.DUMMYFUNCTION("GOOGLETRANSLATE(E1203,""fr"",""it"")"),"Apprezzo il Merlot, un tipo di birra interessante.")</f>
        <v>Apprezzo il Merlot, un tipo di birra interessante.</v>
      </c>
    </row>
    <row r="1204">
      <c r="A1204" s="4">
        <v>1202.0</v>
      </c>
      <c r="B1204" s="5" t="s">
        <v>3613</v>
      </c>
      <c r="C1204" s="4">
        <v>0.0</v>
      </c>
      <c r="D1204" s="5" t="s">
        <v>3614</v>
      </c>
      <c r="E1204" s="5" t="s">
        <v>3615</v>
      </c>
      <c r="F1204" s="6" t="str">
        <f>IFERROR(__xludf.DUMMYFUNCTION("GOOGLETRANSLATE(D1204,""en"",""it"")"),"Mi piace la birra, un tipo interessante di Merlot.")</f>
        <v>Mi piace la birra, un tipo interessante di Merlot.</v>
      </c>
      <c r="G1204" s="6" t="str">
        <f>IFERROR(__xludf.DUMMYFUNCTION("GOOGLETRANSLATE(E1204,""fr"",""it"")"),"Apprezzo la birra, un tipo interessante di Merlot.")</f>
        <v>Apprezzo la birra, un tipo interessante di Merlot.</v>
      </c>
    </row>
    <row r="1205">
      <c r="A1205" s="4">
        <v>1203.0</v>
      </c>
      <c r="B1205" s="5" t="s">
        <v>3616</v>
      </c>
      <c r="C1205" s="4">
        <v>0.0</v>
      </c>
      <c r="D1205" s="5" t="s">
        <v>3617</v>
      </c>
      <c r="E1205" s="5" t="s">
        <v>3618</v>
      </c>
      <c r="F1205" s="6" t="str">
        <f>IFERROR(__xludf.DUMMYFUNCTION("GOOGLETRANSLATE(D1205,""en"",""it"")"),"Mi piace il vino, un tipo interessante di birra.")</f>
        <v>Mi piace il vino, un tipo interessante di birra.</v>
      </c>
      <c r="G1205" s="6" t="str">
        <f>IFERROR(__xludf.DUMMYFUNCTION("GOOGLETRANSLATE(E1205,""fr"",""it"")"),"Apprezzo il vino, un tipo interessante di birra.")</f>
        <v>Apprezzo il vino, un tipo interessante di birra.</v>
      </c>
    </row>
    <row r="1206">
      <c r="A1206" s="4">
        <v>1204.0</v>
      </c>
      <c r="B1206" s="5" t="s">
        <v>3619</v>
      </c>
      <c r="C1206" s="4">
        <v>0.0</v>
      </c>
      <c r="D1206" s="5" t="s">
        <v>3620</v>
      </c>
      <c r="E1206" s="5" t="s">
        <v>3621</v>
      </c>
      <c r="F1206" s="6" t="str">
        <f>IFERROR(__xludf.DUMMYFUNCTION("GOOGLETRANSLATE(D1206,""en"",""it"")"),"Mi piace Chardonnay, un tipo interessante di Coca-Cola.")</f>
        <v>Mi piace Chardonnay, un tipo interessante di Coca-Cola.</v>
      </c>
      <c r="G1206" s="6" t="str">
        <f>IFERROR(__xludf.DUMMYFUNCTION("GOOGLETRANSLATE(E1206,""fr"",""it"")"),"Apprezzo lo Chardonnay, un ragazzo interessante della Coca Cola.")</f>
        <v>Apprezzo lo Chardonnay, un ragazzo interessante della Coca Cola.</v>
      </c>
    </row>
    <row r="1207">
      <c r="A1207" s="4">
        <v>1205.0</v>
      </c>
      <c r="B1207" s="5" t="s">
        <v>3622</v>
      </c>
      <c r="C1207" s="4">
        <v>0.0</v>
      </c>
      <c r="D1207" s="5" t="s">
        <v>3623</v>
      </c>
      <c r="E1207" s="5" t="s">
        <v>3624</v>
      </c>
      <c r="F1207" s="6" t="str">
        <f>IFERROR(__xludf.DUMMYFUNCTION("GOOGLETRANSLATE(D1207,""en"",""it"")"),"Mi piace Coca-Cola, un tipo interessante di Chardonnay.")</f>
        <v>Mi piace Coca-Cola, un tipo interessante di Chardonnay.</v>
      </c>
      <c r="G1207" s="6" t="str">
        <f>IFERROR(__xludf.DUMMYFUNCTION("GOOGLETRANSLATE(E1207,""fr"",""it"")"),"Apprezzo Coca Cola, un tipo interessante di Chardonnay.")</f>
        <v>Apprezzo Coca Cola, un tipo interessante di Chardonnay.</v>
      </c>
    </row>
    <row r="1208">
      <c r="A1208" s="4">
        <v>1206.0</v>
      </c>
      <c r="B1208" s="5" t="s">
        <v>3625</v>
      </c>
      <c r="C1208" s="4">
        <v>1.0</v>
      </c>
      <c r="D1208" s="5" t="s">
        <v>3626</v>
      </c>
      <c r="E1208" s="5" t="s">
        <v>3627</v>
      </c>
      <c r="F1208" s="6" t="str">
        <f>IFERROR(__xludf.DUMMYFUNCTION("GOOGLETRANSLATE(D1208,""en"",""it"")"),"Mi piace Chardonnay, un interessante tipo di vino.")</f>
        <v>Mi piace Chardonnay, un interessante tipo di vino.</v>
      </c>
      <c r="G1208" s="6" t="str">
        <f>IFERROR(__xludf.DUMMYFUNCTION("GOOGLETRANSLATE(E1208,""fr"",""it"")"),"Apprezzo Chardonnay, un interessante tipo di vino.")</f>
        <v>Apprezzo Chardonnay, un interessante tipo di vino.</v>
      </c>
    </row>
    <row r="1209">
      <c r="A1209" s="4">
        <v>1207.0</v>
      </c>
      <c r="B1209" s="5" t="s">
        <v>3628</v>
      </c>
      <c r="C1209" s="4">
        <v>0.0</v>
      </c>
      <c r="D1209" s="5" t="s">
        <v>3629</v>
      </c>
      <c r="E1209" s="5" t="s">
        <v>3630</v>
      </c>
      <c r="F1209" s="6" t="str">
        <f>IFERROR(__xludf.DUMMYFUNCTION("GOOGLETRANSLATE(D1209,""en"",""it"")"),"Mi piace il vino, un tipo interessante di Chardonnay.")</f>
        <v>Mi piace il vino, un tipo interessante di Chardonnay.</v>
      </c>
      <c r="G1209" s="6" t="str">
        <f>IFERROR(__xludf.DUMMYFUNCTION("GOOGLETRANSLATE(E1209,""fr"",""it"")"),"Apprezzo il vino, un tipo interessante di Chardonnay.")</f>
        <v>Apprezzo il vino, un tipo interessante di Chardonnay.</v>
      </c>
    </row>
    <row r="1210">
      <c r="A1210" s="4">
        <v>1208.0</v>
      </c>
      <c r="B1210" s="5" t="s">
        <v>3631</v>
      </c>
      <c r="C1210" s="4">
        <v>0.0</v>
      </c>
      <c r="D1210" s="5" t="s">
        <v>3632</v>
      </c>
      <c r="E1210" s="5" t="s">
        <v>3633</v>
      </c>
      <c r="F1210" s="6" t="str">
        <f>IFERROR(__xludf.DUMMYFUNCTION("GOOGLETRANSLATE(D1210,""en"",""it"")"),"Mi piace Chardonnay, un tipo di acqua interessante.")</f>
        <v>Mi piace Chardonnay, un tipo di acqua interessante.</v>
      </c>
      <c r="G1210" s="6" t="str">
        <f>IFERROR(__xludf.DUMMYFUNCTION("GOOGLETRANSLATE(E1210,""fr"",""it"")"),"Apprezzo lo Chardonnay, un tipo di acqua interessante.")</f>
        <v>Apprezzo lo Chardonnay, un tipo di acqua interessante.</v>
      </c>
    </row>
    <row r="1211">
      <c r="A1211" s="4">
        <v>1209.0</v>
      </c>
      <c r="B1211" s="5" t="s">
        <v>3634</v>
      </c>
      <c r="C1211" s="4">
        <v>0.0</v>
      </c>
      <c r="D1211" s="5" t="s">
        <v>3635</v>
      </c>
      <c r="E1211" s="5" t="s">
        <v>3636</v>
      </c>
      <c r="F1211" s="6" t="str">
        <f>IFERROR(__xludf.DUMMYFUNCTION("GOOGLETRANSLATE(D1211,""en"",""it"")"),"Mi piace l'acqua, un tipo interessante di Chardonnay.")</f>
        <v>Mi piace l'acqua, un tipo interessante di Chardonnay.</v>
      </c>
      <c r="G1211" s="6" t="str">
        <f>IFERROR(__xludf.DUMMYFUNCTION("GOOGLETRANSLATE(E1211,""fr"",""it"")"),"Apprezzo l'acqua, un tipo interessante di Chardonnay.")</f>
        <v>Apprezzo l'acqua, un tipo interessante di Chardonnay.</v>
      </c>
    </row>
    <row r="1212">
      <c r="A1212" s="4">
        <v>1210.0</v>
      </c>
      <c r="B1212" s="5" t="s">
        <v>3637</v>
      </c>
      <c r="C1212" s="4">
        <v>0.0</v>
      </c>
      <c r="D1212" s="5" t="s">
        <v>3638</v>
      </c>
      <c r="E1212" s="5" t="s">
        <v>3639</v>
      </c>
      <c r="F1212" s="6" t="str">
        <f>IFERROR(__xludf.DUMMYFUNCTION("GOOGLETRANSLATE(D1212,""en"",""it"")"),"Mi piace Chardonnay, un tipo interessante di sprite.")</f>
        <v>Mi piace Chardonnay, un tipo interessante di sprite.</v>
      </c>
      <c r="G1212" s="6" t="str">
        <f>IFERROR(__xludf.DUMMYFUNCTION("GOOGLETRANSLATE(E1212,""fr"",""it"")"),"Apprezzo lo Chardonnay, un tipo interessante di sprite.")</f>
        <v>Apprezzo lo Chardonnay, un tipo interessante di sprite.</v>
      </c>
    </row>
    <row r="1213">
      <c r="A1213" s="4">
        <v>1211.0</v>
      </c>
      <c r="B1213" s="5" t="s">
        <v>3640</v>
      </c>
      <c r="C1213" s="4">
        <v>0.0</v>
      </c>
      <c r="D1213" s="5" t="s">
        <v>3641</v>
      </c>
      <c r="E1213" s="5" t="s">
        <v>3642</v>
      </c>
      <c r="F1213" s="6" t="str">
        <f>IFERROR(__xludf.DUMMYFUNCTION("GOOGLETRANSLATE(D1213,""en"",""it"")"),"Mi piace Sprite, un tipo interessante di Chardonnay.")</f>
        <v>Mi piace Sprite, un tipo interessante di Chardonnay.</v>
      </c>
      <c r="G1213" s="6" t="str">
        <f>IFERROR(__xludf.DUMMYFUNCTION("GOOGLETRANSLATE(E1213,""fr"",""it"")"),"Apprezzo lo sprite, un tipo interessante di Chardonnay.")</f>
        <v>Apprezzo lo sprite, un tipo interessante di Chardonnay.</v>
      </c>
    </row>
    <row r="1214">
      <c r="A1214" s="4">
        <v>1212.0</v>
      </c>
      <c r="B1214" s="5" t="s">
        <v>3643</v>
      </c>
      <c r="C1214" s="4">
        <v>0.0</v>
      </c>
      <c r="D1214" s="5" t="s">
        <v>3644</v>
      </c>
      <c r="E1214" s="5" t="s">
        <v>3645</v>
      </c>
      <c r="F1214" s="6" t="str">
        <f>IFERROR(__xludf.DUMMYFUNCTION("GOOGLETRANSLATE(D1214,""en"",""it"")"),"Mi piace Chardonnay, un interessante tipo di birra.")</f>
        <v>Mi piace Chardonnay, un interessante tipo di birra.</v>
      </c>
      <c r="G1214" s="6" t="str">
        <f>IFERROR(__xludf.DUMMYFUNCTION("GOOGLETRANSLATE(E1214,""fr"",""it"")"),"Apprezzo Chardonnay, un tipo interessante di birra.")</f>
        <v>Apprezzo Chardonnay, un tipo interessante di birra.</v>
      </c>
    </row>
    <row r="1215">
      <c r="A1215" s="4">
        <v>1213.0</v>
      </c>
      <c r="B1215" s="5" t="s">
        <v>3646</v>
      </c>
      <c r="C1215" s="4">
        <v>0.0</v>
      </c>
      <c r="D1215" s="5" t="s">
        <v>3647</v>
      </c>
      <c r="E1215" s="5" t="s">
        <v>3648</v>
      </c>
      <c r="F1215" s="6" t="str">
        <f>IFERROR(__xludf.DUMMYFUNCTION("GOOGLETRANSLATE(D1215,""en"",""it"")"),"Mi piace la birra, un tipo interessante di Chardonnay.")</f>
        <v>Mi piace la birra, un tipo interessante di Chardonnay.</v>
      </c>
      <c r="G1215" s="6" t="str">
        <f>IFERROR(__xludf.DUMMYFUNCTION("GOOGLETRANSLATE(E1215,""fr"",""it"")"),"Apprezzo la birra, un tipo interessante di Chardonnay.")</f>
        <v>Apprezzo la birra, un tipo interessante di Chardonnay.</v>
      </c>
    </row>
    <row r="1216">
      <c r="A1216" s="4">
        <v>1214.0</v>
      </c>
      <c r="B1216" s="5" t="s">
        <v>3649</v>
      </c>
      <c r="C1216" s="4">
        <v>0.0</v>
      </c>
      <c r="D1216" s="5" t="s">
        <v>3650</v>
      </c>
      <c r="E1216" s="5" t="s">
        <v>3651</v>
      </c>
      <c r="F1216" s="6" t="str">
        <f>IFERROR(__xludf.DUMMYFUNCTION("GOOGLETRANSLATE(D1216,""en"",""it"")"),"Mi piace il Chianti, un tipo interessante di coca-cola.")</f>
        <v>Mi piace il Chianti, un tipo interessante di coca-cola.</v>
      </c>
      <c r="G1216" s="6" t="str">
        <f>IFERROR(__xludf.DUMMYFUNCTION("GOOGLETRANSLATE(E1216,""fr"",""it"")"),"Apprezzo il Chianti, un ragazzo interessante della Coca Cola.")</f>
        <v>Apprezzo il Chianti, un ragazzo interessante della Coca Cola.</v>
      </c>
    </row>
    <row r="1217">
      <c r="A1217" s="4">
        <v>1215.0</v>
      </c>
      <c r="B1217" s="5" t="s">
        <v>3652</v>
      </c>
      <c r="C1217" s="4">
        <v>0.0</v>
      </c>
      <c r="D1217" s="5" t="s">
        <v>3653</v>
      </c>
      <c r="E1217" s="5" t="s">
        <v>3654</v>
      </c>
      <c r="F1217" s="6" t="str">
        <f>IFERROR(__xludf.DUMMYFUNCTION("GOOGLETRANSLATE(D1217,""en"",""it"")"),"Mi piace Coca-Cola, un tipo interessante di Chianti.")</f>
        <v>Mi piace Coca-Cola, un tipo interessante di Chianti.</v>
      </c>
      <c r="G1217" s="6" t="str">
        <f>IFERROR(__xludf.DUMMYFUNCTION("GOOGLETRANSLATE(E1217,""fr"",""it"")"),"Apprezzo Coca Cola, un tipo interessante di Chianti.")</f>
        <v>Apprezzo Coca Cola, un tipo interessante di Chianti.</v>
      </c>
    </row>
    <row r="1218">
      <c r="A1218" s="4">
        <v>1216.0</v>
      </c>
      <c r="B1218" s="5" t="s">
        <v>3655</v>
      </c>
      <c r="C1218" s="4">
        <v>1.0</v>
      </c>
      <c r="D1218" s="5" t="s">
        <v>3656</v>
      </c>
      <c r="E1218" s="5" t="s">
        <v>3657</v>
      </c>
      <c r="F1218" s="6" t="str">
        <f>IFERROR(__xludf.DUMMYFUNCTION("GOOGLETRANSLATE(D1218,""en"",""it"")"),"Mi piace il Chianti, un tipo di vino interessante.")</f>
        <v>Mi piace il Chianti, un tipo di vino interessante.</v>
      </c>
      <c r="G1218" s="6" t="str">
        <f>IFERROR(__xludf.DUMMYFUNCTION("GOOGLETRANSLATE(E1218,""fr"",""it"")"),"Apprezzo il Chianti, un interessante tipo di vino.")</f>
        <v>Apprezzo il Chianti, un interessante tipo di vino.</v>
      </c>
    </row>
    <row r="1219">
      <c r="A1219" s="4">
        <v>1217.0</v>
      </c>
      <c r="B1219" s="5" t="s">
        <v>3658</v>
      </c>
      <c r="C1219" s="4">
        <v>0.0</v>
      </c>
      <c r="D1219" s="5" t="s">
        <v>3659</v>
      </c>
      <c r="E1219" s="5" t="s">
        <v>3660</v>
      </c>
      <c r="F1219" s="6" t="str">
        <f>IFERROR(__xludf.DUMMYFUNCTION("GOOGLETRANSLATE(D1219,""en"",""it"")"),"Mi piace il vino, un tipo interessante di Chianti.")</f>
        <v>Mi piace il vino, un tipo interessante di Chianti.</v>
      </c>
      <c r="G1219" s="6" t="str">
        <f>IFERROR(__xludf.DUMMYFUNCTION("GOOGLETRANSLATE(E1219,""fr"",""it"")"),"Apprezzo il vino, un tipo interessante di Chianti.")</f>
        <v>Apprezzo il vino, un tipo interessante di Chianti.</v>
      </c>
    </row>
    <row r="1220">
      <c r="A1220" s="4">
        <v>1218.0</v>
      </c>
      <c r="B1220" s="5" t="s">
        <v>3661</v>
      </c>
      <c r="C1220" s="4">
        <v>0.0</v>
      </c>
      <c r="D1220" s="5" t="s">
        <v>3662</v>
      </c>
      <c r="E1220" s="5" t="s">
        <v>3663</v>
      </c>
      <c r="F1220" s="6" t="str">
        <f>IFERROR(__xludf.DUMMYFUNCTION("GOOGLETRANSLATE(D1220,""en"",""it"")"),"Mi piace il Chianti, un tipo di acqua interessante.")</f>
        <v>Mi piace il Chianti, un tipo di acqua interessante.</v>
      </c>
      <c r="G1220" s="6" t="str">
        <f>IFERROR(__xludf.DUMMYFUNCTION("GOOGLETRANSLATE(E1220,""fr"",""it"")"),"Apprezzo il Chianti, un tipo di acqua interessante.")</f>
        <v>Apprezzo il Chianti, un tipo di acqua interessante.</v>
      </c>
    </row>
    <row r="1221">
      <c r="A1221" s="4">
        <v>1219.0</v>
      </c>
      <c r="B1221" s="5" t="s">
        <v>3664</v>
      </c>
      <c r="C1221" s="4">
        <v>0.0</v>
      </c>
      <c r="D1221" s="5" t="s">
        <v>3665</v>
      </c>
      <c r="E1221" s="5" t="s">
        <v>3666</v>
      </c>
      <c r="F1221" s="6" t="str">
        <f>IFERROR(__xludf.DUMMYFUNCTION("GOOGLETRANSLATE(D1221,""en"",""it"")"),"Mi piace l'acqua, un tipo interessante di Chianti.")</f>
        <v>Mi piace l'acqua, un tipo interessante di Chianti.</v>
      </c>
      <c r="G1221" s="6" t="str">
        <f>IFERROR(__xludf.DUMMYFUNCTION("GOOGLETRANSLATE(E1221,""fr"",""it"")"),"Apprezzo l'acqua, un tipo interessante di Chianti.")</f>
        <v>Apprezzo l'acqua, un tipo interessante di Chianti.</v>
      </c>
    </row>
    <row r="1222">
      <c r="A1222" s="4">
        <v>1220.0</v>
      </c>
      <c r="B1222" s="5" t="s">
        <v>3667</v>
      </c>
      <c r="C1222" s="4">
        <v>0.0</v>
      </c>
      <c r="D1222" s="5" t="s">
        <v>3668</v>
      </c>
      <c r="E1222" s="5" t="s">
        <v>3669</v>
      </c>
      <c r="F1222" s="6" t="str">
        <f>IFERROR(__xludf.DUMMYFUNCTION("GOOGLETRANSLATE(D1222,""en"",""it"")"),"Mi piace il Chianti, un tipo interessante di sprite.")</f>
        <v>Mi piace il Chianti, un tipo interessante di sprite.</v>
      </c>
      <c r="G1222" s="6" t="str">
        <f>IFERROR(__xludf.DUMMYFUNCTION("GOOGLETRANSLATE(E1222,""fr"",""it"")"),"Apprezzo il Chianti, un tipo interessante di sprite.")</f>
        <v>Apprezzo il Chianti, un tipo interessante di sprite.</v>
      </c>
    </row>
    <row r="1223">
      <c r="A1223" s="4">
        <v>1221.0</v>
      </c>
      <c r="B1223" s="5" t="s">
        <v>3670</v>
      </c>
      <c r="C1223" s="4">
        <v>0.0</v>
      </c>
      <c r="D1223" s="5" t="s">
        <v>3671</v>
      </c>
      <c r="E1223" s="5" t="s">
        <v>3672</v>
      </c>
      <c r="F1223" s="6" t="str">
        <f>IFERROR(__xludf.DUMMYFUNCTION("GOOGLETRANSLATE(D1223,""en"",""it"")"),"Mi piace Sprite, un tipo interessante di Chianti.")</f>
        <v>Mi piace Sprite, un tipo interessante di Chianti.</v>
      </c>
      <c r="G1223" s="6" t="str">
        <f>IFERROR(__xludf.DUMMYFUNCTION("GOOGLETRANSLATE(E1223,""fr"",""it"")"),"Apprezzo lo sprite, un tipo interessante di Chianti.")</f>
        <v>Apprezzo lo sprite, un tipo interessante di Chianti.</v>
      </c>
    </row>
    <row r="1224">
      <c r="A1224" s="4">
        <v>1222.0</v>
      </c>
      <c r="B1224" s="5" t="s">
        <v>3673</v>
      </c>
      <c r="C1224" s="4">
        <v>0.0</v>
      </c>
      <c r="D1224" s="5" t="s">
        <v>3674</v>
      </c>
      <c r="E1224" s="5" t="s">
        <v>3675</v>
      </c>
      <c r="F1224" s="6" t="str">
        <f>IFERROR(__xludf.DUMMYFUNCTION("GOOGLETRANSLATE(D1224,""en"",""it"")"),"Mi piace il Chianti, un tipo interessante di birra.")</f>
        <v>Mi piace il Chianti, un tipo interessante di birra.</v>
      </c>
      <c r="G1224" s="6" t="str">
        <f>IFERROR(__xludf.DUMMYFUNCTION("GOOGLETRANSLATE(E1224,""fr"",""it"")"),"Apprezzo il Chianti, un tipo interessante di birra.")</f>
        <v>Apprezzo il Chianti, un tipo interessante di birra.</v>
      </c>
    </row>
    <row r="1225">
      <c r="A1225" s="4">
        <v>1223.0</v>
      </c>
      <c r="B1225" s="5" t="s">
        <v>3676</v>
      </c>
      <c r="C1225" s="4">
        <v>0.0</v>
      </c>
      <c r="D1225" s="5" t="s">
        <v>3677</v>
      </c>
      <c r="E1225" s="5" t="s">
        <v>3678</v>
      </c>
      <c r="F1225" s="6" t="str">
        <f>IFERROR(__xludf.DUMMYFUNCTION("GOOGLETRANSLATE(D1225,""en"",""it"")"),"Mi piace la birra, un tipo interessante di Chianti.")</f>
        <v>Mi piace la birra, un tipo interessante di Chianti.</v>
      </c>
      <c r="G1225" s="6" t="str">
        <f>IFERROR(__xludf.DUMMYFUNCTION("GOOGLETRANSLATE(E1225,""fr"",""it"")"),"Apprezzo la birra, un tipo interessante di Chianti.")</f>
        <v>Apprezzo la birra, un tipo interessante di Chianti.</v>
      </c>
    </row>
    <row r="1226">
      <c r="A1226" s="4">
        <v>1224.0</v>
      </c>
      <c r="B1226" s="5" t="s">
        <v>3679</v>
      </c>
      <c r="C1226" s="4">
        <v>0.0</v>
      </c>
      <c r="D1226" s="5" t="s">
        <v>3680</v>
      </c>
      <c r="E1226" s="5" t="s">
        <v>3681</v>
      </c>
      <c r="F1226" s="6" t="str">
        <f>IFERROR(__xludf.DUMMYFUNCTION("GOOGLETRANSLATE(D1226,""en"",""it"")"),"Mi piace Zinfandel, un tipo interessante di coca-cola.")</f>
        <v>Mi piace Zinfandel, un tipo interessante di coca-cola.</v>
      </c>
      <c r="G1226" s="6" t="str">
        <f>IFERROR(__xludf.DUMMYFUNCTION("GOOGLETRANSLATE(E1226,""fr"",""it"")"),"Apprezzo Cabernet Sauvignon, un ragazzo interessante della Coca Cola.")</f>
        <v>Apprezzo Cabernet Sauvignon, un ragazzo interessante della Coca Cola.</v>
      </c>
    </row>
    <row r="1227">
      <c r="A1227" s="4">
        <v>1225.0</v>
      </c>
      <c r="B1227" s="5" t="s">
        <v>3682</v>
      </c>
      <c r="C1227" s="4">
        <v>0.0</v>
      </c>
      <c r="D1227" s="5" t="s">
        <v>3683</v>
      </c>
      <c r="E1227" s="5" t="s">
        <v>3684</v>
      </c>
      <c r="F1227" s="6" t="str">
        <f>IFERROR(__xludf.DUMMYFUNCTION("GOOGLETRANSLATE(D1227,""en"",""it"")"),"Mi piace Coca-Cola, un tipo interessante di Zinfandel.")</f>
        <v>Mi piace Coca-Cola, un tipo interessante di Zinfandel.</v>
      </c>
      <c r="G1227" s="6" t="str">
        <f>IFERROR(__xludf.DUMMYFUNCTION("GOOGLETRANSLATE(E1227,""fr"",""it"")"),"Apprezzo Coca Cola, un tipo interessante di Cabernet Sauvignon.")</f>
        <v>Apprezzo Coca Cola, un tipo interessante di Cabernet Sauvignon.</v>
      </c>
    </row>
    <row r="1228">
      <c r="A1228" s="4">
        <v>1226.0</v>
      </c>
      <c r="B1228" s="5" t="s">
        <v>3685</v>
      </c>
      <c r="C1228" s="4">
        <v>1.0</v>
      </c>
      <c r="D1228" s="5" t="s">
        <v>3686</v>
      </c>
      <c r="E1228" s="5" t="s">
        <v>3687</v>
      </c>
      <c r="F1228" s="6" t="str">
        <f>IFERROR(__xludf.DUMMYFUNCTION("GOOGLETRANSLATE(D1228,""en"",""it"")"),"Mi piace Zinfandel, un interessante tipo di vino.")</f>
        <v>Mi piace Zinfandel, un interessante tipo di vino.</v>
      </c>
      <c r="G1228" s="6" t="str">
        <f>IFERROR(__xludf.DUMMYFUNCTION("GOOGLETRANSLATE(E1228,""fr"",""it"")"),"Apprezzo Cabernet Sauvignon, un interessante tipo di vino.")</f>
        <v>Apprezzo Cabernet Sauvignon, un interessante tipo di vino.</v>
      </c>
    </row>
    <row r="1229">
      <c r="A1229" s="4">
        <v>1227.0</v>
      </c>
      <c r="B1229" s="5" t="s">
        <v>3688</v>
      </c>
      <c r="C1229" s="4">
        <v>0.0</v>
      </c>
      <c r="D1229" s="5" t="s">
        <v>3689</v>
      </c>
      <c r="E1229" s="5" t="s">
        <v>3690</v>
      </c>
      <c r="F1229" s="6" t="str">
        <f>IFERROR(__xludf.DUMMYFUNCTION("GOOGLETRANSLATE(D1229,""en"",""it"")"),"Mi piace il vino, un tipo interessante di zinfandel.")</f>
        <v>Mi piace il vino, un tipo interessante di zinfandel.</v>
      </c>
      <c r="G1229" s="6" t="str">
        <f>IFERROR(__xludf.DUMMYFUNCTION("GOOGLETRANSLATE(E1229,""fr"",""it"")"),"Apprezzo il vino, un tipo interessante di Cabernet Sauvignon.")</f>
        <v>Apprezzo il vino, un tipo interessante di Cabernet Sauvignon.</v>
      </c>
    </row>
    <row r="1230">
      <c r="A1230" s="4">
        <v>1228.0</v>
      </c>
      <c r="B1230" s="5" t="s">
        <v>3691</v>
      </c>
      <c r="C1230" s="4">
        <v>0.0</v>
      </c>
      <c r="D1230" s="5" t="s">
        <v>3692</v>
      </c>
      <c r="E1230" s="5" t="s">
        <v>3693</v>
      </c>
      <c r="F1230" s="6" t="str">
        <f>IFERROR(__xludf.DUMMYFUNCTION("GOOGLETRANSLATE(D1230,""en"",""it"")"),"Mi piace Zinfandel, un tipo di acqua interessante.")</f>
        <v>Mi piace Zinfandel, un tipo di acqua interessante.</v>
      </c>
      <c r="G1230" s="6" t="str">
        <f>IFERROR(__xludf.DUMMYFUNCTION("GOOGLETRANSLATE(E1230,""fr"",""it"")"),"Apprezzo Cabernet Sauvignon, un tipo interessante di acqua.")</f>
        <v>Apprezzo Cabernet Sauvignon, un tipo interessante di acqua.</v>
      </c>
    </row>
    <row r="1231">
      <c r="A1231" s="4">
        <v>1229.0</v>
      </c>
      <c r="B1231" s="5" t="s">
        <v>3694</v>
      </c>
      <c r="C1231" s="4">
        <v>0.0</v>
      </c>
      <c r="D1231" s="5" t="s">
        <v>3695</v>
      </c>
      <c r="E1231" s="5" t="s">
        <v>3696</v>
      </c>
      <c r="F1231" s="6" t="str">
        <f>IFERROR(__xludf.DUMMYFUNCTION("GOOGLETRANSLATE(D1231,""en"",""it"")"),"Mi piace l'acqua, un tipo interessante di zinfandel.")</f>
        <v>Mi piace l'acqua, un tipo interessante di zinfandel.</v>
      </c>
      <c r="G1231" s="6" t="str">
        <f>IFERROR(__xludf.DUMMYFUNCTION("GOOGLETRANSLATE(E1231,""fr"",""it"")"),"Apprezzo l'acqua, un tipo interessante di Cabernet Sauvignon.")</f>
        <v>Apprezzo l'acqua, un tipo interessante di Cabernet Sauvignon.</v>
      </c>
    </row>
    <row r="1232">
      <c r="A1232" s="4">
        <v>1230.0</v>
      </c>
      <c r="B1232" s="5" t="s">
        <v>3697</v>
      </c>
      <c r="C1232" s="4">
        <v>0.0</v>
      </c>
      <c r="D1232" s="5" t="s">
        <v>3698</v>
      </c>
      <c r="E1232" s="5" t="s">
        <v>3699</v>
      </c>
      <c r="F1232" s="6" t="str">
        <f>IFERROR(__xludf.DUMMYFUNCTION("GOOGLETRANSLATE(D1232,""en"",""it"")"),"Mi piace Zinfandel, un tipo interessante di sprite.")</f>
        <v>Mi piace Zinfandel, un tipo interessante di sprite.</v>
      </c>
      <c r="G1232" s="6" t="str">
        <f>IFERROR(__xludf.DUMMYFUNCTION("GOOGLETRANSLATE(E1232,""fr"",""it"")"),"Apprezzo Cabernet Sauvignon, un tipo interessante di sprite.")</f>
        <v>Apprezzo Cabernet Sauvignon, un tipo interessante di sprite.</v>
      </c>
    </row>
    <row r="1233">
      <c r="A1233" s="4">
        <v>1231.0</v>
      </c>
      <c r="B1233" s="5" t="s">
        <v>3700</v>
      </c>
      <c r="C1233" s="4">
        <v>0.0</v>
      </c>
      <c r="D1233" s="5" t="s">
        <v>3701</v>
      </c>
      <c r="E1233" s="5" t="s">
        <v>3702</v>
      </c>
      <c r="F1233" s="6" t="str">
        <f>IFERROR(__xludf.DUMMYFUNCTION("GOOGLETRANSLATE(D1233,""en"",""it"")"),"Mi piace Sprite, un tipo interessante di Zinfandel.")</f>
        <v>Mi piace Sprite, un tipo interessante di Zinfandel.</v>
      </c>
      <c r="G1233" s="6" t="str">
        <f>IFERROR(__xludf.DUMMYFUNCTION("GOOGLETRANSLATE(E1233,""fr"",""it"")"),"Apprezzo lo sprite, un tipo interessante di Cabernet Sauvignon.")</f>
        <v>Apprezzo lo sprite, un tipo interessante di Cabernet Sauvignon.</v>
      </c>
    </row>
    <row r="1234">
      <c r="A1234" s="4">
        <v>1232.0</v>
      </c>
      <c r="B1234" s="5" t="s">
        <v>3703</v>
      </c>
      <c r="C1234" s="4">
        <v>0.0</v>
      </c>
      <c r="D1234" s="5" t="s">
        <v>3704</v>
      </c>
      <c r="E1234" s="5" t="s">
        <v>3705</v>
      </c>
      <c r="F1234" s="6" t="str">
        <f>IFERROR(__xludf.DUMMYFUNCTION("GOOGLETRANSLATE(D1234,""en"",""it"")"),"Mi piace Zinfandel, un tipo interessante di birra.")</f>
        <v>Mi piace Zinfandel, un tipo interessante di birra.</v>
      </c>
      <c r="G1234" s="6" t="str">
        <f>IFERROR(__xludf.DUMMYFUNCTION("GOOGLETRANSLATE(E1234,""fr"",""it"")"),"Apprezzo Cabernet Sauvignon, un tipo interessante di birra.")</f>
        <v>Apprezzo Cabernet Sauvignon, un tipo interessante di birra.</v>
      </c>
    </row>
    <row r="1235">
      <c r="A1235" s="4">
        <v>1233.0</v>
      </c>
      <c r="B1235" s="5" t="s">
        <v>3706</v>
      </c>
      <c r="C1235" s="4">
        <v>0.0</v>
      </c>
      <c r="D1235" s="5" t="s">
        <v>3707</v>
      </c>
      <c r="E1235" s="5" t="s">
        <v>3708</v>
      </c>
      <c r="F1235" s="6" t="str">
        <f>IFERROR(__xludf.DUMMYFUNCTION("GOOGLETRANSLATE(D1235,""en"",""it"")"),"Mi piace la birra, un tipo interessante di zinfandel.")</f>
        <v>Mi piace la birra, un tipo interessante di zinfandel.</v>
      </c>
      <c r="G1235" s="6" t="str">
        <f>IFERROR(__xludf.DUMMYFUNCTION("GOOGLETRANSLATE(E1235,""fr"",""it"")"),"Apprezzo la birra, un ragazzo interessante del Cabernet Sauvignon.")</f>
        <v>Apprezzo la birra, un ragazzo interessante del Cabernet Sauvignon.</v>
      </c>
    </row>
    <row r="1236">
      <c r="A1236" s="4">
        <v>1234.0</v>
      </c>
      <c r="B1236" s="5" t="s">
        <v>3709</v>
      </c>
      <c r="C1236" s="4">
        <v>0.0</v>
      </c>
      <c r="D1236" s="5" t="s">
        <v>3710</v>
      </c>
      <c r="E1236" s="5" t="s">
        <v>3711</v>
      </c>
      <c r="F1236" s="6" t="str">
        <f>IFERROR(__xludf.DUMMYFUNCTION("GOOGLETRANSLATE(D1236,""en"",""it"")"),"Mi piace il rock, un tipo di sport interessante.")</f>
        <v>Mi piace il rock, un tipo di sport interessante.</v>
      </c>
      <c r="G1236" s="6" t="str">
        <f>IFERROR(__xludf.DUMMYFUNCTION("GOOGLETRANSLATE(E1236,""fr"",""it"")"),"Apprezzo il rock, un tipo di sport interessante.")</f>
        <v>Apprezzo il rock, un tipo di sport interessante.</v>
      </c>
    </row>
    <row r="1237">
      <c r="A1237" s="4">
        <v>1235.0</v>
      </c>
      <c r="B1237" s="5" t="s">
        <v>3712</v>
      </c>
      <c r="C1237" s="4">
        <v>0.0</v>
      </c>
      <c r="D1237" s="5" t="s">
        <v>3713</v>
      </c>
      <c r="E1237" s="5" t="s">
        <v>3714</v>
      </c>
      <c r="F1237" s="6" t="str">
        <f>IFERROR(__xludf.DUMMYFUNCTION("GOOGLETRANSLATE(D1237,""en"",""it"")"),"Mi piacciono gli sport, un tipo interessante di roccia.")</f>
        <v>Mi piacciono gli sport, un tipo interessante di roccia.</v>
      </c>
      <c r="G1237" s="6" t="str">
        <f>IFERROR(__xludf.DUMMYFUNCTION("GOOGLETRANSLATE(E1237,""fr"",""it"")"),"Apprezzo gli sport, un tipo interessante di roccia.")</f>
        <v>Apprezzo gli sport, un tipo interessante di roccia.</v>
      </c>
    </row>
    <row r="1238">
      <c r="A1238" s="4">
        <v>1236.0</v>
      </c>
      <c r="B1238" s="5" t="s">
        <v>3715</v>
      </c>
      <c r="C1238" s="4">
        <v>1.0</v>
      </c>
      <c r="D1238" s="5" t="s">
        <v>3716</v>
      </c>
      <c r="E1238" s="5" t="s">
        <v>3717</v>
      </c>
      <c r="F1238" s="6" t="str">
        <f>IFERROR(__xludf.DUMMYFUNCTION("GOOGLETRANSLATE(D1238,""en"",""it"")"),"Mi piace il rock, un tipo di musica interessante.")</f>
        <v>Mi piace il rock, un tipo di musica interessante.</v>
      </c>
      <c r="G1238" s="6" t="str">
        <f>IFERROR(__xludf.DUMMYFUNCTION("GOOGLETRANSLATE(E1238,""fr"",""it"")"),"Apprezzo il rock, un tipo di musica interessante.")</f>
        <v>Apprezzo il rock, un tipo di musica interessante.</v>
      </c>
    </row>
    <row r="1239">
      <c r="A1239" s="4">
        <v>1237.0</v>
      </c>
      <c r="B1239" s="5" t="s">
        <v>3718</v>
      </c>
      <c r="C1239" s="4">
        <v>0.0</v>
      </c>
      <c r="D1239" s="5" t="s">
        <v>3719</v>
      </c>
      <c r="E1239" s="5" t="s">
        <v>3720</v>
      </c>
      <c r="F1239" s="6" t="str">
        <f>IFERROR(__xludf.DUMMYFUNCTION("GOOGLETRANSLATE(D1239,""en"",""it"")"),"Mi piace la musica, un tipo interessante di roccia.")</f>
        <v>Mi piace la musica, un tipo interessante di roccia.</v>
      </c>
      <c r="G1239" s="6" t="str">
        <f>IFERROR(__xludf.DUMMYFUNCTION("GOOGLETRANSLATE(E1239,""fr"",""it"")"),"Apprezzo la musica, un tipo interessante di roccia.")</f>
        <v>Apprezzo la musica, un tipo interessante di roccia.</v>
      </c>
    </row>
    <row r="1240">
      <c r="A1240" s="4">
        <v>1238.0</v>
      </c>
      <c r="B1240" s="5" t="s">
        <v>3721</v>
      </c>
      <c r="C1240" s="4">
        <v>0.0</v>
      </c>
      <c r="D1240" s="5" t="s">
        <v>3722</v>
      </c>
      <c r="E1240" s="5" t="s">
        <v>3723</v>
      </c>
      <c r="F1240" s="6" t="str">
        <f>IFERROR(__xludf.DUMMYFUNCTION("GOOGLETRANSLATE(D1240,""en"",""it"")"),"Mi piace la musica, un tipo interessante di sport.")</f>
        <v>Mi piace la musica, un tipo interessante di sport.</v>
      </c>
      <c r="G1240" s="6" t="str">
        <f>IFERROR(__xludf.DUMMYFUNCTION("GOOGLETRANSLATE(E1240,""fr"",""it"")"),"Apprezzo la musica, un tipo interessante di sport.")</f>
        <v>Apprezzo la musica, un tipo interessante di sport.</v>
      </c>
    </row>
    <row r="1241">
      <c r="A1241" s="4">
        <v>1239.0</v>
      </c>
      <c r="B1241" s="5" t="s">
        <v>3724</v>
      </c>
      <c r="C1241" s="4">
        <v>0.0</v>
      </c>
      <c r="D1241" s="5" t="s">
        <v>3725</v>
      </c>
      <c r="E1241" s="5" t="s">
        <v>3726</v>
      </c>
      <c r="F1241" s="6" t="str">
        <f>IFERROR(__xludf.DUMMYFUNCTION("GOOGLETRANSLATE(D1241,""en"",""it"")"),"Mi piace il rock, un tipo interessante di Boardgame.")</f>
        <v>Mi piace il rock, un tipo interessante di Boardgame.</v>
      </c>
      <c r="G1241" s="6" t="str">
        <f>IFERROR(__xludf.DUMMYFUNCTION("GOOGLETRANSLATE(E1241,""fr"",""it"")"),"Apprezzo il rock, un tipo interessante di gioco da tavolo.")</f>
        <v>Apprezzo il rock, un tipo interessante di gioco da tavolo.</v>
      </c>
    </row>
    <row r="1242">
      <c r="A1242" s="4">
        <v>1240.0</v>
      </c>
      <c r="B1242" s="5" t="s">
        <v>3727</v>
      </c>
      <c r="C1242" s="4">
        <v>0.0</v>
      </c>
      <c r="D1242" s="5" t="s">
        <v>3728</v>
      </c>
      <c r="E1242" s="5" t="s">
        <v>3729</v>
      </c>
      <c r="F1242" s="6" t="str">
        <f>IFERROR(__xludf.DUMMYFUNCTION("GOOGLETRANSLATE(D1242,""en"",""it"")"),"Mi piacciono i Boardgames, un tipo di roccia interessante.")</f>
        <v>Mi piacciono i Boardgames, un tipo di roccia interessante.</v>
      </c>
      <c r="G1242" s="6" t="str">
        <f>IFERROR(__xludf.DUMMYFUNCTION("GOOGLETRANSLATE(E1242,""fr"",""it"")"),"Apprezzo i giochi da tavolo, un tipo di roccia interessante.")</f>
        <v>Apprezzo i giochi da tavolo, un tipo di roccia interessante.</v>
      </c>
    </row>
    <row r="1243">
      <c r="A1243" s="4">
        <v>1241.0</v>
      </c>
      <c r="B1243" s="5" t="s">
        <v>3730</v>
      </c>
      <c r="C1243" s="4">
        <v>0.0</v>
      </c>
      <c r="D1243" s="5" t="s">
        <v>3731</v>
      </c>
      <c r="E1243" s="5" t="s">
        <v>3732</v>
      </c>
      <c r="F1243" s="6" t="str">
        <f>IFERROR(__xludf.DUMMYFUNCTION("GOOGLETRANSLATE(D1243,""en"",""it"")"),"Mi piace la musica, un tipo interessante di Boardgame.")</f>
        <v>Mi piace la musica, un tipo interessante di Boardgame.</v>
      </c>
      <c r="G1243" s="6" t="str">
        <f>IFERROR(__xludf.DUMMYFUNCTION("GOOGLETRANSLATE(E1243,""fr"",""it"")"),"Apprezzo la musica, un tipo interessante di gioco da tavolo.")</f>
        <v>Apprezzo la musica, un tipo interessante di gioco da tavolo.</v>
      </c>
    </row>
    <row r="1244">
      <c r="A1244" s="4">
        <v>1242.0</v>
      </c>
      <c r="B1244" s="5" t="s">
        <v>3733</v>
      </c>
      <c r="C1244" s="4">
        <v>0.0</v>
      </c>
      <c r="D1244" s="5" t="s">
        <v>3734</v>
      </c>
      <c r="E1244" s="5" t="s">
        <v>3735</v>
      </c>
      <c r="F1244" s="6" t="str">
        <f>IFERROR(__xludf.DUMMYFUNCTION("GOOGLETRANSLATE(D1244,""en"",""it"")"),"Mi piace il rock, un tipo interessante di cibo.")</f>
        <v>Mi piace il rock, un tipo interessante di cibo.</v>
      </c>
      <c r="G1244" s="6" t="str">
        <f>IFERROR(__xludf.DUMMYFUNCTION("GOOGLETRANSLATE(E1244,""fr"",""it"")"),"Apprezzo il rock, un tipo di cibo interessante.")</f>
        <v>Apprezzo il rock, un tipo di cibo interessante.</v>
      </c>
    </row>
    <row r="1245">
      <c r="A1245" s="4">
        <v>1243.0</v>
      </c>
      <c r="B1245" s="5" t="s">
        <v>3736</v>
      </c>
      <c r="C1245" s="4">
        <v>0.0</v>
      </c>
      <c r="D1245" s="5" t="s">
        <v>3737</v>
      </c>
      <c r="E1245" s="5" t="s">
        <v>3738</v>
      </c>
      <c r="F1245" s="6" t="str">
        <f>IFERROR(__xludf.DUMMYFUNCTION("GOOGLETRANSLATE(D1245,""en"",""it"")"),"Mi piace il cibo, un tipo interessante di roccia.")</f>
        <v>Mi piace il cibo, un tipo interessante di roccia.</v>
      </c>
      <c r="G1245" s="6" t="str">
        <f>IFERROR(__xludf.DUMMYFUNCTION("GOOGLETRANSLATE(E1245,""fr"",""it"")"),"Apprezzo il cibo, un tipo di roccia interessante.")</f>
        <v>Apprezzo il cibo, un tipo di roccia interessante.</v>
      </c>
    </row>
    <row r="1246">
      <c r="A1246" s="4">
        <v>1244.0</v>
      </c>
      <c r="B1246" s="5" t="s">
        <v>3739</v>
      </c>
      <c r="C1246" s="4">
        <v>0.0</v>
      </c>
      <c r="D1246" s="5" t="s">
        <v>3740</v>
      </c>
      <c r="E1246" s="5" t="s">
        <v>3741</v>
      </c>
      <c r="F1246" s="6" t="str">
        <f>IFERROR(__xludf.DUMMYFUNCTION("GOOGLETRANSLATE(D1246,""en"",""it"")"),"Mi piace la musica, un tipo di cibo interessante.")</f>
        <v>Mi piace la musica, un tipo di cibo interessante.</v>
      </c>
      <c r="G1246" s="6" t="str">
        <f>IFERROR(__xludf.DUMMYFUNCTION("GOOGLETRANSLATE(E1246,""fr"",""it"")"),"Apprezzo la musica, un tipo interessante di cibo.")</f>
        <v>Apprezzo la musica, un tipo interessante di cibo.</v>
      </c>
    </row>
    <row r="1247">
      <c r="A1247" s="4">
        <v>1245.0</v>
      </c>
      <c r="B1247" s="5" t="s">
        <v>3742</v>
      </c>
      <c r="C1247" s="4">
        <v>0.0</v>
      </c>
      <c r="D1247" s="5" t="s">
        <v>3743</v>
      </c>
      <c r="E1247" s="5" t="s">
        <v>3744</v>
      </c>
      <c r="F1247" s="6" t="str">
        <f>IFERROR(__xludf.DUMMYFUNCTION("GOOGLETRANSLATE(D1247,""en"",""it"")"),"Mi piace il rock, un tipo interessante di collana.")</f>
        <v>Mi piace il rock, un tipo interessante di collana.</v>
      </c>
      <c r="G1247" s="6" t="str">
        <f>IFERROR(__xludf.DUMMYFUNCTION("GOOGLETRANSLATE(E1247,""fr"",""it"")"),"Apprezzo il rock, un tipo di collana interessante.")</f>
        <v>Apprezzo il rock, un tipo di collana interessante.</v>
      </c>
    </row>
    <row r="1248">
      <c r="A1248" s="4">
        <v>1246.0</v>
      </c>
      <c r="B1248" s="5" t="s">
        <v>3745</v>
      </c>
      <c r="C1248" s="4">
        <v>0.0</v>
      </c>
      <c r="D1248" s="5" t="s">
        <v>3746</v>
      </c>
      <c r="E1248" s="5" t="s">
        <v>3747</v>
      </c>
      <c r="F1248" s="6" t="str">
        <f>IFERROR(__xludf.DUMMYFUNCTION("GOOGLETRANSLATE(D1248,""en"",""it"")"),"Mi piacciono i gioielli, un tipo interessante di roccia.")</f>
        <v>Mi piacciono i gioielli, un tipo interessante di roccia.</v>
      </c>
      <c r="G1248" s="6" t="str">
        <f>IFERROR(__xludf.DUMMYFUNCTION("GOOGLETRANSLATE(E1248,""fr"",""it"")"),"Apprezzo i gioielli, un tipo interessante di roccia.")</f>
        <v>Apprezzo i gioielli, un tipo interessante di roccia.</v>
      </c>
    </row>
    <row r="1249">
      <c r="A1249" s="4">
        <v>1247.0</v>
      </c>
      <c r="B1249" s="5" t="s">
        <v>3748</v>
      </c>
      <c r="C1249" s="4">
        <v>0.0</v>
      </c>
      <c r="D1249" s="5" t="s">
        <v>3749</v>
      </c>
      <c r="E1249" s="5" t="s">
        <v>3750</v>
      </c>
      <c r="F1249" s="6" t="str">
        <f>IFERROR(__xludf.DUMMYFUNCTION("GOOGLETRANSLATE(D1249,""en"",""it"")"),"Mi piace il rock, tranne gli sport.")</f>
        <v>Mi piace il rock, tranne gli sport.</v>
      </c>
      <c r="G1249" s="6" t="str">
        <f>IFERROR(__xludf.DUMMYFUNCTION("GOOGLETRANSLATE(E1249,""fr"",""it"")"),"Apprezzo il rock, tranne lo sport.")</f>
        <v>Apprezzo il rock, tranne lo sport.</v>
      </c>
    </row>
    <row r="1250">
      <c r="A1250" s="4">
        <v>1248.0</v>
      </c>
      <c r="B1250" s="5" t="s">
        <v>3751</v>
      </c>
      <c r="C1250" s="4">
        <v>0.0</v>
      </c>
      <c r="D1250" s="5" t="s">
        <v>3752</v>
      </c>
      <c r="E1250" s="5" t="s">
        <v>3753</v>
      </c>
      <c r="F1250" s="6" t="str">
        <f>IFERROR(__xludf.DUMMYFUNCTION("GOOGLETRANSLATE(D1250,""en"",""it"")"),"Mi piace la musica, un tipo interessante di collana.")</f>
        <v>Mi piace la musica, un tipo interessante di collana.</v>
      </c>
      <c r="G1250" s="6" t="str">
        <f>IFERROR(__xludf.DUMMYFUNCTION("GOOGLETRANSLATE(E1250,""fr"",""it"")"),"Apprezzo la musica, un tipo interessante di collana.")</f>
        <v>Apprezzo la musica, un tipo interessante di collana.</v>
      </c>
    </row>
    <row r="1251">
      <c r="A1251" s="4">
        <v>1249.0</v>
      </c>
      <c r="B1251" s="5" t="s">
        <v>3754</v>
      </c>
      <c r="C1251" s="4">
        <v>0.0</v>
      </c>
      <c r="D1251" s="5" t="s">
        <v>3755</v>
      </c>
      <c r="E1251" s="5" t="s">
        <v>3756</v>
      </c>
      <c r="F1251" s="6" t="str">
        <f>IFERROR(__xludf.DUMMYFUNCTION("GOOGLETRANSLATE(D1251,""en"",""it"")"),"Mi piacciono gli sport, tranne il rock.")</f>
        <v>Mi piacciono gli sport, tranne il rock.</v>
      </c>
      <c r="G1251" s="6" t="str">
        <f>IFERROR(__xludf.DUMMYFUNCTION("GOOGLETRANSLATE(E1251,""fr"",""it"")"),"Apprezzo gli sport tranne il rock.")</f>
        <v>Apprezzo gli sport tranne il rock.</v>
      </c>
    </row>
    <row r="1252">
      <c r="A1252" s="4">
        <v>1250.0</v>
      </c>
      <c r="B1252" s="5" t="s">
        <v>3757</v>
      </c>
      <c r="C1252" s="4">
        <v>0.0</v>
      </c>
      <c r="D1252" s="5" t="s">
        <v>3758</v>
      </c>
      <c r="E1252" s="5" t="s">
        <v>3759</v>
      </c>
      <c r="F1252" s="6" t="str">
        <f>IFERROR(__xludf.DUMMYFUNCTION("GOOGLETRANSLATE(D1252,""en"",""it"")"),"Mi piace il rock, tranne la musica.")</f>
        <v>Mi piace il rock, tranne la musica.</v>
      </c>
      <c r="G1252" s="6" t="str">
        <f>IFERROR(__xludf.DUMMYFUNCTION("GOOGLETRANSLATE(E1252,""fr"",""it"")"),"Apprezzo il rock, tranne la musica.")</f>
        <v>Apprezzo il rock, tranne la musica.</v>
      </c>
    </row>
    <row r="1253">
      <c r="A1253" s="4">
        <v>1251.0</v>
      </c>
      <c r="B1253" s="5" t="s">
        <v>3760</v>
      </c>
      <c r="C1253" s="4">
        <v>0.0</v>
      </c>
      <c r="D1253" s="5" t="s">
        <v>3761</v>
      </c>
      <c r="E1253" s="5" t="s">
        <v>3762</v>
      </c>
      <c r="F1253" s="6" t="str">
        <f>IFERROR(__xludf.DUMMYFUNCTION("GOOGLETRANSLATE(D1253,""en"",""it"")"),"Mi piace il jazz, un tipo di sport interessante.")</f>
        <v>Mi piace il jazz, un tipo di sport interessante.</v>
      </c>
      <c r="G1253" s="6" t="str">
        <f>IFERROR(__xludf.DUMMYFUNCTION("GOOGLETRANSLATE(E1253,""fr"",""it"")"),"Apprezzo il jazz, un tipo di sport interessante.")</f>
        <v>Apprezzo il jazz, un tipo di sport interessante.</v>
      </c>
    </row>
    <row r="1254">
      <c r="A1254" s="4">
        <v>1252.0</v>
      </c>
      <c r="B1254" s="5" t="s">
        <v>3763</v>
      </c>
      <c r="C1254" s="4">
        <v>0.0</v>
      </c>
      <c r="D1254" s="5" t="s">
        <v>3764</v>
      </c>
      <c r="E1254" s="5" t="s">
        <v>3765</v>
      </c>
      <c r="F1254" s="6" t="str">
        <f>IFERROR(__xludf.DUMMYFUNCTION("GOOGLETRANSLATE(D1254,""en"",""it"")"),"Mi piacciono gli sport, un tipo interessante di jazz.")</f>
        <v>Mi piacciono gli sport, un tipo interessante di jazz.</v>
      </c>
      <c r="G1254" s="6" t="str">
        <f>IFERROR(__xludf.DUMMYFUNCTION("GOOGLETRANSLATE(E1254,""fr"",""it"")"),"Apprezzo gli sport, un tipo interessante di jazz.")</f>
        <v>Apprezzo gli sport, un tipo interessante di jazz.</v>
      </c>
    </row>
    <row r="1255">
      <c r="A1255" s="4">
        <v>1253.0</v>
      </c>
      <c r="B1255" s="5" t="s">
        <v>3766</v>
      </c>
      <c r="C1255" s="4">
        <v>1.0</v>
      </c>
      <c r="D1255" s="5" t="s">
        <v>3767</v>
      </c>
      <c r="E1255" s="5" t="s">
        <v>3768</v>
      </c>
      <c r="F1255" s="6" t="str">
        <f>IFERROR(__xludf.DUMMYFUNCTION("GOOGLETRANSLATE(D1255,""en"",""it"")"),"Mi piace il jazz, un tipo di musica interessante.")</f>
        <v>Mi piace il jazz, un tipo di musica interessante.</v>
      </c>
      <c r="G1255" s="6" t="str">
        <f>IFERROR(__xludf.DUMMYFUNCTION("GOOGLETRANSLATE(E1255,""fr"",""it"")"),"Apprezzo il jazz, un tipo di musica interessante.")</f>
        <v>Apprezzo il jazz, un tipo di musica interessante.</v>
      </c>
    </row>
    <row r="1256">
      <c r="A1256" s="4">
        <v>1254.0</v>
      </c>
      <c r="B1256" s="5" t="s">
        <v>3769</v>
      </c>
      <c r="C1256" s="4">
        <v>0.0</v>
      </c>
      <c r="D1256" s="5" t="s">
        <v>3770</v>
      </c>
      <c r="E1256" s="5" t="s">
        <v>3771</v>
      </c>
      <c r="F1256" s="6" t="str">
        <f>IFERROR(__xludf.DUMMYFUNCTION("GOOGLETRANSLATE(D1256,""en"",""it"")"),"Mi piace la musica, un tipo di jazz interessante.")</f>
        <v>Mi piace la musica, un tipo di jazz interessante.</v>
      </c>
      <c r="G1256" s="6" t="str">
        <f>IFERROR(__xludf.DUMMYFUNCTION("GOOGLETRANSLATE(E1256,""fr"",""it"")"),"Apprezzo la musica, un tipo interessante di jazz.")</f>
        <v>Apprezzo la musica, un tipo interessante di jazz.</v>
      </c>
    </row>
    <row r="1257">
      <c r="A1257" s="4">
        <v>1255.0</v>
      </c>
      <c r="B1257" s="5" t="s">
        <v>3772</v>
      </c>
      <c r="C1257" s="4">
        <v>0.0</v>
      </c>
      <c r="D1257" s="5" t="s">
        <v>3773</v>
      </c>
      <c r="E1257" s="5" t="s">
        <v>3774</v>
      </c>
      <c r="F1257" s="6" t="str">
        <f>IFERROR(__xludf.DUMMYFUNCTION("GOOGLETRANSLATE(D1257,""en"",""it"")"),"Mi piace il jazz, un tipo interessante di boardgame.")</f>
        <v>Mi piace il jazz, un tipo interessante di boardgame.</v>
      </c>
      <c r="G1257" s="6" t="str">
        <f>IFERROR(__xludf.DUMMYFUNCTION("GOOGLETRANSLATE(E1257,""fr"",""it"")"),"Apprezzo il jazz, un tipo interessante di gioco da tavolo.")</f>
        <v>Apprezzo il jazz, un tipo interessante di gioco da tavolo.</v>
      </c>
    </row>
    <row r="1258">
      <c r="A1258" s="4">
        <v>1256.0</v>
      </c>
      <c r="B1258" s="5" t="s">
        <v>3775</v>
      </c>
      <c r="C1258" s="4">
        <v>0.0</v>
      </c>
      <c r="D1258" s="5" t="s">
        <v>3776</v>
      </c>
      <c r="E1258" s="5" t="s">
        <v>3777</v>
      </c>
      <c r="F1258" s="6" t="str">
        <f>IFERROR(__xludf.DUMMYFUNCTION("GOOGLETRANSLATE(D1258,""en"",""it"")"),"Mi piacciono i boardgames, un tipo interessante di jazz.")</f>
        <v>Mi piacciono i boardgames, un tipo interessante di jazz.</v>
      </c>
      <c r="G1258" s="6" t="str">
        <f>IFERROR(__xludf.DUMMYFUNCTION("GOOGLETRANSLATE(E1258,""fr"",""it"")"),"Apprezzo i giochi da tavolo, un tipo interessante di jazz.")</f>
        <v>Apprezzo i giochi da tavolo, un tipo interessante di jazz.</v>
      </c>
    </row>
    <row r="1259">
      <c r="A1259" s="4">
        <v>1257.0</v>
      </c>
      <c r="B1259" s="5" t="s">
        <v>3778</v>
      </c>
      <c r="C1259" s="4">
        <v>1.0</v>
      </c>
      <c r="D1259" s="5" t="s">
        <v>3779</v>
      </c>
      <c r="E1259" s="5" t="s">
        <v>3780</v>
      </c>
      <c r="F1259" s="6" t="str">
        <f>IFERROR(__xludf.DUMMYFUNCTION("GOOGLETRANSLATE(D1259,""en"",""it"")"),"Mi piace la musica, tranne il rock.")</f>
        <v>Mi piace la musica, tranne il rock.</v>
      </c>
      <c r="G1259" s="6" t="str">
        <f>IFERROR(__xludf.DUMMYFUNCTION("GOOGLETRANSLATE(E1259,""fr"",""it"")"),"Apprezzo la musica tranne la roccia.")</f>
        <v>Apprezzo la musica tranne la roccia.</v>
      </c>
    </row>
    <row r="1260">
      <c r="A1260" s="4">
        <v>1258.0</v>
      </c>
      <c r="B1260" s="5" t="s">
        <v>3781</v>
      </c>
      <c r="C1260" s="4">
        <v>0.0</v>
      </c>
      <c r="D1260" s="5" t="s">
        <v>3782</v>
      </c>
      <c r="E1260" s="5" t="s">
        <v>3783</v>
      </c>
      <c r="F1260" s="6" t="str">
        <f>IFERROR(__xludf.DUMMYFUNCTION("GOOGLETRANSLATE(D1260,""en"",""it"")"),"Mi piace il jazz, un tipo di cibo interessante.")</f>
        <v>Mi piace il jazz, un tipo di cibo interessante.</v>
      </c>
      <c r="G1260" s="6" t="str">
        <f>IFERROR(__xludf.DUMMYFUNCTION("GOOGLETRANSLATE(E1260,""fr"",""it"")"),"Apprezzo il jazz, un tipo interessante di cibo.")</f>
        <v>Apprezzo il jazz, un tipo interessante di cibo.</v>
      </c>
    </row>
    <row r="1261">
      <c r="A1261" s="4">
        <v>1259.0</v>
      </c>
      <c r="B1261" s="5" t="s">
        <v>3784</v>
      </c>
      <c r="C1261" s="4">
        <v>0.0</v>
      </c>
      <c r="D1261" s="5" t="s">
        <v>3785</v>
      </c>
      <c r="E1261" s="5" t="s">
        <v>3786</v>
      </c>
      <c r="F1261" s="6" t="str">
        <f>IFERROR(__xludf.DUMMYFUNCTION("GOOGLETRANSLATE(D1261,""en"",""it"")"),"Mi piace il cibo, un tipo interessante di jazz.")</f>
        <v>Mi piace il cibo, un tipo interessante di jazz.</v>
      </c>
      <c r="G1261" s="6" t="str">
        <f>IFERROR(__xludf.DUMMYFUNCTION("GOOGLETRANSLATE(E1261,""fr"",""it"")"),"Apprezzo il cibo, un tipo interessante di jazz.")</f>
        <v>Apprezzo il cibo, un tipo interessante di jazz.</v>
      </c>
    </row>
    <row r="1262">
      <c r="A1262" s="4">
        <v>1260.0</v>
      </c>
      <c r="B1262" s="5" t="s">
        <v>3787</v>
      </c>
      <c r="C1262" s="4">
        <v>0.0</v>
      </c>
      <c r="D1262" s="5" t="s">
        <v>3788</v>
      </c>
      <c r="E1262" s="5" t="s">
        <v>3789</v>
      </c>
      <c r="F1262" s="6" t="str">
        <f>IFERROR(__xludf.DUMMYFUNCTION("GOOGLETRANSLATE(D1262,""en"",""it"")"),"Mi piace il jazz, un tipo di collana interessante.")</f>
        <v>Mi piace il jazz, un tipo di collana interessante.</v>
      </c>
      <c r="G1262" s="6" t="str">
        <f>IFERROR(__xludf.DUMMYFUNCTION("GOOGLETRANSLATE(E1262,""fr"",""it"")"),"Apprezzo il jazz, un tipo interessante di collana.")</f>
        <v>Apprezzo il jazz, un tipo interessante di collana.</v>
      </c>
    </row>
    <row r="1263">
      <c r="A1263" s="4">
        <v>1261.0</v>
      </c>
      <c r="B1263" s="5" t="s">
        <v>3790</v>
      </c>
      <c r="C1263" s="4">
        <v>0.0</v>
      </c>
      <c r="D1263" s="5" t="s">
        <v>3791</v>
      </c>
      <c r="E1263" s="5" t="s">
        <v>3792</v>
      </c>
      <c r="F1263" s="6" t="str">
        <f>IFERROR(__xludf.DUMMYFUNCTION("GOOGLETRANSLATE(D1263,""en"",""it"")"),"Mi piacciono i gioielli, un tipo interessante di jazz.")</f>
        <v>Mi piacciono i gioielli, un tipo interessante di jazz.</v>
      </c>
      <c r="G1263" s="6" t="str">
        <f>IFERROR(__xludf.DUMMYFUNCTION("GOOGLETRANSLATE(E1263,""fr"",""it"")"),"Apprezzo gioielli, un tipo interessante di jazz.")</f>
        <v>Apprezzo gioielli, un tipo interessante di jazz.</v>
      </c>
    </row>
    <row r="1264">
      <c r="A1264" s="4">
        <v>1262.0</v>
      </c>
      <c r="B1264" s="5" t="s">
        <v>3793</v>
      </c>
      <c r="C1264" s="4">
        <v>0.0</v>
      </c>
      <c r="D1264" s="5" t="s">
        <v>3794</v>
      </c>
      <c r="E1264" s="5" t="s">
        <v>3795</v>
      </c>
      <c r="F1264" s="6" t="str">
        <f>IFERROR(__xludf.DUMMYFUNCTION("GOOGLETRANSLATE(D1264,""en"",""it"")"),"Mi piace la musica, tranne lo sport.")</f>
        <v>Mi piace la musica, tranne lo sport.</v>
      </c>
      <c r="G1264" s="6" t="str">
        <f>IFERROR(__xludf.DUMMYFUNCTION("GOOGLETRANSLATE(E1264,""fr"",""it"")"),"Apprezzo la musica tranne lo sport.")</f>
        <v>Apprezzo la musica tranne lo sport.</v>
      </c>
    </row>
    <row r="1265">
      <c r="A1265" s="4">
        <v>1263.0</v>
      </c>
      <c r="B1265" s="5" t="s">
        <v>3796</v>
      </c>
      <c r="C1265" s="4">
        <v>0.0</v>
      </c>
      <c r="D1265" s="5" t="s">
        <v>3797</v>
      </c>
      <c r="E1265" s="5" t="s">
        <v>3798</v>
      </c>
      <c r="F1265" s="6" t="str">
        <f>IFERROR(__xludf.DUMMYFUNCTION("GOOGLETRANSLATE(D1265,""en"",""it"")"),"Mi piace il rock, tranne i corsioni da tavolo.")</f>
        <v>Mi piace il rock, tranne i corsioni da tavolo.</v>
      </c>
      <c r="G1265" s="6" t="str">
        <f>IFERROR(__xludf.DUMMYFUNCTION("GOOGLETRANSLATE(E1265,""fr"",""it"")"),"Apprezzo il rock, tranne i giochi da tavolo.")</f>
        <v>Apprezzo il rock, tranne i giochi da tavolo.</v>
      </c>
    </row>
    <row r="1266">
      <c r="A1266" s="4">
        <v>1264.0</v>
      </c>
      <c r="B1266" s="5" t="s">
        <v>3799</v>
      </c>
      <c r="C1266" s="4">
        <v>0.0</v>
      </c>
      <c r="D1266" s="5" t="s">
        <v>3800</v>
      </c>
      <c r="E1266" s="5" t="s">
        <v>3801</v>
      </c>
      <c r="F1266" s="6" t="str">
        <f>IFERROR(__xludf.DUMMYFUNCTION("GOOGLETRANSLATE(D1266,""en"",""it"")"),"Mi piacciono i boardgames, tranne il rock.")</f>
        <v>Mi piacciono i boardgames, tranne il rock.</v>
      </c>
      <c r="G1266" s="6" t="str">
        <f>IFERROR(__xludf.DUMMYFUNCTION("GOOGLETRANSLATE(E1266,""fr"",""it"")"),"Apprezzo i giochi da tavolo tranne il rock.")</f>
        <v>Apprezzo i giochi da tavolo tranne il rock.</v>
      </c>
    </row>
    <row r="1267">
      <c r="A1267" s="4">
        <v>1265.0</v>
      </c>
      <c r="B1267" s="5" t="s">
        <v>3802</v>
      </c>
      <c r="C1267" s="4">
        <v>0.0</v>
      </c>
      <c r="D1267" s="5" t="s">
        <v>3803</v>
      </c>
      <c r="E1267" s="5" t="s">
        <v>3804</v>
      </c>
      <c r="F1267" s="6" t="str">
        <f>IFERROR(__xludf.DUMMYFUNCTION("GOOGLETRANSLATE(D1267,""en"",""it"")"),"Mi piace Techno, un tipo di sport interessante.")</f>
        <v>Mi piace Techno, un tipo di sport interessante.</v>
      </c>
      <c r="G1267" s="6" t="str">
        <f>IFERROR(__xludf.DUMMYFUNCTION("GOOGLETRANSLATE(E1267,""fr"",""it"")"),"Apprezzo il Techno, un tipo interessante di sport.")</f>
        <v>Apprezzo il Techno, un tipo interessante di sport.</v>
      </c>
    </row>
    <row r="1268">
      <c r="A1268" s="4">
        <v>1266.0</v>
      </c>
      <c r="B1268" s="5" t="s">
        <v>3805</v>
      </c>
      <c r="C1268" s="4">
        <v>0.0</v>
      </c>
      <c r="D1268" s="5" t="s">
        <v>3806</v>
      </c>
      <c r="E1268" s="5" t="s">
        <v>3807</v>
      </c>
      <c r="F1268" s="6" t="str">
        <f>IFERROR(__xludf.DUMMYFUNCTION("GOOGLETRANSLATE(D1268,""en"",""it"")"),"Mi piacciono gli sport, un tipo interessante di techno.")</f>
        <v>Mi piacciono gli sport, un tipo interessante di techno.</v>
      </c>
      <c r="G1268" s="6" t="str">
        <f>IFERROR(__xludf.DUMMYFUNCTION("GOOGLETRANSLATE(E1268,""fr"",""it"")"),"Apprezzo gli sport, un tipo interessante di techno.")</f>
        <v>Apprezzo gli sport, un tipo interessante di techno.</v>
      </c>
    </row>
    <row r="1269">
      <c r="A1269" s="4">
        <v>1267.0</v>
      </c>
      <c r="B1269" s="5" t="s">
        <v>3808</v>
      </c>
      <c r="C1269" s="4">
        <v>1.0</v>
      </c>
      <c r="D1269" s="5" t="s">
        <v>3809</v>
      </c>
      <c r="E1269" s="5" t="s">
        <v>3810</v>
      </c>
      <c r="F1269" s="6" t="str">
        <f>IFERROR(__xludf.DUMMYFUNCTION("GOOGLETRANSLATE(D1269,""en"",""it"")"),"Mi piace Techno, un tipo di musica interessante.")</f>
        <v>Mi piace Techno, un tipo di musica interessante.</v>
      </c>
      <c r="G1269" s="6" t="str">
        <f>IFERROR(__xludf.DUMMYFUNCTION("GOOGLETRANSLATE(E1269,""fr"",""it"")"),"Apprezzo il Techno, un tipo di musica interessante.")</f>
        <v>Apprezzo il Techno, un tipo di musica interessante.</v>
      </c>
    </row>
    <row r="1270">
      <c r="A1270" s="4">
        <v>1268.0</v>
      </c>
      <c r="B1270" s="5" t="s">
        <v>3811</v>
      </c>
      <c r="C1270" s="4">
        <v>0.0</v>
      </c>
      <c r="D1270" s="5" t="s">
        <v>3812</v>
      </c>
      <c r="E1270" s="5" t="s">
        <v>3813</v>
      </c>
      <c r="F1270" s="6" t="str">
        <f>IFERROR(__xludf.DUMMYFUNCTION("GOOGLETRANSLATE(D1270,""en"",""it"")"),"Mi piace la musica, un tipo interessante di techno.")</f>
        <v>Mi piace la musica, un tipo interessante di techno.</v>
      </c>
      <c r="G1270" s="6" t="str">
        <f>IFERROR(__xludf.DUMMYFUNCTION("GOOGLETRANSLATE(E1270,""fr"",""it"")"),"Apprezzo la musica, un tipo interessante di techno.")</f>
        <v>Apprezzo la musica, un tipo interessante di techno.</v>
      </c>
    </row>
    <row r="1271">
      <c r="A1271" s="4">
        <v>1269.0</v>
      </c>
      <c r="B1271" s="5" t="s">
        <v>3814</v>
      </c>
      <c r="C1271" s="4">
        <v>0.0</v>
      </c>
      <c r="D1271" s="5" t="s">
        <v>3815</v>
      </c>
      <c r="E1271" s="5" t="s">
        <v>3816</v>
      </c>
      <c r="F1271" s="6" t="str">
        <f>IFERROR(__xludf.DUMMYFUNCTION("GOOGLETRANSLATE(D1271,""en"",""it"")"),"Mi piace Techno, un tipo interessante di Boardgame.")</f>
        <v>Mi piace Techno, un tipo interessante di Boardgame.</v>
      </c>
      <c r="G1271" s="6" t="str">
        <f>IFERROR(__xludf.DUMMYFUNCTION("GOOGLETRANSLATE(E1271,""fr"",""it"")"),"Apprezzo il Techno, un tipo interessante di gioco da tavolo.")</f>
        <v>Apprezzo il Techno, un tipo interessante di gioco da tavolo.</v>
      </c>
    </row>
    <row r="1272">
      <c r="A1272" s="4">
        <v>1270.0</v>
      </c>
      <c r="B1272" s="5" t="s">
        <v>3817</v>
      </c>
      <c r="C1272" s="4">
        <v>0.0</v>
      </c>
      <c r="D1272" s="5" t="s">
        <v>3818</v>
      </c>
      <c r="E1272" s="5" t="s">
        <v>3819</v>
      </c>
      <c r="F1272" s="6" t="str">
        <f>IFERROR(__xludf.DUMMYFUNCTION("GOOGLETRANSLATE(D1272,""en"",""it"")"),"Mi piacciono i Boardgames, un tipo interessante di techno.")</f>
        <v>Mi piacciono i Boardgames, un tipo interessante di techno.</v>
      </c>
      <c r="G1272" s="6" t="str">
        <f>IFERROR(__xludf.DUMMYFUNCTION("GOOGLETRANSLATE(E1272,""fr"",""it"")"),"Apprezzo i giochi da tavolo, un tipo interessante di Techno.")</f>
        <v>Apprezzo i giochi da tavolo, un tipo interessante di Techno.</v>
      </c>
    </row>
    <row r="1273">
      <c r="A1273" s="4">
        <v>1271.0</v>
      </c>
      <c r="B1273" s="5" t="s">
        <v>3820</v>
      </c>
      <c r="C1273" s="4">
        <v>0.0</v>
      </c>
      <c r="D1273" s="5" t="s">
        <v>3821</v>
      </c>
      <c r="E1273" s="5" t="s">
        <v>3822</v>
      </c>
      <c r="F1273" s="6" t="str">
        <f>IFERROR(__xludf.DUMMYFUNCTION("GOOGLETRANSLATE(D1273,""en"",""it"")"),"Mi piace Techno, un tipo di cibo interessante.")</f>
        <v>Mi piace Techno, un tipo di cibo interessante.</v>
      </c>
      <c r="G1273" s="6" t="str">
        <f>IFERROR(__xludf.DUMMYFUNCTION("GOOGLETRANSLATE(E1273,""fr"",""it"")"),"Apprezzo il Techno, un tipo interessante di cibo.")</f>
        <v>Apprezzo il Techno, un tipo interessante di cibo.</v>
      </c>
    </row>
    <row r="1274">
      <c r="A1274" s="4">
        <v>1272.0</v>
      </c>
      <c r="B1274" s="5" t="s">
        <v>3823</v>
      </c>
      <c r="C1274" s="4">
        <v>0.0</v>
      </c>
      <c r="D1274" s="5" t="s">
        <v>3824</v>
      </c>
      <c r="E1274" s="5" t="s">
        <v>3825</v>
      </c>
      <c r="F1274" s="6" t="str">
        <f>IFERROR(__xludf.DUMMYFUNCTION("GOOGLETRANSLATE(D1274,""en"",""it"")"),"Mi piace il cibo, un tipo interessante di techno.")</f>
        <v>Mi piace il cibo, un tipo interessante di techno.</v>
      </c>
      <c r="G1274" s="6" t="str">
        <f>IFERROR(__xludf.DUMMYFUNCTION("GOOGLETRANSLATE(E1274,""fr"",""it"")"),"Apprezzo il cibo, un tipo interessante di techno.")</f>
        <v>Apprezzo il cibo, un tipo interessante di techno.</v>
      </c>
    </row>
    <row r="1275">
      <c r="A1275" s="4">
        <v>1273.0</v>
      </c>
      <c r="B1275" s="5" t="s">
        <v>3826</v>
      </c>
      <c r="C1275" s="4">
        <v>0.0</v>
      </c>
      <c r="D1275" s="5" t="s">
        <v>3827</v>
      </c>
      <c r="E1275" s="5" t="s">
        <v>3828</v>
      </c>
      <c r="F1275" s="6" t="str">
        <f>IFERROR(__xludf.DUMMYFUNCTION("GOOGLETRANSLATE(D1275,""en"",""it"")"),"Mi piace Techno, un tipo interessante di collana.")</f>
        <v>Mi piace Techno, un tipo interessante di collana.</v>
      </c>
      <c r="G1275" s="6" t="str">
        <f>IFERROR(__xludf.DUMMYFUNCTION("GOOGLETRANSLATE(E1275,""fr"",""it"")"),"Apprezzo il Techno, un tipo interessante di collana.")</f>
        <v>Apprezzo il Techno, un tipo interessante di collana.</v>
      </c>
    </row>
    <row r="1276">
      <c r="A1276" s="4">
        <v>1274.0</v>
      </c>
      <c r="B1276" s="5" t="s">
        <v>3829</v>
      </c>
      <c r="C1276" s="4">
        <v>0.0</v>
      </c>
      <c r="D1276" s="5" t="s">
        <v>3830</v>
      </c>
      <c r="E1276" s="5" t="s">
        <v>3831</v>
      </c>
      <c r="F1276" s="6" t="str">
        <f>IFERROR(__xludf.DUMMYFUNCTION("GOOGLETRANSLATE(D1276,""en"",""it"")"),"Mi piacciono i gioielli, un tipo interessante di techno.")</f>
        <v>Mi piacciono i gioielli, un tipo interessante di techno.</v>
      </c>
      <c r="G1276" s="6" t="str">
        <f>IFERROR(__xludf.DUMMYFUNCTION("GOOGLETRANSLATE(E1276,""fr"",""it"")"),"Apprezzo i gioielli, un tipo interessante di Techno.")</f>
        <v>Apprezzo i gioielli, un tipo interessante di Techno.</v>
      </c>
    </row>
    <row r="1277">
      <c r="A1277" s="4">
        <v>1275.0</v>
      </c>
      <c r="B1277" s="5" t="s">
        <v>3832</v>
      </c>
      <c r="C1277" s="4">
        <v>0.0</v>
      </c>
      <c r="D1277" s="5" t="s">
        <v>3833</v>
      </c>
      <c r="E1277" s="5" t="s">
        <v>3834</v>
      </c>
      <c r="F1277" s="6" t="str">
        <f>IFERROR(__xludf.DUMMYFUNCTION("GOOGLETRANSLATE(D1277,""en"",""it"")"),"Mi piace la musica, tranne i corvolgitori.")</f>
        <v>Mi piace la musica, tranne i corvolgitori.</v>
      </c>
      <c r="G1277" s="6" t="str">
        <f>IFERROR(__xludf.DUMMYFUNCTION("GOOGLETRANSLATE(E1277,""fr"",""it"")"),"Apprezzo la musica tranne i giochi da tavolo.")</f>
        <v>Apprezzo la musica tranne i giochi da tavolo.</v>
      </c>
    </row>
    <row r="1278">
      <c r="A1278" s="4">
        <v>1276.0</v>
      </c>
      <c r="B1278" s="5" t="s">
        <v>3835</v>
      </c>
      <c r="C1278" s="4">
        <v>0.0</v>
      </c>
      <c r="D1278" s="5" t="s">
        <v>3836</v>
      </c>
      <c r="E1278" s="5" t="s">
        <v>3837</v>
      </c>
      <c r="F1278" s="6" t="str">
        <f>IFERROR(__xludf.DUMMYFUNCTION("GOOGLETRANSLATE(D1278,""en"",""it"")"),"Mi piace il rock, tranne il cibo.")</f>
        <v>Mi piace il rock, tranne il cibo.</v>
      </c>
      <c r="G1278" s="6" t="str">
        <f>IFERROR(__xludf.DUMMYFUNCTION("GOOGLETRANSLATE(E1278,""fr"",""it"")"),"Apprezzo il rock, tranne il cibo.")</f>
        <v>Apprezzo il rock, tranne il cibo.</v>
      </c>
    </row>
    <row r="1279">
      <c r="A1279" s="4">
        <v>1277.0</v>
      </c>
      <c r="B1279" s="5" t="s">
        <v>3838</v>
      </c>
      <c r="C1279" s="4">
        <v>0.0</v>
      </c>
      <c r="D1279" s="5" t="s">
        <v>3839</v>
      </c>
      <c r="E1279" s="5" t="s">
        <v>3840</v>
      </c>
      <c r="F1279" s="6" t="str">
        <f>IFERROR(__xludf.DUMMYFUNCTION("GOOGLETRANSLATE(D1279,""en"",""it"")"),"Mi piacciono il blues, un tipo di sport interessante.")</f>
        <v>Mi piacciono il blues, un tipo di sport interessante.</v>
      </c>
      <c r="G1279" s="6" t="str">
        <f>IFERROR(__xludf.DUMMYFUNCTION("GOOGLETRANSLATE(E1279,""fr"",""it"")"),"Apprezzo il blues, un tipo di sport interessante.")</f>
        <v>Apprezzo il blues, un tipo di sport interessante.</v>
      </c>
    </row>
    <row r="1280">
      <c r="A1280" s="4">
        <v>1278.0</v>
      </c>
      <c r="B1280" s="5" t="s">
        <v>3841</v>
      </c>
      <c r="C1280" s="4">
        <v>0.0</v>
      </c>
      <c r="D1280" s="5" t="s">
        <v>3842</v>
      </c>
      <c r="E1280" s="5" t="s">
        <v>3843</v>
      </c>
      <c r="F1280" s="6" t="str">
        <f>IFERROR(__xludf.DUMMYFUNCTION("GOOGLETRANSLATE(D1280,""en"",""it"")"),"Mi piacciono gli sport, un tipo interessante di blues.")</f>
        <v>Mi piacciono gli sport, un tipo interessante di blues.</v>
      </c>
      <c r="G1280" s="6" t="str">
        <f>IFERROR(__xludf.DUMMYFUNCTION("GOOGLETRANSLATE(E1280,""fr"",""it"")"),"Apprezzo gli sport, un tipo di blues interessante.")</f>
        <v>Apprezzo gli sport, un tipo di blues interessante.</v>
      </c>
    </row>
    <row r="1281">
      <c r="A1281" s="4">
        <v>1279.0</v>
      </c>
      <c r="B1281" s="5" t="s">
        <v>3844</v>
      </c>
      <c r="C1281" s="4">
        <v>1.0</v>
      </c>
      <c r="D1281" s="5" t="s">
        <v>3845</v>
      </c>
      <c r="E1281" s="5" t="s">
        <v>3846</v>
      </c>
      <c r="F1281" s="6" t="str">
        <f>IFERROR(__xludf.DUMMYFUNCTION("GOOGLETRANSLATE(D1281,""en"",""it"")"),"Mi piacciono Blues, un tipo di musica interessante.")</f>
        <v>Mi piacciono Blues, un tipo di musica interessante.</v>
      </c>
      <c r="G1281" s="6" t="str">
        <f>IFERROR(__xludf.DUMMYFUNCTION("GOOGLETRANSLATE(E1281,""fr"",""it"")"),"Apprezzo il blues, un tipo di musica interessante.")</f>
        <v>Apprezzo il blues, un tipo di musica interessante.</v>
      </c>
    </row>
    <row r="1282">
      <c r="A1282" s="4">
        <v>1280.0</v>
      </c>
      <c r="B1282" s="5" t="s">
        <v>3847</v>
      </c>
      <c r="C1282" s="4">
        <v>0.0</v>
      </c>
      <c r="D1282" s="5" t="s">
        <v>3848</v>
      </c>
      <c r="E1282" s="5" t="s">
        <v>3849</v>
      </c>
      <c r="F1282" s="6" t="str">
        <f>IFERROR(__xludf.DUMMYFUNCTION("GOOGLETRANSLATE(D1282,""en"",""it"")"),"Mi piace la musica, un tipo interessante di blues.")</f>
        <v>Mi piace la musica, un tipo interessante di blues.</v>
      </c>
      <c r="G1282" s="6" t="str">
        <f>IFERROR(__xludf.DUMMYFUNCTION("GOOGLETRANSLATE(E1282,""fr"",""it"")"),"Apprezzo la musica, un tipo interessante di blues.")</f>
        <v>Apprezzo la musica, un tipo interessante di blues.</v>
      </c>
    </row>
    <row r="1283">
      <c r="A1283" s="4">
        <v>1281.0</v>
      </c>
      <c r="B1283" s="5" t="s">
        <v>3850</v>
      </c>
      <c r="C1283" s="4">
        <v>0.0</v>
      </c>
      <c r="D1283" s="5" t="s">
        <v>3851</v>
      </c>
      <c r="E1283" s="5" t="s">
        <v>3852</v>
      </c>
      <c r="F1283" s="6" t="str">
        <f>IFERROR(__xludf.DUMMYFUNCTION("GOOGLETRANSLATE(D1283,""en"",""it"")"),"Mi piacciono Blues, un tipo interessante di Boardgame.")</f>
        <v>Mi piacciono Blues, un tipo interessante di Boardgame.</v>
      </c>
      <c r="G1283" s="6" t="str">
        <f>IFERROR(__xludf.DUMMYFUNCTION("GOOGLETRANSLATE(E1283,""fr"",""it"")"),"Apprezzo il Blues, un tipo interessante di gioco da tavolo.")</f>
        <v>Apprezzo il Blues, un tipo interessante di gioco da tavolo.</v>
      </c>
    </row>
    <row r="1284">
      <c r="A1284" s="4">
        <v>1282.0</v>
      </c>
      <c r="B1284" s="5" t="s">
        <v>3853</v>
      </c>
      <c r="C1284" s="4">
        <v>0.0</v>
      </c>
      <c r="D1284" s="5" t="s">
        <v>3854</v>
      </c>
      <c r="E1284" s="5" t="s">
        <v>3855</v>
      </c>
      <c r="F1284" s="6" t="str">
        <f>IFERROR(__xludf.DUMMYFUNCTION("GOOGLETRANSLATE(D1284,""en"",""it"")"),"Mi piacciono i boardgames, un tipo di blues interessante.")</f>
        <v>Mi piacciono i boardgames, un tipo di blues interessante.</v>
      </c>
      <c r="G1284" s="6" t="str">
        <f>IFERROR(__xludf.DUMMYFUNCTION("GOOGLETRANSLATE(E1284,""fr"",""it"")"),"Apprezzo i giochi da tavolo, un tipo interessante di blues.")</f>
        <v>Apprezzo i giochi da tavolo, un tipo interessante di blues.</v>
      </c>
    </row>
    <row r="1285">
      <c r="A1285" s="4">
        <v>1283.0</v>
      </c>
      <c r="B1285" s="5" t="s">
        <v>3856</v>
      </c>
      <c r="C1285" s="4">
        <v>0.0</v>
      </c>
      <c r="D1285" s="5" t="s">
        <v>3857</v>
      </c>
      <c r="E1285" s="5" t="s">
        <v>3858</v>
      </c>
      <c r="F1285" s="6" t="str">
        <f>IFERROR(__xludf.DUMMYFUNCTION("GOOGLETRANSLATE(D1285,""en"",""it"")"),"Mi piace il cibo, tranne il rock.")</f>
        <v>Mi piace il cibo, tranne il rock.</v>
      </c>
      <c r="G1285" s="6" t="str">
        <f>IFERROR(__xludf.DUMMYFUNCTION("GOOGLETRANSLATE(E1285,""fr"",""it"")"),"Apprezzo il cibo, tranne il rock.")</f>
        <v>Apprezzo il cibo, tranne il rock.</v>
      </c>
    </row>
    <row r="1286">
      <c r="A1286" s="4">
        <v>1284.0</v>
      </c>
      <c r="B1286" s="5" t="s">
        <v>3859</v>
      </c>
      <c r="C1286" s="4">
        <v>0.0</v>
      </c>
      <c r="D1286" s="5" t="s">
        <v>3860</v>
      </c>
      <c r="E1286" s="5" t="s">
        <v>3861</v>
      </c>
      <c r="F1286" s="6" t="str">
        <f>IFERROR(__xludf.DUMMYFUNCTION("GOOGLETRANSLATE(D1286,""en"",""it"")"),"Mi piacciono Blues, un tipo interessante di cibo.")</f>
        <v>Mi piacciono Blues, un tipo interessante di cibo.</v>
      </c>
      <c r="G1286" s="6" t="str">
        <f>IFERROR(__xludf.DUMMYFUNCTION("GOOGLETRANSLATE(E1286,""fr"",""it"")"),"Apprezzo il blues, un tipo interessante di cibo.")</f>
        <v>Apprezzo il blues, un tipo interessante di cibo.</v>
      </c>
    </row>
    <row r="1287">
      <c r="A1287" s="4">
        <v>1285.0</v>
      </c>
      <c r="B1287" s="5" t="s">
        <v>3862</v>
      </c>
      <c r="C1287" s="4">
        <v>0.0</v>
      </c>
      <c r="D1287" s="5" t="s">
        <v>3863</v>
      </c>
      <c r="E1287" s="5" t="s">
        <v>3864</v>
      </c>
      <c r="F1287" s="6" t="str">
        <f>IFERROR(__xludf.DUMMYFUNCTION("GOOGLETRANSLATE(D1287,""en"",""it"")"),"Mi piace il cibo, un tipo interessante di blues.")</f>
        <v>Mi piace il cibo, un tipo interessante di blues.</v>
      </c>
      <c r="G1287" s="6" t="str">
        <f>IFERROR(__xludf.DUMMYFUNCTION("GOOGLETRANSLATE(E1287,""fr"",""it"")"),"Apprezzo il cibo, un tipo interessante di blues.")</f>
        <v>Apprezzo il cibo, un tipo interessante di blues.</v>
      </c>
    </row>
    <row r="1288">
      <c r="A1288" s="4">
        <v>1286.0</v>
      </c>
      <c r="B1288" s="5" t="s">
        <v>3865</v>
      </c>
      <c r="C1288" s="4">
        <v>0.0</v>
      </c>
      <c r="D1288" s="5" t="s">
        <v>3866</v>
      </c>
      <c r="E1288" s="5" t="s">
        <v>3867</v>
      </c>
      <c r="F1288" s="6" t="str">
        <f>IFERROR(__xludf.DUMMYFUNCTION("GOOGLETRANSLATE(D1288,""en"",""it"")"),"Mi piacciono il blues, un tipo interessante di collana.")</f>
        <v>Mi piacciono il blues, un tipo interessante di collana.</v>
      </c>
      <c r="G1288" s="6" t="str">
        <f>IFERROR(__xludf.DUMMYFUNCTION("GOOGLETRANSLATE(E1288,""fr"",""it"")"),"Apprezzo il blues, un tipo di collana interessante.")</f>
        <v>Apprezzo il blues, un tipo di collana interessante.</v>
      </c>
    </row>
    <row r="1289">
      <c r="A1289" s="4">
        <v>1287.0</v>
      </c>
      <c r="B1289" s="5" t="s">
        <v>3868</v>
      </c>
      <c r="C1289" s="4">
        <v>0.0</v>
      </c>
      <c r="D1289" s="5" t="s">
        <v>3869</v>
      </c>
      <c r="E1289" s="5" t="s">
        <v>3870</v>
      </c>
      <c r="F1289" s="6" t="str">
        <f>IFERROR(__xludf.DUMMYFUNCTION("GOOGLETRANSLATE(D1289,""en"",""it"")"),"Mi piacciono i gioielli, un tipo interessante di blues.")</f>
        <v>Mi piacciono i gioielli, un tipo interessante di blues.</v>
      </c>
      <c r="G1289" s="6" t="str">
        <f>IFERROR(__xludf.DUMMYFUNCTION("GOOGLETRANSLATE(E1289,""fr"",""it"")"),"Apprezzo gioielli, un tipo di blues interessante.")</f>
        <v>Apprezzo gioielli, un tipo di blues interessante.</v>
      </c>
    </row>
    <row r="1290">
      <c r="A1290" s="4">
        <v>1288.0</v>
      </c>
      <c r="B1290" s="5" t="s">
        <v>3871</v>
      </c>
      <c r="C1290" s="4">
        <v>0.0</v>
      </c>
      <c r="D1290" s="5" t="s">
        <v>3872</v>
      </c>
      <c r="E1290" s="5" t="s">
        <v>3873</v>
      </c>
      <c r="F1290" s="6" t="str">
        <f>IFERROR(__xludf.DUMMYFUNCTION("GOOGLETRANSLATE(D1290,""en"",""it"")"),"Mi piace la musica, tranne il cibo.")</f>
        <v>Mi piace la musica, tranne il cibo.</v>
      </c>
      <c r="G1290" s="6" t="str">
        <f>IFERROR(__xludf.DUMMYFUNCTION("GOOGLETRANSLATE(E1290,""fr"",""it"")"),"Apprezzo la musica tranne il cibo.")</f>
        <v>Apprezzo la musica tranne il cibo.</v>
      </c>
    </row>
    <row r="1291">
      <c r="A1291" s="4">
        <v>1289.0</v>
      </c>
      <c r="B1291" s="5" t="s">
        <v>3874</v>
      </c>
      <c r="C1291" s="4">
        <v>0.0</v>
      </c>
      <c r="D1291" s="5" t="s">
        <v>3875</v>
      </c>
      <c r="E1291" s="5" t="s">
        <v>3876</v>
      </c>
      <c r="F1291" s="6" t="str">
        <f>IFERROR(__xludf.DUMMYFUNCTION("GOOGLETRANSLATE(D1291,""en"",""it"")"),"Mi piace il rock, tranne i gioielli.")</f>
        <v>Mi piace il rock, tranne i gioielli.</v>
      </c>
      <c r="G1291" s="6" t="str">
        <f>IFERROR(__xludf.DUMMYFUNCTION("GOOGLETRANSLATE(E1291,""fr"",""it"")"),"Apprezzo il rock, tranne i gioielli.")</f>
        <v>Apprezzo il rock, tranne i gioielli.</v>
      </c>
    </row>
    <row r="1292">
      <c r="A1292" s="4">
        <v>1290.0</v>
      </c>
      <c r="B1292" s="5" t="s">
        <v>3877</v>
      </c>
      <c r="C1292" s="4">
        <v>0.0</v>
      </c>
      <c r="D1292" s="5" t="s">
        <v>3878</v>
      </c>
      <c r="E1292" s="5" t="s">
        <v>3879</v>
      </c>
      <c r="F1292" s="6" t="str">
        <f>IFERROR(__xludf.DUMMYFUNCTION("GOOGLETRANSLATE(D1292,""en"",""it"")"),"Mi piacciono i gioielli, tranne il rock.")</f>
        <v>Mi piacciono i gioielli, tranne il rock.</v>
      </c>
      <c r="G1292" s="6" t="str">
        <f>IFERROR(__xludf.DUMMYFUNCTION("GOOGLETRANSLATE(E1292,""fr"",""it"")"),"Apprezzo i gioielli, tranne la roccia.")</f>
        <v>Apprezzo i gioielli, tranne la roccia.</v>
      </c>
    </row>
    <row r="1293">
      <c r="A1293" s="4">
        <v>1291.0</v>
      </c>
      <c r="B1293" s="5" t="s">
        <v>3880</v>
      </c>
      <c r="C1293" s="4">
        <v>0.0</v>
      </c>
      <c r="D1293" s="5" t="s">
        <v>3881</v>
      </c>
      <c r="E1293" s="5" t="s">
        <v>3882</v>
      </c>
      <c r="F1293" s="6" t="str">
        <f>IFERROR(__xludf.DUMMYFUNCTION("GOOGLETRANSLATE(D1293,""en"",""it"")"),"Mi piace la musica, tranne i gioielli.")</f>
        <v>Mi piace la musica, tranne i gioielli.</v>
      </c>
      <c r="G1293" s="6" t="str">
        <f>IFERROR(__xludf.DUMMYFUNCTION("GOOGLETRANSLATE(E1293,""fr"",""it"")"),"Apprezzo la musica tranne i gioielli.")</f>
        <v>Apprezzo la musica tranne i gioielli.</v>
      </c>
    </row>
    <row r="1294">
      <c r="A1294" s="4">
        <v>1292.0</v>
      </c>
      <c r="B1294" s="5" t="s">
        <v>3883</v>
      </c>
      <c r="C1294" s="4">
        <v>0.0</v>
      </c>
      <c r="D1294" s="5" t="s">
        <v>3884</v>
      </c>
      <c r="E1294" s="5" t="s">
        <v>3885</v>
      </c>
      <c r="F1294" s="6" t="str">
        <f>IFERROR(__xludf.DUMMYFUNCTION("GOOGLETRANSLATE(D1294,""en"",""it"")"),"Mi piace il jazz, tranne lo sport.")</f>
        <v>Mi piace il jazz, tranne lo sport.</v>
      </c>
      <c r="G1294" s="6" t="str">
        <f>IFERROR(__xludf.DUMMYFUNCTION("GOOGLETRANSLATE(E1294,""fr"",""it"")"),"Apprezzo il jazz, tranne lo sport.")</f>
        <v>Apprezzo il jazz, tranne lo sport.</v>
      </c>
    </row>
    <row r="1295">
      <c r="A1295" s="4">
        <v>1293.0</v>
      </c>
      <c r="B1295" s="5" t="s">
        <v>3886</v>
      </c>
      <c r="C1295" s="4">
        <v>0.0</v>
      </c>
      <c r="D1295" s="5" t="s">
        <v>3887</v>
      </c>
      <c r="E1295" s="5" t="s">
        <v>3888</v>
      </c>
      <c r="F1295" s="6" t="str">
        <f>IFERROR(__xludf.DUMMYFUNCTION("GOOGLETRANSLATE(D1295,""en"",""it"")"),"Mi piacciono gli sport, tranne il jazz.")</f>
        <v>Mi piacciono gli sport, tranne il jazz.</v>
      </c>
      <c r="G1295" s="6" t="str">
        <f>IFERROR(__xludf.DUMMYFUNCTION("GOOGLETRANSLATE(E1295,""fr"",""it"")"),"Apprezzo gli sport tranne il jazz.")</f>
        <v>Apprezzo gli sport tranne il jazz.</v>
      </c>
    </row>
    <row r="1296">
      <c r="A1296" s="4">
        <v>1294.0</v>
      </c>
      <c r="B1296" s="5" t="s">
        <v>3889</v>
      </c>
      <c r="C1296" s="4">
        <v>0.0</v>
      </c>
      <c r="D1296" s="5" t="s">
        <v>3890</v>
      </c>
      <c r="E1296" s="5" t="s">
        <v>3891</v>
      </c>
      <c r="F1296" s="6" t="str">
        <f>IFERROR(__xludf.DUMMYFUNCTION("GOOGLETRANSLATE(D1296,""en"",""it"")"),"Mi piace il jazz, tranne la musica.")</f>
        <v>Mi piace il jazz, tranne la musica.</v>
      </c>
      <c r="G1296" s="6" t="str">
        <f>IFERROR(__xludf.DUMMYFUNCTION("GOOGLETRANSLATE(E1296,""fr"",""it"")"),"Apprezzo il jazz, tranne la musica.")</f>
        <v>Apprezzo il jazz, tranne la musica.</v>
      </c>
    </row>
    <row r="1297">
      <c r="A1297" s="4">
        <v>1295.0</v>
      </c>
      <c r="B1297" s="5" t="s">
        <v>3892</v>
      </c>
      <c r="C1297" s="4">
        <v>1.0</v>
      </c>
      <c r="D1297" s="5" t="s">
        <v>3893</v>
      </c>
      <c r="E1297" s="5" t="s">
        <v>3894</v>
      </c>
      <c r="F1297" s="6" t="str">
        <f>IFERROR(__xludf.DUMMYFUNCTION("GOOGLETRANSLATE(D1297,""en"",""it"")"),"Mi piace la musica, tranne il jazz.")</f>
        <v>Mi piace la musica, tranne il jazz.</v>
      </c>
      <c r="G1297" s="6" t="str">
        <f>IFERROR(__xludf.DUMMYFUNCTION("GOOGLETRANSLATE(E1297,""fr"",""it"")"),"Apprezzo la musica tranne il jazz.")</f>
        <v>Apprezzo la musica tranne il jazz.</v>
      </c>
    </row>
    <row r="1298">
      <c r="A1298" s="4">
        <v>1296.0</v>
      </c>
      <c r="B1298" s="5" t="s">
        <v>3895</v>
      </c>
      <c r="C1298" s="4">
        <v>0.0</v>
      </c>
      <c r="D1298" s="5" t="s">
        <v>3896</v>
      </c>
      <c r="E1298" s="5" t="s">
        <v>3897</v>
      </c>
      <c r="F1298" s="6" t="str">
        <f>IFERROR(__xludf.DUMMYFUNCTION("GOOGLETRANSLATE(D1298,""en"",""it"")"),"Mi piace il jazz, tranne i corvolgitori.")</f>
        <v>Mi piace il jazz, tranne i corvolgitori.</v>
      </c>
      <c r="G1298" s="6" t="str">
        <f>IFERROR(__xludf.DUMMYFUNCTION("GOOGLETRANSLATE(E1298,""fr"",""it"")"),"Apprezzo il jazz, tranne i giochi da tavolo.")</f>
        <v>Apprezzo il jazz, tranne i giochi da tavolo.</v>
      </c>
    </row>
    <row r="1299">
      <c r="A1299" s="4">
        <v>1297.0</v>
      </c>
      <c r="B1299" s="5" t="s">
        <v>3898</v>
      </c>
      <c r="C1299" s="4">
        <v>0.0</v>
      </c>
      <c r="D1299" s="5" t="s">
        <v>3899</v>
      </c>
      <c r="E1299" s="5" t="s">
        <v>3900</v>
      </c>
      <c r="F1299" s="6" t="str">
        <f>IFERROR(__xludf.DUMMYFUNCTION("GOOGLETRANSLATE(D1299,""en"",""it"")"),"Mi piacciono i boardgames, tranne il jazz.")</f>
        <v>Mi piacciono i boardgames, tranne il jazz.</v>
      </c>
      <c r="G1299" s="6" t="str">
        <f>IFERROR(__xludf.DUMMYFUNCTION("GOOGLETRANSLATE(E1299,""fr"",""it"")"),"Apprezzo i giochi da tavolo tranne il jazz.")</f>
        <v>Apprezzo i giochi da tavolo tranne il jazz.</v>
      </c>
    </row>
    <row r="1300">
      <c r="A1300" s="4">
        <v>1298.0</v>
      </c>
      <c r="B1300" s="5" t="s">
        <v>3901</v>
      </c>
      <c r="C1300" s="4">
        <v>0.0</v>
      </c>
      <c r="D1300" s="5" t="s">
        <v>3902</v>
      </c>
      <c r="E1300" s="5" t="s">
        <v>3903</v>
      </c>
      <c r="F1300" s="6" t="str">
        <f>IFERROR(__xludf.DUMMYFUNCTION("GOOGLETRANSLATE(D1300,""en"",""it"")"),"Mi piace il prosciutto, un tipo interessante di pesce.")</f>
        <v>Mi piace il prosciutto, un tipo interessante di pesce.</v>
      </c>
      <c r="G1300" s="6" t="str">
        <f>IFERROR(__xludf.DUMMYFUNCTION("GOOGLETRANSLATE(E1300,""fr"",""it"")"),"Adoro il prosciutto, un tipo interessante di pesce.")</f>
        <v>Adoro il prosciutto, un tipo interessante di pesce.</v>
      </c>
    </row>
    <row r="1301">
      <c r="A1301" s="4">
        <v>1299.0</v>
      </c>
      <c r="B1301" s="5" t="s">
        <v>3904</v>
      </c>
      <c r="C1301" s="4">
        <v>0.0</v>
      </c>
      <c r="D1301" s="5" t="s">
        <v>3905</v>
      </c>
      <c r="E1301" s="5" t="s">
        <v>3906</v>
      </c>
      <c r="F1301" s="6" t="str">
        <f>IFERROR(__xludf.DUMMYFUNCTION("GOOGLETRANSLATE(D1301,""en"",""it"")"),"Mi piace il pesce, un tipo di prosciutto interessante.")</f>
        <v>Mi piace il pesce, un tipo di prosciutto interessante.</v>
      </c>
      <c r="G1301" s="6" t="str">
        <f>IFERROR(__xludf.DUMMYFUNCTION("GOOGLETRANSLATE(E1301,""fr"",""it"")"),"Amo il pesce, un tipo interessante di prosciutto.")</f>
        <v>Amo il pesce, un tipo interessante di prosciutto.</v>
      </c>
    </row>
    <row r="1302">
      <c r="A1302" s="4">
        <v>1300.0</v>
      </c>
      <c r="B1302" s="5" t="s">
        <v>3907</v>
      </c>
      <c r="C1302" s="4">
        <v>1.0</v>
      </c>
      <c r="D1302" s="5" t="s">
        <v>3908</v>
      </c>
      <c r="E1302" s="5" t="s">
        <v>3909</v>
      </c>
      <c r="F1302" s="6" t="str">
        <f>IFERROR(__xludf.DUMMYFUNCTION("GOOGLETRANSLATE(D1302,""en"",""it"")"),"Mi piace il prosciutto, un tipo interessante di maiale.")</f>
        <v>Mi piace il prosciutto, un tipo interessante di maiale.</v>
      </c>
      <c r="G1302" s="6" t="str">
        <f>IFERROR(__xludf.DUMMYFUNCTION("GOOGLETRANSLATE(E1302,""fr"",""it"")"),"Adoro il prosciutto, un tipo di maiale interessante.")</f>
        <v>Adoro il prosciutto, un tipo di maiale interessante.</v>
      </c>
    </row>
    <row r="1303">
      <c r="A1303" s="4">
        <v>1301.0</v>
      </c>
      <c r="B1303" s="5" t="s">
        <v>3910</v>
      </c>
      <c r="C1303" s="4">
        <v>0.0</v>
      </c>
      <c r="D1303" s="5" t="s">
        <v>3911</v>
      </c>
      <c r="E1303" s="5" t="s">
        <v>3912</v>
      </c>
      <c r="F1303" s="6" t="str">
        <f>IFERROR(__xludf.DUMMYFUNCTION("GOOGLETRANSLATE(D1303,""en"",""it"")"),"Mi piace il maiale, un tipo di prosciutto interessante.")</f>
        <v>Mi piace il maiale, un tipo di prosciutto interessante.</v>
      </c>
      <c r="G1303" s="6" t="str">
        <f>IFERROR(__xludf.DUMMYFUNCTION("GOOGLETRANSLATE(E1303,""fr"",""it"")"),"Amo il maiale, un tipo interessante di prosciutto.")</f>
        <v>Amo il maiale, un tipo interessante di prosciutto.</v>
      </c>
    </row>
    <row r="1304">
      <c r="A1304" s="4">
        <v>1302.0</v>
      </c>
      <c r="B1304" s="5" t="s">
        <v>3913</v>
      </c>
      <c r="C1304" s="4">
        <v>0.0</v>
      </c>
      <c r="D1304" s="5" t="s">
        <v>3914</v>
      </c>
      <c r="E1304" s="5" t="s">
        <v>3915</v>
      </c>
      <c r="F1304" s="6" t="str">
        <f>IFERROR(__xludf.DUMMYFUNCTION("GOOGLETRANSLATE(D1304,""en"",""it"")"),"Mi piace il maiale, un tipo interessante di pesce.")</f>
        <v>Mi piace il maiale, un tipo interessante di pesce.</v>
      </c>
      <c r="G1304" s="6" t="str">
        <f>IFERROR(__xludf.DUMMYFUNCTION("GOOGLETRANSLATE(E1304,""fr"",""it"")"),"Amo il maiale, un tipo interessante di pesce.")</f>
        <v>Amo il maiale, un tipo interessante di pesce.</v>
      </c>
    </row>
    <row r="1305">
      <c r="A1305" s="4">
        <v>1303.0</v>
      </c>
      <c r="B1305" s="5" t="s">
        <v>3916</v>
      </c>
      <c r="C1305" s="4">
        <v>0.0</v>
      </c>
      <c r="D1305" s="5" t="s">
        <v>3917</v>
      </c>
      <c r="E1305" s="5" t="s">
        <v>3918</v>
      </c>
      <c r="F1305" s="6" t="str">
        <f>IFERROR(__xludf.DUMMYFUNCTION("GOOGLETRANSLATE(D1305,""en"",""it"")"),"Mi piace il prosciutto, un tipo interessante di broccoli.")</f>
        <v>Mi piace il prosciutto, un tipo interessante di broccoli.</v>
      </c>
      <c r="G1305" s="6" t="str">
        <f>IFERROR(__xludf.DUMMYFUNCTION("GOOGLETRANSLATE(E1305,""fr"",""it"")"),"Adoro il prosciutto, un tipo interessante di broccoli.")</f>
        <v>Adoro il prosciutto, un tipo interessante di broccoli.</v>
      </c>
    </row>
    <row r="1306">
      <c r="A1306" s="4">
        <v>1304.0</v>
      </c>
      <c r="B1306" s="5" t="s">
        <v>3919</v>
      </c>
      <c r="C1306" s="4">
        <v>0.0</v>
      </c>
      <c r="D1306" s="5" t="s">
        <v>3920</v>
      </c>
      <c r="E1306" s="5" t="s">
        <v>3921</v>
      </c>
      <c r="F1306" s="6" t="str">
        <f>IFERROR(__xludf.DUMMYFUNCTION("GOOGLETRANSLATE(D1306,""en"",""it"")"),"Mi piacciono i broccoli, un tipo interessante di prosciutto.")</f>
        <v>Mi piacciono i broccoli, un tipo interessante di prosciutto.</v>
      </c>
      <c r="G1306" s="6" t="str">
        <f>IFERROR(__xludf.DUMMYFUNCTION("GOOGLETRANSLATE(E1306,""fr"",""it"")"),"Adoro i broccoli, un tipo interessante di prosciutto.")</f>
        <v>Adoro i broccoli, un tipo interessante di prosciutto.</v>
      </c>
    </row>
    <row r="1307">
      <c r="A1307" s="4">
        <v>1305.0</v>
      </c>
      <c r="B1307" s="5" t="s">
        <v>3922</v>
      </c>
      <c r="C1307" s="4">
        <v>0.0</v>
      </c>
      <c r="D1307" s="5" t="s">
        <v>3923</v>
      </c>
      <c r="E1307" s="5" t="s">
        <v>3924</v>
      </c>
      <c r="F1307" s="6" t="str">
        <f>IFERROR(__xludf.DUMMYFUNCTION("GOOGLETRANSLATE(D1307,""en"",""it"")"),"Mi piace il maiale, un tipo interessante di broccoli.")</f>
        <v>Mi piace il maiale, un tipo interessante di broccoli.</v>
      </c>
      <c r="G1307" s="6" t="str">
        <f>IFERROR(__xludf.DUMMYFUNCTION("GOOGLETRANSLATE(E1307,""fr"",""it"")"),"Amo il maiale, un tipo interessante di broccoli.")</f>
        <v>Amo il maiale, un tipo interessante di broccoli.</v>
      </c>
    </row>
    <row r="1308">
      <c r="A1308" s="4">
        <v>1306.0</v>
      </c>
      <c r="B1308" s="5" t="s">
        <v>3925</v>
      </c>
      <c r="C1308" s="4">
        <v>0.0</v>
      </c>
      <c r="D1308" s="5" t="s">
        <v>3926</v>
      </c>
      <c r="E1308" s="5" t="s">
        <v>3927</v>
      </c>
      <c r="F1308" s="6" t="str">
        <f>IFERROR(__xludf.DUMMYFUNCTION("GOOGLETRANSLATE(D1308,""en"",""it"")"),"Mi piace il prosciutto, un tipo interessante di mele.")</f>
        <v>Mi piace il prosciutto, un tipo interessante di mele.</v>
      </c>
      <c r="G1308" s="6" t="str">
        <f>IFERROR(__xludf.DUMMYFUNCTION("GOOGLETRANSLATE(E1308,""fr"",""it"")"),"Adoro il prosciutto, un tipo interessante di mele.")</f>
        <v>Adoro il prosciutto, un tipo interessante di mele.</v>
      </c>
    </row>
    <row r="1309">
      <c r="A1309" s="4">
        <v>1307.0</v>
      </c>
      <c r="B1309" s="5" t="s">
        <v>3928</v>
      </c>
      <c r="C1309" s="4">
        <v>0.0</v>
      </c>
      <c r="D1309" s="5" t="s">
        <v>3929</v>
      </c>
      <c r="E1309" s="5" t="s">
        <v>3930</v>
      </c>
      <c r="F1309" s="6" t="str">
        <f>IFERROR(__xludf.DUMMYFUNCTION("GOOGLETRANSLATE(D1309,""en"",""it"")"),"Mi piacciono le mele, un tipo di prosciutto interessante.")</f>
        <v>Mi piacciono le mele, un tipo di prosciutto interessante.</v>
      </c>
      <c r="G1309" s="6" t="str">
        <f>IFERROR(__xludf.DUMMYFUNCTION("GOOGLETRANSLATE(E1309,""fr"",""it"")"),"Amo le mele, un tipo di prosciutto interessante.")</f>
        <v>Amo le mele, un tipo di prosciutto interessante.</v>
      </c>
    </row>
    <row r="1310">
      <c r="A1310" s="4">
        <v>1308.0</v>
      </c>
      <c r="B1310" s="5" t="s">
        <v>3931</v>
      </c>
      <c r="C1310" s="4">
        <v>0.0</v>
      </c>
      <c r="D1310" s="5" t="s">
        <v>3932</v>
      </c>
      <c r="E1310" s="5" t="s">
        <v>3933</v>
      </c>
      <c r="F1310" s="6" t="str">
        <f>IFERROR(__xludf.DUMMYFUNCTION("GOOGLETRANSLATE(D1310,""en"",""it"")"),"Mi piace il maiale, un tipo interessante di mela.")</f>
        <v>Mi piace il maiale, un tipo interessante di mela.</v>
      </c>
      <c r="G1310" s="6" t="str">
        <f>IFERROR(__xludf.DUMMYFUNCTION("GOOGLETRANSLATE(E1310,""fr"",""it"")"),"Amo il maiale, un tipo interessante di mela.")</f>
        <v>Amo il maiale, un tipo interessante di mela.</v>
      </c>
    </row>
    <row r="1311">
      <c r="A1311" s="4">
        <v>1309.0</v>
      </c>
      <c r="B1311" s="5" t="s">
        <v>3934</v>
      </c>
      <c r="C1311" s="4">
        <v>0.0</v>
      </c>
      <c r="D1311" s="5" t="s">
        <v>3935</v>
      </c>
      <c r="E1311" s="5" t="s">
        <v>3936</v>
      </c>
      <c r="F1311" s="6" t="str">
        <f>IFERROR(__xludf.DUMMYFUNCTION("GOOGLETRANSLATE(D1311,""en"",""it"")"),"Mi piace il prosciutto, un tipo interessante di carote.")</f>
        <v>Mi piace il prosciutto, un tipo interessante di carote.</v>
      </c>
      <c r="G1311" s="6" t="str">
        <f>IFERROR(__xludf.DUMMYFUNCTION("GOOGLETRANSLATE(E1311,""fr"",""it"")"),"Adoro il prosciutto, un tipo interessante di carote.")</f>
        <v>Adoro il prosciutto, un tipo interessante di carote.</v>
      </c>
    </row>
    <row r="1312">
      <c r="A1312" s="4">
        <v>1310.0</v>
      </c>
      <c r="B1312" s="5" t="s">
        <v>3937</v>
      </c>
      <c r="C1312" s="4">
        <v>0.0</v>
      </c>
      <c r="D1312" s="5" t="s">
        <v>3938</v>
      </c>
      <c r="E1312" s="5" t="s">
        <v>3939</v>
      </c>
      <c r="F1312" s="6" t="str">
        <f>IFERROR(__xludf.DUMMYFUNCTION("GOOGLETRANSLATE(D1312,""en"",""it"")"),"Mi piacciono le carote, un tipo interessante di prosciutto.")</f>
        <v>Mi piacciono le carote, un tipo interessante di prosciutto.</v>
      </c>
      <c r="G1312" s="6" t="str">
        <f>IFERROR(__xludf.DUMMYFUNCTION("GOOGLETRANSLATE(E1312,""fr"",""it"")"),"Adoro le carote, un tipo di prosciutto interessante.")</f>
        <v>Adoro le carote, un tipo di prosciutto interessante.</v>
      </c>
    </row>
    <row r="1313">
      <c r="A1313" s="4">
        <v>1311.0</v>
      </c>
      <c r="B1313" s="5" t="s">
        <v>3940</v>
      </c>
      <c r="C1313" s="4">
        <v>0.0</v>
      </c>
      <c r="D1313" s="5" t="s">
        <v>3941</v>
      </c>
      <c r="E1313" s="5" t="s">
        <v>3942</v>
      </c>
      <c r="F1313" s="6" t="str">
        <f>IFERROR(__xludf.DUMMYFUNCTION("GOOGLETRANSLATE(D1313,""en"",""it"")"),"Mi piace il maiale, un tipo interessante di carota.")</f>
        <v>Mi piace il maiale, un tipo interessante di carota.</v>
      </c>
      <c r="G1313" s="6" t="str">
        <f>IFERROR(__xludf.DUMMYFUNCTION("GOOGLETRANSLATE(E1313,""fr"",""it"")"),"Amo il maiale, un tipo interessante di carota.")</f>
        <v>Amo il maiale, un tipo interessante di carota.</v>
      </c>
    </row>
    <row r="1314">
      <c r="A1314" s="4">
        <v>1312.0</v>
      </c>
      <c r="B1314" s="5" t="s">
        <v>3943</v>
      </c>
      <c r="C1314" s="4">
        <v>0.0</v>
      </c>
      <c r="D1314" s="5" t="s">
        <v>3944</v>
      </c>
      <c r="E1314" s="5" t="s">
        <v>3945</v>
      </c>
      <c r="F1314" s="6" t="str">
        <f>IFERROR(__xludf.DUMMYFUNCTION("GOOGLETRANSLATE(D1314,""en"",""it"")"),"Mi piace il jazz, tranne il cibo.")</f>
        <v>Mi piace il jazz, tranne il cibo.</v>
      </c>
      <c r="G1314" s="6" t="str">
        <f>IFERROR(__xludf.DUMMYFUNCTION("GOOGLETRANSLATE(E1314,""fr"",""it"")"),"Apprezzo il jazz, tranne il cibo.")</f>
        <v>Apprezzo il jazz, tranne il cibo.</v>
      </c>
    </row>
    <row r="1315">
      <c r="A1315" s="4">
        <v>1313.0</v>
      </c>
      <c r="B1315" s="5" t="s">
        <v>3946</v>
      </c>
      <c r="C1315" s="4">
        <v>0.0</v>
      </c>
      <c r="D1315" s="5" t="s">
        <v>3947</v>
      </c>
      <c r="E1315" s="5" t="s">
        <v>3948</v>
      </c>
      <c r="F1315" s="6" t="str">
        <f>IFERROR(__xludf.DUMMYFUNCTION("GOOGLETRANSLATE(D1315,""en"",""it"")"),"Mi piace Prosciutto, un tipo interessante di pesci.")</f>
        <v>Mi piace Prosciutto, un tipo interessante di pesci.</v>
      </c>
      <c r="G1315" s="6" t="str">
        <f>IFERROR(__xludf.DUMMYFUNCTION("GOOGLETRANSLATE(E1315,""fr"",""it"")"),"Adoro il prosciutto, un tipo interessante di pesce.")</f>
        <v>Adoro il prosciutto, un tipo interessante di pesce.</v>
      </c>
    </row>
    <row r="1316">
      <c r="A1316" s="4">
        <v>1314.0</v>
      </c>
      <c r="B1316" s="5" t="s">
        <v>3949</v>
      </c>
      <c r="C1316" s="4">
        <v>0.0</v>
      </c>
      <c r="D1316" s="5" t="s">
        <v>3950</v>
      </c>
      <c r="E1316" s="5" t="s">
        <v>3951</v>
      </c>
      <c r="F1316" s="6" t="str">
        <f>IFERROR(__xludf.DUMMYFUNCTION("GOOGLETRANSLATE(D1316,""en"",""it"")"),"Mi piace il pesce, un tipo interessante di prosciutto.")</f>
        <v>Mi piace il pesce, un tipo interessante di prosciutto.</v>
      </c>
      <c r="G1316" s="6" t="str">
        <f>IFERROR(__xludf.DUMMYFUNCTION("GOOGLETRANSLATE(E1316,""fr"",""it"")"),"Amo il pesce, un tipo interessante di prosciutto.")</f>
        <v>Amo il pesce, un tipo interessante di prosciutto.</v>
      </c>
    </row>
    <row r="1317">
      <c r="A1317" s="4">
        <v>1315.0</v>
      </c>
      <c r="B1317" s="5" t="s">
        <v>3952</v>
      </c>
      <c r="C1317" s="4">
        <v>1.0</v>
      </c>
      <c r="D1317" s="5" t="s">
        <v>3953</v>
      </c>
      <c r="E1317" s="5" t="s">
        <v>3954</v>
      </c>
      <c r="F1317" s="6" t="str">
        <f>IFERROR(__xludf.DUMMYFUNCTION("GOOGLETRANSLATE(D1317,""en"",""it"")"),"Mi piace Prosciutto, un tipo interessante di maiale.")</f>
        <v>Mi piace Prosciutto, un tipo interessante di maiale.</v>
      </c>
      <c r="G1317" s="6" t="str">
        <f>IFERROR(__xludf.DUMMYFUNCTION("GOOGLETRANSLATE(E1317,""fr"",""it"")"),"Adoro il prosciutto, un tipo interessante di maiale.")</f>
        <v>Adoro il prosciutto, un tipo interessante di maiale.</v>
      </c>
    </row>
    <row r="1318">
      <c r="A1318" s="4">
        <v>1316.0</v>
      </c>
      <c r="B1318" s="5" t="s">
        <v>3955</v>
      </c>
      <c r="C1318" s="4">
        <v>0.0</v>
      </c>
      <c r="D1318" s="5" t="s">
        <v>3956</v>
      </c>
      <c r="E1318" s="5" t="s">
        <v>3957</v>
      </c>
      <c r="F1318" s="6" t="str">
        <f>IFERROR(__xludf.DUMMYFUNCTION("GOOGLETRANSLATE(D1318,""en"",""it"")"),"Mi piace il maiale, un tipo interessante di prosciutto.")</f>
        <v>Mi piace il maiale, un tipo interessante di prosciutto.</v>
      </c>
      <c r="G1318" s="6" t="str">
        <f>IFERROR(__xludf.DUMMYFUNCTION("GOOGLETRANSLATE(E1318,""fr"",""it"")"),"Amo il maiale, un tipo interessante di prosciutto.")</f>
        <v>Amo il maiale, un tipo interessante di prosciutto.</v>
      </c>
    </row>
    <row r="1319">
      <c r="A1319" s="4">
        <v>1317.0</v>
      </c>
      <c r="B1319" s="5" t="s">
        <v>3958</v>
      </c>
      <c r="C1319" s="4">
        <v>0.0</v>
      </c>
      <c r="D1319" s="5" t="s">
        <v>3959</v>
      </c>
      <c r="E1319" s="5" t="s">
        <v>3960</v>
      </c>
      <c r="F1319" s="6" t="str">
        <f>IFERROR(__xludf.DUMMYFUNCTION("GOOGLETRANSLATE(D1319,""en"",""it"")"),"Mi piace Prosciutto, un tipo interessante di broccoli.")</f>
        <v>Mi piace Prosciutto, un tipo interessante di broccoli.</v>
      </c>
      <c r="G1319" s="6" t="str">
        <f>IFERROR(__xludf.DUMMYFUNCTION("GOOGLETRANSLATE(E1319,""fr"",""it"")"),"Adoro il prosciutto, un tipo interessante di broccoli.")</f>
        <v>Adoro il prosciutto, un tipo interessante di broccoli.</v>
      </c>
    </row>
    <row r="1320">
      <c r="A1320" s="4">
        <v>1318.0</v>
      </c>
      <c r="B1320" s="5" t="s">
        <v>3961</v>
      </c>
      <c r="C1320" s="4">
        <v>0.0</v>
      </c>
      <c r="D1320" s="5" t="s">
        <v>3962</v>
      </c>
      <c r="E1320" s="5" t="s">
        <v>3963</v>
      </c>
      <c r="F1320" s="6" t="str">
        <f>IFERROR(__xludf.DUMMYFUNCTION("GOOGLETRANSLATE(D1320,""en"",""it"")"),"Mi piacciono i broccoli, un tipo interessante di prosciutto.")</f>
        <v>Mi piacciono i broccoli, un tipo interessante di prosciutto.</v>
      </c>
      <c r="G1320" s="6" t="str">
        <f>IFERROR(__xludf.DUMMYFUNCTION("GOOGLETRANSLATE(E1320,""fr"",""it"")"),"Adoro i broccoli, un tipo interessante di prosciutto.")</f>
        <v>Adoro i broccoli, un tipo interessante di prosciutto.</v>
      </c>
    </row>
    <row r="1321">
      <c r="A1321" s="4">
        <v>1319.0</v>
      </c>
      <c r="B1321" s="5" t="s">
        <v>3964</v>
      </c>
      <c r="C1321" s="4">
        <v>0.0</v>
      </c>
      <c r="D1321" s="5" t="s">
        <v>3965</v>
      </c>
      <c r="E1321" s="5" t="s">
        <v>3966</v>
      </c>
      <c r="F1321" s="6" t="str">
        <f>IFERROR(__xludf.DUMMYFUNCTION("GOOGLETRANSLATE(D1321,""en"",""it"")"),"Mi piace il cibo, tranne il jazz.")</f>
        <v>Mi piace il cibo, tranne il jazz.</v>
      </c>
      <c r="G1321" s="6" t="str">
        <f>IFERROR(__xludf.DUMMYFUNCTION("GOOGLETRANSLATE(E1321,""fr"",""it"")"),"Apprezzo il cibo, tranne il jazz.")</f>
        <v>Apprezzo il cibo, tranne il jazz.</v>
      </c>
    </row>
    <row r="1322">
      <c r="A1322" s="4">
        <v>1320.0</v>
      </c>
      <c r="B1322" s="5" t="s">
        <v>3967</v>
      </c>
      <c r="C1322" s="4">
        <v>0.0</v>
      </c>
      <c r="D1322" s="5" t="s">
        <v>3968</v>
      </c>
      <c r="E1322" s="5" t="s">
        <v>3969</v>
      </c>
      <c r="F1322" s="6" t="str">
        <f>IFERROR(__xludf.DUMMYFUNCTION("GOOGLETRANSLATE(D1322,""en"",""it"")"),"Mi piace Prosciutto, un tipo interessante di mele.")</f>
        <v>Mi piace Prosciutto, un tipo interessante di mele.</v>
      </c>
      <c r="G1322" s="6" t="str">
        <f>IFERROR(__xludf.DUMMYFUNCTION("GOOGLETRANSLATE(E1322,""fr"",""it"")"),"Adoro il prosciutto, un tipo interessante di mele.")</f>
        <v>Adoro il prosciutto, un tipo interessante di mele.</v>
      </c>
    </row>
    <row r="1323">
      <c r="A1323" s="4">
        <v>1321.0</v>
      </c>
      <c r="B1323" s="5" t="s">
        <v>3970</v>
      </c>
      <c r="C1323" s="4">
        <v>0.0</v>
      </c>
      <c r="D1323" s="5" t="s">
        <v>3971</v>
      </c>
      <c r="E1323" s="5" t="s">
        <v>3972</v>
      </c>
      <c r="F1323" s="6" t="str">
        <f>IFERROR(__xludf.DUMMYFUNCTION("GOOGLETRANSLATE(D1323,""en"",""it"")"),"Mi piacciono le mele, un tipo interessante di prosciutto.")</f>
        <v>Mi piacciono le mele, un tipo interessante di prosciutto.</v>
      </c>
      <c r="G1323" s="6" t="str">
        <f>IFERROR(__xludf.DUMMYFUNCTION("GOOGLETRANSLATE(E1323,""fr"",""it"")"),"Amo le mele, un tipo interessante di prosciutto.")</f>
        <v>Amo le mele, un tipo interessante di prosciutto.</v>
      </c>
    </row>
    <row r="1324">
      <c r="A1324" s="4">
        <v>1322.0</v>
      </c>
      <c r="B1324" s="5" t="s">
        <v>3973</v>
      </c>
      <c r="C1324" s="4">
        <v>0.0</v>
      </c>
      <c r="D1324" s="5" t="s">
        <v>3974</v>
      </c>
      <c r="E1324" s="5" t="s">
        <v>3975</v>
      </c>
      <c r="F1324" s="6" t="str">
        <f>IFERROR(__xludf.DUMMYFUNCTION("GOOGLETRANSLATE(D1324,""en"",""it"")"),"Mi piace Prosciutto, un tipo interessante di carote.")</f>
        <v>Mi piace Prosciutto, un tipo interessante di carote.</v>
      </c>
      <c r="G1324" s="6" t="str">
        <f>IFERROR(__xludf.DUMMYFUNCTION("GOOGLETRANSLATE(E1324,""fr"",""it"")"),"Adoro il prosciutto, un tipo interessante di carote.")</f>
        <v>Adoro il prosciutto, un tipo interessante di carote.</v>
      </c>
    </row>
    <row r="1325">
      <c r="A1325" s="4">
        <v>1323.0</v>
      </c>
      <c r="B1325" s="5" t="s">
        <v>3976</v>
      </c>
      <c r="C1325" s="4">
        <v>0.0</v>
      </c>
      <c r="D1325" s="5" t="s">
        <v>3977</v>
      </c>
      <c r="E1325" s="5" t="s">
        <v>3978</v>
      </c>
      <c r="F1325" s="6" t="str">
        <f>IFERROR(__xludf.DUMMYFUNCTION("GOOGLETRANSLATE(D1325,""en"",""it"")"),"Mi piacciono le carote, un tipo interessante di prosciutto.")</f>
        <v>Mi piacciono le carote, un tipo interessante di prosciutto.</v>
      </c>
      <c r="G1325" s="6" t="str">
        <f>IFERROR(__xludf.DUMMYFUNCTION("GOOGLETRANSLATE(E1325,""fr"",""it"")"),"Adoro le carote, un tipo interessante di prosciutto.")</f>
        <v>Adoro le carote, un tipo interessante di prosciutto.</v>
      </c>
    </row>
    <row r="1326">
      <c r="A1326" s="4">
        <v>1324.0</v>
      </c>
      <c r="B1326" s="5" t="s">
        <v>3979</v>
      </c>
      <c r="C1326" s="4">
        <v>0.0</v>
      </c>
      <c r="D1326" s="5" t="s">
        <v>3980</v>
      </c>
      <c r="E1326" s="5" t="s">
        <v>3981</v>
      </c>
      <c r="F1326" s="6" t="str">
        <f>IFERROR(__xludf.DUMMYFUNCTION("GOOGLETRANSLATE(D1326,""en"",""it"")"),"Mi piace la pancetta, un tipo di pesce interessante.")</f>
        <v>Mi piace la pancetta, un tipo di pesce interessante.</v>
      </c>
      <c r="G1326" s="6" t="str">
        <f>IFERROR(__xludf.DUMMYFUNCTION("GOOGLETRANSLATE(E1326,""fr"",""it"")"),"Adoro la pancetta, un tipo interessante di pesce.")</f>
        <v>Adoro la pancetta, un tipo interessante di pesce.</v>
      </c>
    </row>
    <row r="1327">
      <c r="A1327" s="4">
        <v>1325.0</v>
      </c>
      <c r="B1327" s="5" t="s">
        <v>3982</v>
      </c>
      <c r="C1327" s="4">
        <v>0.0</v>
      </c>
      <c r="D1327" s="5" t="s">
        <v>3983</v>
      </c>
      <c r="E1327" s="5" t="s">
        <v>3984</v>
      </c>
      <c r="F1327" s="6" t="str">
        <f>IFERROR(__xludf.DUMMYFUNCTION("GOOGLETRANSLATE(D1327,""en"",""it"")"),"Mi piace il pesce, un tipo interessante di pancetta.")</f>
        <v>Mi piace il pesce, un tipo interessante di pancetta.</v>
      </c>
      <c r="G1327" s="6" t="str">
        <f>IFERROR(__xludf.DUMMYFUNCTION("GOOGLETRANSLATE(E1327,""fr"",""it"")"),"Amo il pesce, un tipo interessante di pancetta.")</f>
        <v>Amo il pesce, un tipo interessante di pancetta.</v>
      </c>
    </row>
    <row r="1328">
      <c r="A1328" s="4">
        <v>1326.0</v>
      </c>
      <c r="B1328" s="5" t="s">
        <v>3985</v>
      </c>
      <c r="C1328" s="4">
        <v>1.0</v>
      </c>
      <c r="D1328" s="5" t="s">
        <v>3986</v>
      </c>
      <c r="E1328" s="5" t="s">
        <v>3987</v>
      </c>
      <c r="F1328" s="6" t="str">
        <f>IFERROR(__xludf.DUMMYFUNCTION("GOOGLETRANSLATE(D1328,""en"",""it"")"),"Mi piace la pancetta, un tipo interessante di maiale.")</f>
        <v>Mi piace la pancetta, un tipo interessante di maiale.</v>
      </c>
      <c r="G1328" s="6" t="str">
        <f>IFERROR(__xludf.DUMMYFUNCTION("GOOGLETRANSLATE(E1328,""fr"",""it"")"),"Adoro la pancetta, un tipo interessante di maiale.")</f>
        <v>Adoro la pancetta, un tipo interessante di maiale.</v>
      </c>
    </row>
    <row r="1329">
      <c r="A1329" s="4">
        <v>1327.0</v>
      </c>
      <c r="B1329" s="5" t="s">
        <v>3988</v>
      </c>
      <c r="C1329" s="4">
        <v>0.0</v>
      </c>
      <c r="D1329" s="5" t="s">
        <v>3989</v>
      </c>
      <c r="E1329" s="5" t="s">
        <v>3990</v>
      </c>
      <c r="F1329" s="6" t="str">
        <f>IFERROR(__xludf.DUMMYFUNCTION("GOOGLETRANSLATE(D1329,""en"",""it"")"),"Mi piace il maiale, un tipo interessante di pancetta.")</f>
        <v>Mi piace il maiale, un tipo interessante di pancetta.</v>
      </c>
      <c r="G1329" s="6" t="str">
        <f>IFERROR(__xludf.DUMMYFUNCTION("GOOGLETRANSLATE(E1329,""fr"",""it"")"),"Amo il maiale, un tipo interessante di pancetta.")</f>
        <v>Amo il maiale, un tipo interessante di pancetta.</v>
      </c>
    </row>
    <row r="1330">
      <c r="A1330" s="4">
        <v>1328.0</v>
      </c>
      <c r="B1330" s="5" t="s">
        <v>3991</v>
      </c>
      <c r="C1330" s="4">
        <v>0.0</v>
      </c>
      <c r="D1330" s="5" t="s">
        <v>3992</v>
      </c>
      <c r="E1330" s="5" t="s">
        <v>3993</v>
      </c>
      <c r="F1330" s="6" t="str">
        <f>IFERROR(__xludf.DUMMYFUNCTION("GOOGLETRANSLATE(D1330,""en"",""it"")"),"Mi piace la pancetta, un tipo interessante di broccoli.")</f>
        <v>Mi piace la pancetta, un tipo interessante di broccoli.</v>
      </c>
      <c r="G1330" s="6" t="str">
        <f>IFERROR(__xludf.DUMMYFUNCTION("GOOGLETRANSLATE(E1330,""fr"",""it"")"),"Adoro la pancetta, un tipo interessante di broccoli.")</f>
        <v>Adoro la pancetta, un tipo interessante di broccoli.</v>
      </c>
    </row>
    <row r="1331">
      <c r="A1331" s="4">
        <v>1329.0</v>
      </c>
      <c r="B1331" s="5" t="s">
        <v>3994</v>
      </c>
      <c r="C1331" s="4">
        <v>0.0</v>
      </c>
      <c r="D1331" s="5" t="s">
        <v>3995</v>
      </c>
      <c r="E1331" s="5" t="s">
        <v>3996</v>
      </c>
      <c r="F1331" s="6" t="str">
        <f>IFERROR(__xludf.DUMMYFUNCTION("GOOGLETRANSLATE(D1331,""en"",""it"")"),"Mi piacciono i broccoli, un tipo interessante di pancetta.")</f>
        <v>Mi piacciono i broccoli, un tipo interessante di pancetta.</v>
      </c>
      <c r="G1331" s="6" t="str">
        <f>IFERROR(__xludf.DUMMYFUNCTION("GOOGLETRANSLATE(E1331,""fr"",""it"")"),"Adoro i broccoli, un tipo interessante di pancetta.")</f>
        <v>Adoro i broccoli, un tipo interessante di pancetta.</v>
      </c>
    </row>
    <row r="1332">
      <c r="A1332" s="4">
        <v>1330.0</v>
      </c>
      <c r="B1332" s="5" t="s">
        <v>3997</v>
      </c>
      <c r="C1332" s="4">
        <v>0.0</v>
      </c>
      <c r="D1332" s="5" t="s">
        <v>3998</v>
      </c>
      <c r="E1332" s="5" t="s">
        <v>3999</v>
      </c>
      <c r="F1332" s="6" t="str">
        <f>IFERROR(__xludf.DUMMYFUNCTION("GOOGLETRANSLATE(D1332,""en"",""it"")"),"Mi piace il jazz, tranne i gioielli.")</f>
        <v>Mi piace il jazz, tranne i gioielli.</v>
      </c>
      <c r="G1332" s="6" t="str">
        <f>IFERROR(__xludf.DUMMYFUNCTION("GOOGLETRANSLATE(E1332,""fr"",""it"")"),"Apprezzo il jazz, tranne i gioielli.")</f>
        <v>Apprezzo il jazz, tranne i gioielli.</v>
      </c>
    </row>
    <row r="1333">
      <c r="A1333" s="4">
        <v>1331.0</v>
      </c>
      <c r="B1333" s="5" t="s">
        <v>4000</v>
      </c>
      <c r="C1333" s="4">
        <v>0.0</v>
      </c>
      <c r="D1333" s="5" t="s">
        <v>4001</v>
      </c>
      <c r="E1333" s="5" t="s">
        <v>4002</v>
      </c>
      <c r="F1333" s="6" t="str">
        <f>IFERROR(__xludf.DUMMYFUNCTION("GOOGLETRANSLATE(D1333,""en"",""it"")"),"Mi piace la pancetta, un tipo interessante di mele.")</f>
        <v>Mi piace la pancetta, un tipo interessante di mele.</v>
      </c>
      <c r="G1333" s="6" t="str">
        <f>IFERROR(__xludf.DUMMYFUNCTION("GOOGLETRANSLATE(E1333,""fr"",""it"")"),"Adoro la pancetta, un tipo interessante di mele.")</f>
        <v>Adoro la pancetta, un tipo interessante di mele.</v>
      </c>
    </row>
    <row r="1334">
      <c r="A1334" s="4">
        <v>1332.0</v>
      </c>
      <c r="B1334" s="5" t="s">
        <v>4003</v>
      </c>
      <c r="C1334" s="4">
        <v>0.0</v>
      </c>
      <c r="D1334" s="5" t="s">
        <v>4004</v>
      </c>
      <c r="E1334" s="5" t="s">
        <v>4005</v>
      </c>
      <c r="F1334" s="6" t="str">
        <f>IFERROR(__xludf.DUMMYFUNCTION("GOOGLETRANSLATE(D1334,""en"",""it"")"),"Mi piacciono le mele, un tipo interessante di pancetta.")</f>
        <v>Mi piacciono le mele, un tipo interessante di pancetta.</v>
      </c>
      <c r="G1334" s="6" t="str">
        <f>IFERROR(__xludf.DUMMYFUNCTION("GOOGLETRANSLATE(E1334,""fr"",""it"")"),"Adoro le mele, un tipo interessante di pancetta.")</f>
        <v>Adoro le mele, un tipo interessante di pancetta.</v>
      </c>
    </row>
    <row r="1335">
      <c r="A1335" s="4">
        <v>1333.0</v>
      </c>
      <c r="B1335" s="5" t="s">
        <v>4006</v>
      </c>
      <c r="C1335" s="4">
        <v>0.0</v>
      </c>
      <c r="D1335" s="5" t="s">
        <v>4007</v>
      </c>
      <c r="E1335" s="5" t="s">
        <v>4008</v>
      </c>
      <c r="F1335" s="6" t="str">
        <f>IFERROR(__xludf.DUMMYFUNCTION("GOOGLETRANSLATE(D1335,""en"",""it"")"),"Mi piace la pancetta, un tipo interessante di carote.")</f>
        <v>Mi piace la pancetta, un tipo interessante di carote.</v>
      </c>
      <c r="G1335" s="6" t="str">
        <f>IFERROR(__xludf.DUMMYFUNCTION("GOOGLETRANSLATE(E1335,""fr"",""it"")"),"Adoro la pancetta, un tipo interessante di carote.")</f>
        <v>Adoro la pancetta, un tipo interessante di carote.</v>
      </c>
    </row>
    <row r="1336">
      <c r="A1336" s="4">
        <v>1334.0</v>
      </c>
      <c r="B1336" s="5" t="s">
        <v>4009</v>
      </c>
      <c r="C1336" s="4">
        <v>0.0</v>
      </c>
      <c r="D1336" s="5" t="s">
        <v>4010</v>
      </c>
      <c r="E1336" s="5" t="s">
        <v>4011</v>
      </c>
      <c r="F1336" s="6" t="str">
        <f>IFERROR(__xludf.DUMMYFUNCTION("GOOGLETRANSLATE(D1336,""en"",""it"")"),"Mi piacciono le carote, un tipo interessante di pancetta.")</f>
        <v>Mi piacciono le carote, un tipo interessante di pancetta.</v>
      </c>
      <c r="G1336" s="6" t="str">
        <f>IFERROR(__xludf.DUMMYFUNCTION("GOOGLETRANSLATE(E1336,""fr"",""it"")"),"Adoro le carote, un tipo interessante di pancetta.")</f>
        <v>Adoro le carote, un tipo interessante di pancetta.</v>
      </c>
    </row>
    <row r="1337">
      <c r="A1337" s="4">
        <v>1335.0</v>
      </c>
      <c r="B1337" s="5" t="s">
        <v>4012</v>
      </c>
      <c r="C1337" s="4">
        <v>0.0</v>
      </c>
      <c r="D1337" s="5" t="s">
        <v>4013</v>
      </c>
      <c r="E1337" s="5" t="s">
        <v>4014</v>
      </c>
      <c r="F1337" s="6" t="str">
        <f>IFERROR(__xludf.DUMMYFUNCTION("GOOGLETRANSLATE(D1337,""en"",""it"")"),"Mi piacciono i gioielli, tranne il jazz.")</f>
        <v>Mi piacciono i gioielli, tranne il jazz.</v>
      </c>
      <c r="G1337" s="6" t="str">
        <f>IFERROR(__xludf.DUMMYFUNCTION("GOOGLETRANSLATE(E1337,""fr"",""it"")"),"Apprezzo i gioielli, tranne il jazz.")</f>
        <v>Apprezzo i gioielli, tranne il jazz.</v>
      </c>
    </row>
    <row r="1338">
      <c r="A1338" s="4">
        <v>1336.0</v>
      </c>
      <c r="B1338" s="5" t="s">
        <v>4015</v>
      </c>
      <c r="C1338" s="4">
        <v>0.0</v>
      </c>
      <c r="D1338" s="5" t="s">
        <v>4016</v>
      </c>
      <c r="E1338" s="5" t="s">
        <v>4017</v>
      </c>
      <c r="F1338" s="6" t="str">
        <f>IFERROR(__xludf.DUMMYFUNCTION("GOOGLETRANSLATE(D1338,""en"",""it"")"),"Mi piace il lardo, un tipo interessante di pesce.")</f>
        <v>Mi piace il lardo, un tipo interessante di pesce.</v>
      </c>
      <c r="G1338" s="6" t="str">
        <f>IFERROR(__xludf.DUMMYFUNCTION("GOOGLETRANSLATE(E1338,""fr"",""it"")"),"Amo la pancetta, un tipo interessante di pesce.")</f>
        <v>Amo la pancetta, un tipo interessante di pesce.</v>
      </c>
    </row>
    <row r="1339">
      <c r="A1339" s="4">
        <v>1337.0</v>
      </c>
      <c r="B1339" s="5" t="s">
        <v>4018</v>
      </c>
      <c r="C1339" s="4">
        <v>0.0</v>
      </c>
      <c r="D1339" s="5" t="s">
        <v>4019</v>
      </c>
      <c r="E1339" s="5" t="s">
        <v>4020</v>
      </c>
      <c r="F1339" s="6" t="str">
        <f>IFERROR(__xludf.DUMMYFUNCTION("GOOGLETRANSLATE(D1339,""en"",""it"")"),"Mi piace il pesce, un tipo interessante di lardo.")</f>
        <v>Mi piace il pesce, un tipo interessante di lardo.</v>
      </c>
      <c r="G1339" s="6" t="str">
        <f>IFERROR(__xludf.DUMMYFUNCTION("GOOGLETRANSLATE(E1339,""fr"",""it"")"),"Amo il pesce, un tipo interessante di pancetta.")</f>
        <v>Amo il pesce, un tipo interessante di pancetta.</v>
      </c>
    </row>
    <row r="1340">
      <c r="A1340" s="4">
        <v>1338.0</v>
      </c>
      <c r="B1340" s="5" t="s">
        <v>4021</v>
      </c>
      <c r="C1340" s="4">
        <v>1.0</v>
      </c>
      <c r="D1340" s="5" t="s">
        <v>4022</v>
      </c>
      <c r="E1340" s="5" t="s">
        <v>4023</v>
      </c>
      <c r="F1340" s="6" t="str">
        <f>IFERROR(__xludf.DUMMYFUNCTION("GOOGLETRANSLATE(D1340,""en"",""it"")"),"Mi piace il lardo, un tipo interessante di maiale.")</f>
        <v>Mi piace il lardo, un tipo interessante di maiale.</v>
      </c>
      <c r="G1340" s="6" t="str">
        <f>IFERROR(__xludf.DUMMYFUNCTION("GOOGLETRANSLATE(E1340,""fr"",""it"")"),"Amo la pancetta, un tipo interessante di maiale.")</f>
        <v>Amo la pancetta, un tipo interessante di maiale.</v>
      </c>
    </row>
    <row r="1341">
      <c r="A1341" s="4">
        <v>1339.0</v>
      </c>
      <c r="B1341" s="5" t="s">
        <v>4024</v>
      </c>
      <c r="C1341" s="4">
        <v>0.0</v>
      </c>
      <c r="D1341" s="5" t="s">
        <v>4025</v>
      </c>
      <c r="E1341" s="5" t="s">
        <v>4026</v>
      </c>
      <c r="F1341" s="6" t="str">
        <f>IFERROR(__xludf.DUMMYFUNCTION("GOOGLETRANSLATE(D1341,""en"",""it"")"),"Mi piace il maiale, un tipo interessante di lardo.")</f>
        <v>Mi piace il maiale, un tipo interessante di lardo.</v>
      </c>
      <c r="G1341" s="6" t="str">
        <f>IFERROR(__xludf.DUMMYFUNCTION("GOOGLETRANSLATE(E1341,""fr"",""it"")"),"Amo il maiale, un tipo interessante di pancetta.")</f>
        <v>Amo il maiale, un tipo interessante di pancetta.</v>
      </c>
    </row>
    <row r="1342">
      <c r="A1342" s="4">
        <v>1340.0</v>
      </c>
      <c r="B1342" s="5" t="s">
        <v>4027</v>
      </c>
      <c r="C1342" s="4">
        <v>0.0</v>
      </c>
      <c r="D1342" s="5" t="s">
        <v>4028</v>
      </c>
      <c r="E1342" s="5" t="s">
        <v>4029</v>
      </c>
      <c r="F1342" s="6" t="str">
        <f>IFERROR(__xludf.DUMMYFUNCTION("GOOGLETRANSLATE(D1342,""en"",""it"")"),"Mi piace il lardo, un tipo interessante di broccoli.")</f>
        <v>Mi piace il lardo, un tipo interessante di broccoli.</v>
      </c>
      <c r="G1342" s="6" t="str">
        <f>IFERROR(__xludf.DUMMYFUNCTION("GOOGLETRANSLATE(E1342,""fr"",""it"")"),"Adoro la pancetta, un tipo interessante di broccoli.")</f>
        <v>Adoro la pancetta, un tipo interessante di broccoli.</v>
      </c>
    </row>
    <row r="1343">
      <c r="A1343" s="4">
        <v>1341.0</v>
      </c>
      <c r="B1343" s="5" t="s">
        <v>4030</v>
      </c>
      <c r="C1343" s="4">
        <v>0.0</v>
      </c>
      <c r="D1343" s="5" t="s">
        <v>4031</v>
      </c>
      <c r="E1343" s="5" t="s">
        <v>4032</v>
      </c>
      <c r="F1343" s="6" t="str">
        <f>IFERROR(__xludf.DUMMYFUNCTION("GOOGLETRANSLATE(D1343,""en"",""it"")"),"Mi piacciono i broccoli, un tipo interessante di lardo.")</f>
        <v>Mi piacciono i broccoli, un tipo interessante di lardo.</v>
      </c>
      <c r="G1343" s="6" t="str">
        <f>IFERROR(__xludf.DUMMYFUNCTION("GOOGLETRANSLATE(E1343,""fr"",""it"")"),"Adoro i broccoli, un tipo interessante di pancetta.")</f>
        <v>Adoro i broccoli, un tipo interessante di pancetta.</v>
      </c>
    </row>
    <row r="1344">
      <c r="A1344" s="4">
        <v>1342.0</v>
      </c>
      <c r="B1344" s="5" t="s">
        <v>4033</v>
      </c>
      <c r="C1344" s="4">
        <v>0.0</v>
      </c>
      <c r="D1344" s="5" t="s">
        <v>4034</v>
      </c>
      <c r="E1344" s="5" t="s">
        <v>4035</v>
      </c>
      <c r="F1344" s="6" t="str">
        <f>IFERROR(__xludf.DUMMYFUNCTION("GOOGLETRANSLATE(D1344,""en"",""it"")"),"Mi piace il lardo, un tipo interessante di mele.")</f>
        <v>Mi piace il lardo, un tipo interessante di mele.</v>
      </c>
      <c r="G1344" s="6" t="str">
        <f>IFERROR(__xludf.DUMMYFUNCTION("GOOGLETRANSLATE(E1344,""fr"",""it"")"),"Amo la pancetta, un tipo interessante di mele.")</f>
        <v>Amo la pancetta, un tipo interessante di mele.</v>
      </c>
    </row>
    <row r="1345">
      <c r="A1345" s="4">
        <v>1343.0</v>
      </c>
      <c r="B1345" s="5" t="s">
        <v>4036</v>
      </c>
      <c r="C1345" s="4">
        <v>0.0</v>
      </c>
      <c r="D1345" s="5" t="s">
        <v>4037</v>
      </c>
      <c r="E1345" s="5" t="s">
        <v>4038</v>
      </c>
      <c r="F1345" s="6" t="str">
        <f>IFERROR(__xludf.DUMMYFUNCTION("GOOGLETRANSLATE(D1345,""en"",""it"")"),"Mi piacciono le mele, un tipo interessante di lardo.")</f>
        <v>Mi piacciono le mele, un tipo interessante di lardo.</v>
      </c>
      <c r="G1345" s="6" t="str">
        <f>IFERROR(__xludf.DUMMYFUNCTION("GOOGLETRANSLATE(E1345,""fr"",""it"")"),"Amo le mele, un tipo interessante di pancetta.")</f>
        <v>Amo le mele, un tipo interessante di pancetta.</v>
      </c>
    </row>
    <row r="1346">
      <c r="A1346" s="4">
        <v>1344.0</v>
      </c>
      <c r="B1346" s="5" t="s">
        <v>4039</v>
      </c>
      <c r="C1346" s="4">
        <v>0.0</v>
      </c>
      <c r="D1346" s="5" t="s">
        <v>4040</v>
      </c>
      <c r="E1346" s="5" t="s">
        <v>4041</v>
      </c>
      <c r="F1346" s="6" t="str">
        <f>IFERROR(__xludf.DUMMYFUNCTION("GOOGLETRANSLATE(D1346,""en"",""it"")"),"Mi piace il lardo, un tipo interessante di carote.")</f>
        <v>Mi piace il lardo, un tipo interessante di carote.</v>
      </c>
      <c r="G1346" s="6" t="str">
        <f>IFERROR(__xludf.DUMMYFUNCTION("GOOGLETRANSLATE(E1346,""fr"",""it"")"),"Amo la pancetta, un tipo interessante di carote.")</f>
        <v>Amo la pancetta, un tipo interessante di carote.</v>
      </c>
    </row>
    <row r="1347">
      <c r="A1347" s="4">
        <v>1345.0</v>
      </c>
      <c r="B1347" s="5" t="s">
        <v>4042</v>
      </c>
      <c r="C1347" s="4">
        <v>0.0</v>
      </c>
      <c r="D1347" s="5" t="s">
        <v>4043</v>
      </c>
      <c r="E1347" s="5" t="s">
        <v>4044</v>
      </c>
      <c r="F1347" s="6" t="str">
        <f>IFERROR(__xludf.DUMMYFUNCTION("GOOGLETRANSLATE(D1347,""en"",""it"")"),"Mi piacciono le carote, un tipo interessante di lardo.")</f>
        <v>Mi piacciono le carote, un tipo interessante di lardo.</v>
      </c>
      <c r="G1347" s="6" t="str">
        <f>IFERROR(__xludf.DUMMYFUNCTION("GOOGLETRANSLATE(E1347,""fr"",""it"")"),"Adoro le carote, un tipo interessante di pancetta.")</f>
        <v>Adoro le carote, un tipo interessante di pancetta.</v>
      </c>
    </row>
    <row r="1348">
      <c r="A1348" s="4">
        <v>1346.0</v>
      </c>
      <c r="B1348" s="5" t="s">
        <v>4045</v>
      </c>
      <c r="C1348" s="4">
        <v>0.0</v>
      </c>
      <c r="D1348" s="5" t="s">
        <v>4046</v>
      </c>
      <c r="E1348" s="5" t="s">
        <v>4047</v>
      </c>
      <c r="F1348" s="6" t="str">
        <f>IFERROR(__xludf.DUMMYFUNCTION("GOOGLETRANSLATE(D1348,""en"",""it"")"),"Mi piace il salmone, un tipo interessante di pollo.")</f>
        <v>Mi piace il salmone, un tipo interessante di pollo.</v>
      </c>
      <c r="G1348" s="6" t="str">
        <f>IFERROR(__xludf.DUMMYFUNCTION("GOOGLETRANSLATE(E1348,""fr"",""it"")"),"Amo il salmone, un tipo interessante di pollo.")</f>
        <v>Amo il salmone, un tipo interessante di pollo.</v>
      </c>
    </row>
    <row r="1349">
      <c r="A1349" s="4">
        <v>1347.0</v>
      </c>
      <c r="B1349" s="5" t="s">
        <v>4048</v>
      </c>
      <c r="C1349" s="4">
        <v>0.0</v>
      </c>
      <c r="D1349" s="5" t="s">
        <v>4049</v>
      </c>
      <c r="E1349" s="5" t="s">
        <v>4050</v>
      </c>
      <c r="F1349" s="6" t="str">
        <f>IFERROR(__xludf.DUMMYFUNCTION("GOOGLETRANSLATE(D1349,""en"",""it"")"),"Mi piace il pollo, un tipo interessante di salmone.")</f>
        <v>Mi piace il pollo, un tipo interessante di salmone.</v>
      </c>
      <c r="G1349" s="6" t="str">
        <f>IFERROR(__xludf.DUMMYFUNCTION("GOOGLETRANSLATE(E1349,""fr"",""it"")"),"Adoro il pollo, un tipo interessante di salmone.")</f>
        <v>Adoro il pollo, un tipo interessante di salmone.</v>
      </c>
    </row>
    <row r="1350">
      <c r="A1350" s="4">
        <v>1348.0</v>
      </c>
      <c r="B1350" s="5" t="s">
        <v>4051</v>
      </c>
      <c r="C1350" s="4">
        <v>1.0</v>
      </c>
      <c r="D1350" s="5" t="s">
        <v>4052</v>
      </c>
      <c r="E1350" s="5" t="s">
        <v>4053</v>
      </c>
      <c r="F1350" s="6" t="str">
        <f>IFERROR(__xludf.DUMMYFUNCTION("GOOGLETRANSLATE(D1350,""en"",""it"")"),"Mi piace il salmone, un tipo interessante di frutti di mare.")</f>
        <v>Mi piace il salmone, un tipo interessante di frutti di mare.</v>
      </c>
      <c r="G1350" s="6" t="str">
        <f>IFERROR(__xludf.DUMMYFUNCTION("GOOGLETRANSLATE(E1350,""fr"",""it"")"),"Amo il salmone, un tipo interessante di prodotti dal mare.")</f>
        <v>Amo il salmone, un tipo interessante di prodotti dal mare.</v>
      </c>
    </row>
    <row r="1351">
      <c r="A1351" s="4">
        <v>1349.0</v>
      </c>
      <c r="B1351" s="5" t="s">
        <v>4054</v>
      </c>
      <c r="C1351" s="4">
        <v>0.0</v>
      </c>
      <c r="D1351" s="5" t="s">
        <v>4055</v>
      </c>
      <c r="E1351" s="5" t="s">
        <v>4056</v>
      </c>
      <c r="F1351" s="6" t="str">
        <f>IFERROR(__xludf.DUMMYFUNCTION("GOOGLETRANSLATE(D1351,""en"",""it"")"),"Mi piacciono i frutti di mare, un tipo interessante di salmone.")</f>
        <v>Mi piacciono i frutti di mare, un tipo interessante di salmone.</v>
      </c>
      <c r="G1351" s="6" t="str">
        <f>IFERROR(__xludf.DUMMYFUNCTION("GOOGLETRANSLATE(E1351,""fr"",""it"")"),"Adoro i prodotti del mare, un tipo interessante di salmone.")</f>
        <v>Adoro i prodotti del mare, un tipo interessante di salmone.</v>
      </c>
    </row>
    <row r="1352">
      <c r="A1352" s="4">
        <v>1350.0</v>
      </c>
      <c r="B1352" s="5" t="s">
        <v>4057</v>
      </c>
      <c r="C1352" s="4">
        <v>0.0</v>
      </c>
      <c r="D1352" s="5" t="s">
        <v>4058</v>
      </c>
      <c r="E1352" s="5" t="s">
        <v>4059</v>
      </c>
      <c r="F1352" s="6" t="str">
        <f>IFERROR(__xludf.DUMMYFUNCTION("GOOGLETRANSLATE(D1352,""en"",""it"")"),"Mi piacciono i frutti di mare, un tipo interessante di pollo.")</f>
        <v>Mi piacciono i frutti di mare, un tipo interessante di pollo.</v>
      </c>
      <c r="G1352" s="6" t="str">
        <f>IFERROR(__xludf.DUMMYFUNCTION("GOOGLETRANSLATE(E1352,""fr"",""it"")"),"Adoro i prodotti del mare, un tipo interessante di pollo.")</f>
        <v>Adoro i prodotti del mare, un tipo interessante di pollo.</v>
      </c>
    </row>
    <row r="1353">
      <c r="A1353" s="4">
        <v>1351.0</v>
      </c>
      <c r="B1353" s="5" t="s">
        <v>4060</v>
      </c>
      <c r="C1353" s="4">
        <v>0.0</v>
      </c>
      <c r="D1353" s="5" t="s">
        <v>4061</v>
      </c>
      <c r="E1353" s="5" t="s">
        <v>4062</v>
      </c>
      <c r="F1353" s="6" t="str">
        <f>IFERROR(__xludf.DUMMYFUNCTION("GOOGLETRANSLATE(D1353,""en"",""it"")"),"Mi piace il salmone, un tipo interessante di vitello.")</f>
        <v>Mi piace il salmone, un tipo interessante di vitello.</v>
      </c>
      <c r="G1353" s="6" t="str">
        <f>IFERROR(__xludf.DUMMYFUNCTION("GOOGLETRANSLATE(E1353,""fr"",""it"")"),"Amo il salmone, un tipo interessante di vitello.")</f>
        <v>Amo il salmone, un tipo interessante di vitello.</v>
      </c>
    </row>
    <row r="1354">
      <c r="A1354" s="4">
        <v>1352.0</v>
      </c>
      <c r="B1354" s="5" t="s">
        <v>4063</v>
      </c>
      <c r="C1354" s="4">
        <v>0.0</v>
      </c>
      <c r="D1354" s="5" t="s">
        <v>4064</v>
      </c>
      <c r="E1354" s="5" t="s">
        <v>4065</v>
      </c>
      <c r="F1354" s="6" t="str">
        <f>IFERROR(__xludf.DUMMYFUNCTION("GOOGLETRANSLATE(D1354,""en"",""it"")"),"Mi piace il vitello, un tipo interessante di salmone.")</f>
        <v>Mi piace il vitello, un tipo interessante di salmone.</v>
      </c>
      <c r="G1354" s="6" t="str">
        <f>IFERROR(__xludf.DUMMYFUNCTION("GOOGLETRANSLATE(E1354,""fr"",""it"")"),"Adoro il polpaccio, un tipo interessante di salmone.")</f>
        <v>Adoro il polpaccio, un tipo interessante di salmone.</v>
      </c>
    </row>
    <row r="1355">
      <c r="A1355" s="4">
        <v>1353.0</v>
      </c>
      <c r="B1355" s="5" t="s">
        <v>4066</v>
      </c>
      <c r="C1355" s="4">
        <v>0.0</v>
      </c>
      <c r="D1355" s="5" t="s">
        <v>4067</v>
      </c>
      <c r="E1355" s="5" t="s">
        <v>4068</v>
      </c>
      <c r="F1355" s="6" t="str">
        <f>IFERROR(__xludf.DUMMYFUNCTION("GOOGLETRANSLATE(D1355,""en"",""it"")"),"Mi piacciono i frutti di mare, un tipo interessante di vitello.")</f>
        <v>Mi piacciono i frutti di mare, un tipo interessante di vitello.</v>
      </c>
      <c r="G1355" s="6" t="str">
        <f>IFERROR(__xludf.DUMMYFUNCTION("GOOGLETRANSLATE(E1355,""fr"",""it"")"),"Adoro i prodotti del mare, un tipo interessante di vitello.")</f>
        <v>Adoro i prodotti del mare, un tipo interessante di vitello.</v>
      </c>
    </row>
    <row r="1356">
      <c r="A1356" s="4">
        <v>1354.0</v>
      </c>
      <c r="B1356" s="5" t="s">
        <v>4069</v>
      </c>
      <c r="C1356" s="4">
        <v>0.0</v>
      </c>
      <c r="D1356" s="5" t="s">
        <v>4070</v>
      </c>
      <c r="E1356" s="5" t="s">
        <v>4071</v>
      </c>
      <c r="F1356" s="6" t="str">
        <f>IFERROR(__xludf.DUMMYFUNCTION("GOOGLETRANSLATE(D1356,""en"",""it"")"),"Mi piace il salmone, un tipo interessante di tacchino.")</f>
        <v>Mi piace il salmone, un tipo interessante di tacchino.</v>
      </c>
      <c r="G1356" s="6" t="str">
        <f>IFERROR(__xludf.DUMMYFUNCTION("GOOGLETRANSLATE(E1356,""fr"",""it"")"),"Amo il salmone, un tipo interessante di tacchino.")</f>
        <v>Amo il salmone, un tipo interessante di tacchino.</v>
      </c>
    </row>
    <row r="1357">
      <c r="A1357" s="4">
        <v>1355.0</v>
      </c>
      <c r="B1357" s="5" t="s">
        <v>4072</v>
      </c>
      <c r="C1357" s="4">
        <v>0.0</v>
      </c>
      <c r="D1357" s="5" t="s">
        <v>4073</v>
      </c>
      <c r="E1357" s="5" t="s">
        <v>4074</v>
      </c>
      <c r="F1357" s="6" t="str">
        <f>IFERROR(__xludf.DUMMYFUNCTION("GOOGLETRANSLATE(D1357,""en"",""it"")"),"Mi piace la Turchia, un tipo interessante di salmone.")</f>
        <v>Mi piace la Turchia, un tipo interessante di salmone.</v>
      </c>
      <c r="G1357" s="6" t="str">
        <f>IFERROR(__xludf.DUMMYFUNCTION("GOOGLETRANSLATE(E1357,""fr"",""it"")"),"Amo il Turchia, un tipo interessante di salmone.")</f>
        <v>Amo il Turchia, un tipo interessante di salmone.</v>
      </c>
    </row>
    <row r="1358">
      <c r="A1358" s="4">
        <v>1356.0</v>
      </c>
      <c r="B1358" s="5" t="s">
        <v>4075</v>
      </c>
      <c r="C1358" s="4">
        <v>0.0</v>
      </c>
      <c r="D1358" s="5" t="s">
        <v>4076</v>
      </c>
      <c r="E1358" s="5" t="s">
        <v>4077</v>
      </c>
      <c r="F1358" s="6" t="str">
        <f>IFERROR(__xludf.DUMMYFUNCTION("GOOGLETRANSLATE(D1358,""en"",""it"")"),"Mi piacciono i frutti di mare, un tipo interessante di tacchino.")</f>
        <v>Mi piacciono i frutti di mare, un tipo interessante di tacchino.</v>
      </c>
      <c r="G1358" s="6" t="str">
        <f>IFERROR(__xludf.DUMMYFUNCTION("GOOGLETRANSLATE(E1358,""fr"",""it"")"),"Adoro i prodotti del mare, un tipo interessante di tacchino.")</f>
        <v>Adoro i prodotti del mare, un tipo interessante di tacchino.</v>
      </c>
    </row>
    <row r="1359">
      <c r="A1359" s="4">
        <v>1357.0</v>
      </c>
      <c r="B1359" s="5" t="s">
        <v>4078</v>
      </c>
      <c r="C1359" s="4">
        <v>0.0</v>
      </c>
      <c r="D1359" s="5" t="s">
        <v>4079</v>
      </c>
      <c r="E1359" s="5" t="s">
        <v>4080</v>
      </c>
      <c r="F1359" s="6" t="str">
        <f>IFERROR(__xludf.DUMMYFUNCTION("GOOGLETRANSLATE(D1359,""en"",""it"")"),"Mi piace il salmone, un tipo interessante di manzo.")</f>
        <v>Mi piace il salmone, un tipo interessante di manzo.</v>
      </c>
      <c r="G1359" s="6" t="str">
        <f>IFERROR(__xludf.DUMMYFUNCTION("GOOGLETRANSLATE(E1359,""fr"",""it"")"),"Amo il salmone, un tipo interessante di manzo.")</f>
        <v>Amo il salmone, un tipo interessante di manzo.</v>
      </c>
    </row>
    <row r="1360">
      <c r="A1360" s="4">
        <v>1358.0</v>
      </c>
      <c r="B1360" s="5" t="s">
        <v>4081</v>
      </c>
      <c r="C1360" s="4">
        <v>0.0</v>
      </c>
      <c r="D1360" s="5" t="s">
        <v>4082</v>
      </c>
      <c r="E1360" s="5" t="s">
        <v>4083</v>
      </c>
      <c r="F1360" s="6" t="str">
        <f>IFERROR(__xludf.DUMMYFUNCTION("GOOGLETRANSLATE(D1360,""en"",""it"")"),"Mi piace il manzo, un tipo interessante di salmone.")</f>
        <v>Mi piace il manzo, un tipo interessante di salmone.</v>
      </c>
      <c r="G1360" s="6" t="str">
        <f>IFERROR(__xludf.DUMMYFUNCTION("GOOGLETRANSLATE(E1360,""fr"",""it"")"),"Amo la carne, un tipo interessante di salmone.")</f>
        <v>Amo la carne, un tipo interessante di salmone.</v>
      </c>
    </row>
    <row r="1361">
      <c r="A1361" s="4">
        <v>1359.0</v>
      </c>
      <c r="B1361" s="5" t="s">
        <v>4084</v>
      </c>
      <c r="C1361" s="4">
        <v>0.0</v>
      </c>
      <c r="D1361" s="5" t="s">
        <v>4085</v>
      </c>
      <c r="E1361" s="5" t="s">
        <v>4086</v>
      </c>
      <c r="F1361" s="6" t="str">
        <f>IFERROR(__xludf.DUMMYFUNCTION("GOOGLETRANSLATE(D1361,""en"",""it"")"),"Mi piace Techno, tranne lo sport.")</f>
        <v>Mi piace Techno, tranne lo sport.</v>
      </c>
      <c r="G1361" s="6" t="str">
        <f>IFERROR(__xludf.DUMMYFUNCTION("GOOGLETRANSLATE(E1361,""fr"",""it"")"),"Apprezzo il Techno, tranne lo sport.")</f>
        <v>Apprezzo il Techno, tranne lo sport.</v>
      </c>
    </row>
    <row r="1362">
      <c r="A1362" s="4">
        <v>1360.0</v>
      </c>
      <c r="B1362" s="5" t="s">
        <v>4087</v>
      </c>
      <c r="C1362" s="4">
        <v>0.0</v>
      </c>
      <c r="D1362" s="5" t="s">
        <v>4088</v>
      </c>
      <c r="E1362" s="5" t="s">
        <v>4089</v>
      </c>
      <c r="F1362" s="6" t="str">
        <f>IFERROR(__xludf.DUMMYFUNCTION("GOOGLETRANSLATE(D1362,""en"",""it"")"),"Mi piacciono i frutti di mare, un tipo interessante di manzo.")</f>
        <v>Mi piacciono i frutti di mare, un tipo interessante di manzo.</v>
      </c>
      <c r="G1362" s="6" t="str">
        <f>IFERROR(__xludf.DUMMYFUNCTION("GOOGLETRANSLATE(E1362,""fr"",""it"")"),"Adoro i prodotti del mare, un tipo interessante di manzo.")</f>
        <v>Adoro i prodotti del mare, un tipo interessante di manzo.</v>
      </c>
    </row>
    <row r="1363">
      <c r="A1363" s="4">
        <v>1361.0</v>
      </c>
      <c r="B1363" s="5" t="s">
        <v>4090</v>
      </c>
      <c r="C1363" s="4">
        <v>0.0</v>
      </c>
      <c r="D1363" s="5" t="s">
        <v>4091</v>
      </c>
      <c r="E1363" s="5" t="s">
        <v>4092</v>
      </c>
      <c r="F1363" s="6" t="str">
        <f>IFERROR(__xludf.DUMMYFUNCTION("GOOGLETRANSLATE(D1363,""en"",""it"")"),"Mi piacciono gli sport, tranne techno.")</f>
        <v>Mi piacciono gli sport, tranne techno.</v>
      </c>
      <c r="G1363" s="6" t="str">
        <f>IFERROR(__xludf.DUMMYFUNCTION("GOOGLETRANSLATE(E1363,""fr"",""it"")"),"Apprezzo gli sport, tranne techno.")</f>
        <v>Apprezzo gli sport, tranne techno.</v>
      </c>
    </row>
    <row r="1364">
      <c r="A1364" s="4">
        <v>1362.0</v>
      </c>
      <c r="B1364" s="5" t="s">
        <v>4093</v>
      </c>
      <c r="C1364" s="4">
        <v>0.0</v>
      </c>
      <c r="D1364" s="5" t="s">
        <v>4094</v>
      </c>
      <c r="E1364" s="5" t="s">
        <v>4095</v>
      </c>
      <c r="F1364" s="6" t="str">
        <f>IFERROR(__xludf.DUMMYFUNCTION("GOOGLETRANSLATE(D1364,""en"",""it"")"),"Mi piace Techno, tranne la musica.")</f>
        <v>Mi piace Techno, tranne la musica.</v>
      </c>
      <c r="G1364" s="6" t="str">
        <f>IFERROR(__xludf.DUMMYFUNCTION("GOOGLETRANSLATE(E1364,""fr"",""it"")"),"Apprezzo il Techno, tranne la musica.")</f>
        <v>Apprezzo il Techno, tranne la musica.</v>
      </c>
    </row>
    <row r="1365">
      <c r="A1365" s="4">
        <v>1363.0</v>
      </c>
      <c r="B1365" s="5" t="s">
        <v>4096</v>
      </c>
      <c r="C1365" s="4">
        <v>0.0</v>
      </c>
      <c r="D1365" s="5" t="s">
        <v>4097</v>
      </c>
      <c r="E1365" s="5" t="s">
        <v>4098</v>
      </c>
      <c r="F1365" s="6" t="str">
        <f>IFERROR(__xludf.DUMMYFUNCTION("GOOGLETRANSLATE(D1365,""en"",""it"")"),"Mi piacciono i granchi, un tipo interessante di pollo.")</f>
        <v>Mi piacciono i granchi, un tipo interessante di pollo.</v>
      </c>
      <c r="G1365" s="6" t="str">
        <f>IFERROR(__xludf.DUMMYFUNCTION("GOOGLETRANSLATE(E1365,""fr"",""it"")"),"Amo i granchi, un tipo interessante di pollo.")</f>
        <v>Amo i granchi, un tipo interessante di pollo.</v>
      </c>
    </row>
    <row r="1366">
      <c r="A1366" s="4">
        <v>1364.0</v>
      </c>
      <c r="B1366" s="5" t="s">
        <v>4099</v>
      </c>
      <c r="C1366" s="4">
        <v>0.0</v>
      </c>
      <c r="D1366" s="5" t="s">
        <v>4100</v>
      </c>
      <c r="E1366" s="5" t="s">
        <v>4101</v>
      </c>
      <c r="F1366" s="6" t="str">
        <f>IFERROR(__xludf.DUMMYFUNCTION("GOOGLETRANSLATE(D1366,""en"",""it"")"),"Mi piace il pollo, un tipo interessante di granchi.")</f>
        <v>Mi piace il pollo, un tipo interessante di granchi.</v>
      </c>
      <c r="G1366" s="6" t="str">
        <f>IFERROR(__xludf.DUMMYFUNCTION("GOOGLETRANSLATE(E1366,""fr"",""it"")"),"Adoro il pollo, un tipo interessante di granchi.")</f>
        <v>Adoro il pollo, un tipo interessante di granchi.</v>
      </c>
    </row>
    <row r="1367">
      <c r="A1367" s="4">
        <v>1365.0</v>
      </c>
      <c r="B1367" s="5" t="s">
        <v>4102</v>
      </c>
      <c r="C1367" s="4">
        <v>1.0</v>
      </c>
      <c r="D1367" s="5" t="s">
        <v>4103</v>
      </c>
      <c r="E1367" s="5" t="s">
        <v>4104</v>
      </c>
      <c r="F1367" s="6" t="str">
        <f>IFERROR(__xludf.DUMMYFUNCTION("GOOGLETRANSLATE(D1367,""en"",""it"")"),"Mi piacciono i granchi, un tipo interessante di frutti di mare.")</f>
        <v>Mi piacciono i granchi, un tipo interessante di frutti di mare.</v>
      </c>
      <c r="G1367" s="6" t="str">
        <f>IFERROR(__xludf.DUMMYFUNCTION("GOOGLETRANSLATE(E1367,""fr"",""it"")"),"Adoro i granchi, un tipo interessante di prodotti dal mare.")</f>
        <v>Adoro i granchi, un tipo interessante di prodotti dal mare.</v>
      </c>
    </row>
    <row r="1368">
      <c r="A1368" s="4">
        <v>1366.0</v>
      </c>
      <c r="B1368" s="5" t="s">
        <v>4105</v>
      </c>
      <c r="C1368" s="4">
        <v>0.0</v>
      </c>
      <c r="D1368" s="5" t="s">
        <v>4106</v>
      </c>
      <c r="E1368" s="5" t="s">
        <v>4107</v>
      </c>
      <c r="F1368" s="6" t="str">
        <f>IFERROR(__xludf.DUMMYFUNCTION("GOOGLETRANSLATE(D1368,""en"",""it"")"),"Mi piacciono i frutti di mare, un tipo interessante di granchio.")</f>
        <v>Mi piacciono i frutti di mare, un tipo interessante di granchio.</v>
      </c>
      <c r="G1368" s="6" t="str">
        <f>IFERROR(__xludf.DUMMYFUNCTION("GOOGLETRANSLATE(E1368,""fr"",""it"")"),"Adoro i prodotti del mare, un tipo interessante di granchio.")</f>
        <v>Adoro i prodotti del mare, un tipo interessante di granchio.</v>
      </c>
    </row>
    <row r="1369">
      <c r="A1369" s="4">
        <v>1367.0</v>
      </c>
      <c r="B1369" s="5" t="s">
        <v>4108</v>
      </c>
      <c r="C1369" s="4">
        <v>0.0</v>
      </c>
      <c r="D1369" s="5" t="s">
        <v>4109</v>
      </c>
      <c r="E1369" s="5" t="s">
        <v>4110</v>
      </c>
      <c r="F1369" s="6" t="str">
        <f>IFERROR(__xludf.DUMMYFUNCTION("GOOGLETRANSLATE(D1369,""en"",""it"")"),"Mi piacciono i granchi, un tipo interessante di vitello.")</f>
        <v>Mi piacciono i granchi, un tipo interessante di vitello.</v>
      </c>
      <c r="G1369" s="6" t="str">
        <f>IFERROR(__xludf.DUMMYFUNCTION("GOOGLETRANSLATE(E1369,""fr"",""it"")"),"Amo i granchi, un tipo interessante di vitello.")</f>
        <v>Amo i granchi, un tipo interessante di vitello.</v>
      </c>
    </row>
    <row r="1370">
      <c r="A1370" s="4">
        <v>1368.0</v>
      </c>
      <c r="B1370" s="5" t="s">
        <v>4111</v>
      </c>
      <c r="C1370" s="4">
        <v>0.0</v>
      </c>
      <c r="D1370" s="5" t="s">
        <v>4112</v>
      </c>
      <c r="E1370" s="5" t="s">
        <v>4113</v>
      </c>
      <c r="F1370" s="6" t="str">
        <f>IFERROR(__xludf.DUMMYFUNCTION("GOOGLETRANSLATE(D1370,""en"",""it"")"),"Mi piace il vitello, un tipo interessante di granchi.")</f>
        <v>Mi piace il vitello, un tipo interessante di granchi.</v>
      </c>
      <c r="G1370" s="6" t="str">
        <f>IFERROR(__xludf.DUMMYFUNCTION("GOOGLETRANSLATE(E1370,""fr"",""it"")"),"Adoro il polpaccio, un tipo interessante di granchi.")</f>
        <v>Adoro il polpaccio, un tipo interessante di granchi.</v>
      </c>
    </row>
    <row r="1371">
      <c r="A1371" s="4">
        <v>1369.0</v>
      </c>
      <c r="B1371" s="5" t="s">
        <v>4114</v>
      </c>
      <c r="C1371" s="4">
        <v>1.0</v>
      </c>
      <c r="D1371" s="5" t="s">
        <v>4115</v>
      </c>
      <c r="E1371" s="5" t="s">
        <v>4116</v>
      </c>
      <c r="F1371" s="6" t="str">
        <f>IFERROR(__xludf.DUMMYFUNCTION("GOOGLETRANSLATE(D1371,""en"",""it"")"),"Mi piace la musica, tranne techno.")</f>
        <v>Mi piace la musica, tranne techno.</v>
      </c>
      <c r="G1371" s="6" t="str">
        <f>IFERROR(__xludf.DUMMYFUNCTION("GOOGLETRANSLATE(E1371,""fr"",""it"")"),"Apprezzo la musica tranne il techno.")</f>
        <v>Apprezzo la musica tranne il techno.</v>
      </c>
    </row>
    <row r="1372">
      <c r="A1372" s="4">
        <v>1370.0</v>
      </c>
      <c r="B1372" s="5" t="s">
        <v>4117</v>
      </c>
      <c r="C1372" s="4">
        <v>0.0</v>
      </c>
      <c r="D1372" s="5" t="s">
        <v>4118</v>
      </c>
      <c r="E1372" s="5" t="s">
        <v>4119</v>
      </c>
      <c r="F1372" s="6" t="str">
        <f>IFERROR(__xludf.DUMMYFUNCTION("GOOGLETRANSLATE(D1372,""en"",""it"")"),"Mi piacciono i granchi, un tipo interessante di tacchino.")</f>
        <v>Mi piacciono i granchi, un tipo interessante di tacchino.</v>
      </c>
      <c r="G1372" s="6" t="str">
        <f>IFERROR(__xludf.DUMMYFUNCTION("GOOGLETRANSLATE(E1372,""fr"",""it"")"),"Amo i granchi, un tipo interessante di tacchino.")</f>
        <v>Amo i granchi, un tipo interessante di tacchino.</v>
      </c>
    </row>
    <row r="1373">
      <c r="A1373" s="4">
        <v>1371.0</v>
      </c>
      <c r="B1373" s="5" t="s">
        <v>4120</v>
      </c>
      <c r="C1373" s="4">
        <v>0.0</v>
      </c>
      <c r="D1373" s="5" t="s">
        <v>4121</v>
      </c>
      <c r="E1373" s="5" t="s">
        <v>4122</v>
      </c>
      <c r="F1373" s="6" t="str">
        <f>IFERROR(__xludf.DUMMYFUNCTION("GOOGLETRANSLATE(D1373,""en"",""it"")"),"Mi piace la Turchia, un tipo interessante di granchi.")</f>
        <v>Mi piace la Turchia, un tipo interessante di granchi.</v>
      </c>
      <c r="G1373" s="6" t="str">
        <f>IFERROR(__xludf.DUMMYFUNCTION("GOOGLETRANSLATE(E1373,""fr"",""it"")"),"Adoro il tacchino, un tipo interessante di granchi.")</f>
        <v>Adoro il tacchino, un tipo interessante di granchi.</v>
      </c>
    </row>
    <row r="1374">
      <c r="A1374" s="4">
        <v>1372.0</v>
      </c>
      <c r="B1374" s="5" t="s">
        <v>4123</v>
      </c>
      <c r="C1374" s="4">
        <v>0.0</v>
      </c>
      <c r="D1374" s="5" t="s">
        <v>4124</v>
      </c>
      <c r="E1374" s="5" t="s">
        <v>4125</v>
      </c>
      <c r="F1374" s="6" t="str">
        <f>IFERROR(__xludf.DUMMYFUNCTION("GOOGLETRANSLATE(D1374,""en"",""it"")"),"Mi piacciono i granchi, un tipo interessante di manzo.")</f>
        <v>Mi piacciono i granchi, un tipo interessante di manzo.</v>
      </c>
      <c r="G1374" s="6" t="str">
        <f>IFERROR(__xludf.DUMMYFUNCTION("GOOGLETRANSLATE(E1374,""fr"",""it"")"),"Amo i granchi, un ragazzo interessante di manzo.")</f>
        <v>Amo i granchi, un ragazzo interessante di manzo.</v>
      </c>
    </row>
    <row r="1375">
      <c r="A1375" s="4">
        <v>1373.0</v>
      </c>
      <c r="B1375" s="5" t="s">
        <v>4126</v>
      </c>
      <c r="C1375" s="4">
        <v>0.0</v>
      </c>
      <c r="D1375" s="5" t="s">
        <v>4127</v>
      </c>
      <c r="E1375" s="5" t="s">
        <v>4128</v>
      </c>
      <c r="F1375" s="6" t="str">
        <f>IFERROR(__xludf.DUMMYFUNCTION("GOOGLETRANSLATE(D1375,""en"",""it"")"),"Mi piace il manzo, un tipo interessante di granchi.")</f>
        <v>Mi piace il manzo, un tipo interessante di granchi.</v>
      </c>
      <c r="G1375" s="6" t="str">
        <f>IFERROR(__xludf.DUMMYFUNCTION("GOOGLETRANSLATE(E1375,""fr"",""it"")"),"Amo il manzo, un tipo interessante di granchi.")</f>
        <v>Amo il manzo, un tipo interessante di granchi.</v>
      </c>
    </row>
    <row r="1376">
      <c r="A1376" s="4">
        <v>1374.0</v>
      </c>
      <c r="B1376" s="5" t="s">
        <v>4129</v>
      </c>
      <c r="C1376" s="4">
        <v>0.0</v>
      </c>
      <c r="D1376" s="5" t="s">
        <v>4130</v>
      </c>
      <c r="E1376" s="5" t="s">
        <v>4131</v>
      </c>
      <c r="F1376" s="6" t="str">
        <f>IFERROR(__xludf.DUMMYFUNCTION("GOOGLETRANSLATE(D1376,""en"",""it"")"),"Mi piace Techno, tranne i corvolgitori.")</f>
        <v>Mi piace Techno, tranne i corvolgitori.</v>
      </c>
      <c r="G1376" s="6" t="str">
        <f>IFERROR(__xludf.DUMMYFUNCTION("GOOGLETRANSLATE(E1376,""fr"",""it"")"),"Apprezzo il Techno, tranne i giochi da tavolo.")</f>
        <v>Apprezzo il Techno, tranne i giochi da tavolo.</v>
      </c>
    </row>
    <row r="1377">
      <c r="A1377" s="4">
        <v>1375.0</v>
      </c>
      <c r="B1377" s="5" t="s">
        <v>4132</v>
      </c>
      <c r="C1377" s="4">
        <v>0.0</v>
      </c>
      <c r="D1377" s="5" t="s">
        <v>4133</v>
      </c>
      <c r="E1377" s="5" t="s">
        <v>4134</v>
      </c>
      <c r="F1377" s="6" t="str">
        <f>IFERROR(__xludf.DUMMYFUNCTION("GOOGLETRANSLATE(D1377,""en"",""it"")"),"Mi piacciono i Boardgames, tranne techno.")</f>
        <v>Mi piacciono i Boardgames, tranne techno.</v>
      </c>
      <c r="G1377" s="6" t="str">
        <f>IFERROR(__xludf.DUMMYFUNCTION("GOOGLETRANSLATE(E1377,""fr"",""it"")"),"Apprezzo i giochi da tavolo tranne il Techno.")</f>
        <v>Apprezzo i giochi da tavolo tranne il Techno.</v>
      </c>
    </row>
    <row r="1378">
      <c r="A1378" s="4">
        <v>1376.0</v>
      </c>
      <c r="B1378" s="5" t="s">
        <v>4135</v>
      </c>
      <c r="C1378" s="4">
        <v>0.0</v>
      </c>
      <c r="D1378" s="5" t="s">
        <v>4136</v>
      </c>
      <c r="E1378" s="5" t="s">
        <v>4137</v>
      </c>
      <c r="F1378" s="6" t="str">
        <f>IFERROR(__xludf.DUMMYFUNCTION("GOOGLETRANSLATE(D1378,""en"",""it"")"),"Mi piacciono le ostriche, un tipo interessante di pollo.")</f>
        <v>Mi piacciono le ostriche, un tipo interessante di pollo.</v>
      </c>
      <c r="G1378" s="6" t="str">
        <f>IFERROR(__xludf.DUMMYFUNCTION("GOOGLETRANSLATE(E1378,""fr"",""it"")"),"Adoro le ostriche, un tipo interessante di pollo.")</f>
        <v>Adoro le ostriche, un tipo interessante di pollo.</v>
      </c>
    </row>
    <row r="1379">
      <c r="A1379" s="4">
        <v>1377.0</v>
      </c>
      <c r="B1379" s="5" t="s">
        <v>4138</v>
      </c>
      <c r="C1379" s="4">
        <v>0.0</v>
      </c>
      <c r="D1379" s="5" t="s">
        <v>4139</v>
      </c>
      <c r="E1379" s="5" t="s">
        <v>4140</v>
      </c>
      <c r="F1379" s="6" t="str">
        <f>IFERROR(__xludf.DUMMYFUNCTION("GOOGLETRANSLATE(D1379,""en"",""it"")"),"Mi piace il pollo, un tipo interessante di ostriche.")</f>
        <v>Mi piace il pollo, un tipo interessante di ostriche.</v>
      </c>
      <c r="G1379" s="6" t="str">
        <f>IFERROR(__xludf.DUMMYFUNCTION("GOOGLETRANSLATE(E1379,""fr"",""it"")"),"Adoro il pollo, un tipo interessante di ostriche.")</f>
        <v>Adoro il pollo, un tipo interessante di ostriche.</v>
      </c>
    </row>
    <row r="1380">
      <c r="A1380" s="4">
        <v>1378.0</v>
      </c>
      <c r="B1380" s="5" t="s">
        <v>4141</v>
      </c>
      <c r="C1380" s="4">
        <v>1.0</v>
      </c>
      <c r="D1380" s="5" t="s">
        <v>4142</v>
      </c>
      <c r="E1380" s="5" t="s">
        <v>4143</v>
      </c>
      <c r="F1380" s="6" t="str">
        <f>IFERROR(__xludf.DUMMYFUNCTION("GOOGLETRANSLATE(D1380,""en"",""it"")"),"Mi piacciono le ostriche, un tipo interessante di frutti di mare.")</f>
        <v>Mi piacciono le ostriche, un tipo interessante di frutti di mare.</v>
      </c>
      <c r="G1380" s="6" t="str">
        <f>IFERROR(__xludf.DUMMYFUNCTION("GOOGLETRANSLATE(E1380,""fr"",""it"")"),"Adoro le ostriche, un tipo interessante di prodotti di pesce.")</f>
        <v>Adoro le ostriche, un tipo interessante di prodotti di pesce.</v>
      </c>
    </row>
    <row r="1381">
      <c r="A1381" s="4">
        <v>1379.0</v>
      </c>
      <c r="B1381" s="5" t="s">
        <v>4144</v>
      </c>
      <c r="C1381" s="4">
        <v>0.0</v>
      </c>
      <c r="D1381" s="5" t="s">
        <v>4145</v>
      </c>
      <c r="E1381" s="5" t="s">
        <v>4146</v>
      </c>
      <c r="F1381" s="6" t="str">
        <f>IFERROR(__xludf.DUMMYFUNCTION("GOOGLETRANSLATE(D1381,""en"",""it"")"),"Mi piacciono i frutti di mare, un tipo di ostrica interessante.")</f>
        <v>Mi piacciono i frutti di mare, un tipo di ostrica interessante.</v>
      </c>
      <c r="G1381" s="6" t="str">
        <f>IFERROR(__xludf.DUMMYFUNCTION("GOOGLETRANSLATE(E1381,""fr"",""it"")"),"Adoro i prodotti del mare, un tipo interessante di ostrica.")</f>
        <v>Adoro i prodotti del mare, un tipo interessante di ostrica.</v>
      </c>
    </row>
    <row r="1382">
      <c r="A1382" s="4">
        <v>1380.0</v>
      </c>
      <c r="B1382" s="5" t="s">
        <v>4147</v>
      </c>
      <c r="C1382" s="4">
        <v>0.0</v>
      </c>
      <c r="D1382" s="5" t="s">
        <v>4148</v>
      </c>
      <c r="E1382" s="5" t="s">
        <v>4149</v>
      </c>
      <c r="F1382" s="6" t="str">
        <f>IFERROR(__xludf.DUMMYFUNCTION("GOOGLETRANSLATE(D1382,""en"",""it"")"),"Mi piacciono le ostriche, un tipo interessante di vitello.")</f>
        <v>Mi piacciono le ostriche, un tipo interessante di vitello.</v>
      </c>
      <c r="G1382" s="6" t="str">
        <f>IFERROR(__xludf.DUMMYFUNCTION("GOOGLETRANSLATE(E1382,""fr"",""it"")"),"Adoro le ostriche, un tipo interessante di vitello.")</f>
        <v>Adoro le ostriche, un tipo interessante di vitello.</v>
      </c>
    </row>
    <row r="1383">
      <c r="A1383" s="4">
        <v>1381.0</v>
      </c>
      <c r="B1383" s="5" t="s">
        <v>4150</v>
      </c>
      <c r="C1383" s="4">
        <v>0.0</v>
      </c>
      <c r="D1383" s="5" t="s">
        <v>4151</v>
      </c>
      <c r="E1383" s="5" t="s">
        <v>4152</v>
      </c>
      <c r="F1383" s="6" t="str">
        <f>IFERROR(__xludf.DUMMYFUNCTION("GOOGLETRANSLATE(D1383,""en"",""it"")"),"Mi piace il vitello, un tipo interessante di ostriche.")</f>
        <v>Mi piace il vitello, un tipo interessante di ostriche.</v>
      </c>
      <c r="G1383" s="6" t="str">
        <f>IFERROR(__xludf.DUMMYFUNCTION("GOOGLETRANSLATE(E1383,""fr"",""it"")"),"Adoro il polpaccio, un tipo interessante di ostriche.")</f>
        <v>Adoro il polpaccio, un tipo interessante di ostriche.</v>
      </c>
    </row>
    <row r="1384">
      <c r="A1384" s="4">
        <v>1382.0</v>
      </c>
      <c r="B1384" s="5" t="s">
        <v>4153</v>
      </c>
      <c r="C1384" s="4">
        <v>0.0</v>
      </c>
      <c r="D1384" s="5" t="s">
        <v>4154</v>
      </c>
      <c r="E1384" s="5" t="s">
        <v>4155</v>
      </c>
      <c r="F1384" s="6" t="str">
        <f>IFERROR(__xludf.DUMMYFUNCTION("GOOGLETRANSLATE(D1384,""en"",""it"")"),"Mi piacciono le ostriche, un tipo interessante di tacchino.")</f>
        <v>Mi piacciono le ostriche, un tipo interessante di tacchino.</v>
      </c>
      <c r="G1384" s="6" t="str">
        <f>IFERROR(__xludf.DUMMYFUNCTION("GOOGLETRANSLATE(E1384,""fr"",""it"")"),"Adoro le ostriche, un tipo interessante di tacchino.")</f>
        <v>Adoro le ostriche, un tipo interessante di tacchino.</v>
      </c>
    </row>
    <row r="1385">
      <c r="A1385" s="4">
        <v>1383.0</v>
      </c>
      <c r="B1385" s="5" t="s">
        <v>4156</v>
      </c>
      <c r="C1385" s="4">
        <v>0.0</v>
      </c>
      <c r="D1385" s="5" t="s">
        <v>4157</v>
      </c>
      <c r="E1385" s="5" t="s">
        <v>4158</v>
      </c>
      <c r="F1385" s="6" t="str">
        <f>IFERROR(__xludf.DUMMYFUNCTION("GOOGLETRANSLATE(D1385,""en"",""it"")"),"Mi piace la Turchia, un tipo interessante di ostriche.")</f>
        <v>Mi piace la Turchia, un tipo interessante di ostriche.</v>
      </c>
      <c r="G1385" s="6" t="str">
        <f>IFERROR(__xludf.DUMMYFUNCTION("GOOGLETRANSLATE(E1385,""fr"",""it"")"),"Adoro il tacchino, un tipo interessante di ostriche.")</f>
        <v>Adoro il tacchino, un tipo interessante di ostriche.</v>
      </c>
    </row>
    <row r="1386">
      <c r="A1386" s="4">
        <v>1384.0</v>
      </c>
      <c r="B1386" s="5" t="s">
        <v>4159</v>
      </c>
      <c r="C1386" s="4">
        <v>0.0</v>
      </c>
      <c r="D1386" s="5" t="s">
        <v>4160</v>
      </c>
      <c r="E1386" s="5" t="s">
        <v>4161</v>
      </c>
      <c r="F1386" s="6" t="str">
        <f>IFERROR(__xludf.DUMMYFUNCTION("GOOGLETRANSLATE(D1386,""en"",""it"")"),"Mi piacciono le ostriche, un tipo interessante di manzo.")</f>
        <v>Mi piacciono le ostriche, un tipo interessante di manzo.</v>
      </c>
      <c r="G1386" s="6" t="str">
        <f>IFERROR(__xludf.DUMMYFUNCTION("GOOGLETRANSLATE(E1386,""fr"",""it"")"),"Adoro le ostriche, un tipo interessante di manzo.")</f>
        <v>Adoro le ostriche, un tipo interessante di manzo.</v>
      </c>
    </row>
    <row r="1387">
      <c r="A1387" s="4">
        <v>1385.0</v>
      </c>
      <c r="B1387" s="5" t="s">
        <v>4162</v>
      </c>
      <c r="C1387" s="4">
        <v>0.0</v>
      </c>
      <c r="D1387" s="5" t="s">
        <v>4163</v>
      </c>
      <c r="E1387" s="5" t="s">
        <v>4164</v>
      </c>
      <c r="F1387" s="6" t="str">
        <f>IFERROR(__xludf.DUMMYFUNCTION("GOOGLETRANSLATE(D1387,""en"",""it"")"),"Mi piace il manzo, un tipo interessante di ostriche.")</f>
        <v>Mi piace il manzo, un tipo interessante di ostriche.</v>
      </c>
      <c r="G1387" s="6" t="str">
        <f>IFERROR(__xludf.DUMMYFUNCTION("GOOGLETRANSLATE(E1387,""fr"",""it"")"),"Amo la carne, un tipo interessante di ostriche.")</f>
        <v>Amo la carne, un tipo interessante di ostriche.</v>
      </c>
    </row>
    <row r="1388">
      <c r="A1388" s="4">
        <v>1386.0</v>
      </c>
      <c r="B1388" s="5" t="s">
        <v>4165</v>
      </c>
      <c r="C1388" s="4">
        <v>0.0</v>
      </c>
      <c r="D1388" s="5" t="s">
        <v>4166</v>
      </c>
      <c r="E1388" s="5" t="s">
        <v>4167</v>
      </c>
      <c r="F1388" s="6" t="str">
        <f>IFERROR(__xludf.DUMMYFUNCTION("GOOGLETRANSLATE(D1388,""en"",""it"")"),"Mi piace Techno, tranne il cibo.")</f>
        <v>Mi piace Techno, tranne il cibo.</v>
      </c>
      <c r="G1388" s="6" t="str">
        <f>IFERROR(__xludf.DUMMYFUNCTION("GOOGLETRANSLATE(E1388,""fr"",""it"")"),"Apprezzo il Techno, tranne il cibo.")</f>
        <v>Apprezzo il Techno, tranne il cibo.</v>
      </c>
    </row>
    <row r="1389">
      <c r="A1389" s="4">
        <v>1387.0</v>
      </c>
      <c r="B1389" s="5" t="s">
        <v>4168</v>
      </c>
      <c r="C1389" s="4">
        <v>0.0</v>
      </c>
      <c r="D1389" s="5" t="s">
        <v>4169</v>
      </c>
      <c r="E1389" s="5" t="s">
        <v>4170</v>
      </c>
      <c r="F1389" s="6" t="str">
        <f>IFERROR(__xludf.DUMMYFUNCTION("GOOGLETRANSLATE(D1389,""en"",""it"")"),"Mi piace il caviale, un tipo interessante di pollo.")</f>
        <v>Mi piace il caviale, un tipo interessante di pollo.</v>
      </c>
      <c r="G1389" s="6" t="str">
        <f>IFERROR(__xludf.DUMMYFUNCTION("GOOGLETRANSLATE(E1389,""fr"",""it"")"),"Adoro il caviale, un tipo interessante di pollo.")</f>
        <v>Adoro il caviale, un tipo interessante di pollo.</v>
      </c>
    </row>
    <row r="1390">
      <c r="A1390" s="4">
        <v>1388.0</v>
      </c>
      <c r="B1390" s="5" t="s">
        <v>4171</v>
      </c>
      <c r="C1390" s="4">
        <v>0.0</v>
      </c>
      <c r="D1390" s="5" t="s">
        <v>4172</v>
      </c>
      <c r="E1390" s="5" t="s">
        <v>4173</v>
      </c>
      <c r="F1390" s="6" t="str">
        <f>IFERROR(__xludf.DUMMYFUNCTION("GOOGLETRANSLATE(D1390,""en"",""it"")"),"Mi piace il pollo, un tipo interessante di caviale.")</f>
        <v>Mi piace il pollo, un tipo interessante di caviale.</v>
      </c>
      <c r="G1390" s="6" t="str">
        <f>IFERROR(__xludf.DUMMYFUNCTION("GOOGLETRANSLATE(E1390,""fr"",""it"")"),"Amo il pollo, un tipo interessante di caviale.")</f>
        <v>Amo il pollo, un tipo interessante di caviale.</v>
      </c>
    </row>
    <row r="1391">
      <c r="A1391" s="4">
        <v>1389.0</v>
      </c>
      <c r="B1391" s="5" t="s">
        <v>4174</v>
      </c>
      <c r="C1391" s="4">
        <v>1.0</v>
      </c>
      <c r="D1391" s="5" t="s">
        <v>4175</v>
      </c>
      <c r="E1391" s="5" t="s">
        <v>4176</v>
      </c>
      <c r="F1391" s="6" t="str">
        <f>IFERROR(__xludf.DUMMYFUNCTION("GOOGLETRANSLATE(D1391,""en"",""it"")"),"Mi piace il caviale, un tipo interessante di frutti di mare.")</f>
        <v>Mi piace il caviale, un tipo interessante di frutti di mare.</v>
      </c>
      <c r="G1391" s="6" t="str">
        <f>IFERROR(__xludf.DUMMYFUNCTION("GOOGLETRANSLATE(E1391,""fr"",""it"")"),"Adoro il caviale, un tipo interessante di prodotti dal mare.")</f>
        <v>Adoro il caviale, un tipo interessante di prodotti dal mare.</v>
      </c>
    </row>
    <row r="1392">
      <c r="A1392" s="4">
        <v>1390.0</v>
      </c>
      <c r="B1392" s="5" t="s">
        <v>4177</v>
      </c>
      <c r="C1392" s="4">
        <v>0.0</v>
      </c>
      <c r="D1392" s="5" t="s">
        <v>4178</v>
      </c>
      <c r="E1392" s="5" t="s">
        <v>4179</v>
      </c>
      <c r="F1392" s="6" t="str">
        <f>IFERROR(__xludf.DUMMYFUNCTION("GOOGLETRANSLATE(D1392,""en"",""it"")"),"Mi piacciono i frutti di mare, un tipo interessante di caviale.")</f>
        <v>Mi piacciono i frutti di mare, un tipo interessante di caviale.</v>
      </c>
      <c r="G1392" s="6" t="str">
        <f>IFERROR(__xludf.DUMMYFUNCTION("GOOGLETRANSLATE(E1392,""fr"",""it"")"),"Adoro i prodotti del mare, un tipo interessante di caviale.")</f>
        <v>Adoro i prodotti del mare, un tipo interessante di caviale.</v>
      </c>
    </row>
    <row r="1393">
      <c r="A1393" s="4">
        <v>1391.0</v>
      </c>
      <c r="B1393" s="5" t="s">
        <v>4180</v>
      </c>
      <c r="C1393" s="4">
        <v>0.0</v>
      </c>
      <c r="D1393" s="5" t="s">
        <v>4181</v>
      </c>
      <c r="E1393" s="5" t="s">
        <v>4182</v>
      </c>
      <c r="F1393" s="6" t="str">
        <f>IFERROR(__xludf.DUMMYFUNCTION("GOOGLETRANSLATE(D1393,""en"",""it"")"),"Mi piace il caviale, un tipo interessante di vitello.")</f>
        <v>Mi piace il caviale, un tipo interessante di vitello.</v>
      </c>
      <c r="G1393" s="6" t="str">
        <f>IFERROR(__xludf.DUMMYFUNCTION("GOOGLETRANSLATE(E1393,""fr"",""it"")"),"Adoro il caviale, un tipo interessante di vitello.")</f>
        <v>Adoro il caviale, un tipo interessante di vitello.</v>
      </c>
    </row>
    <row r="1394">
      <c r="A1394" s="4">
        <v>1392.0</v>
      </c>
      <c r="B1394" s="5" t="s">
        <v>4183</v>
      </c>
      <c r="C1394" s="4">
        <v>0.0</v>
      </c>
      <c r="D1394" s="5" t="s">
        <v>4184</v>
      </c>
      <c r="E1394" s="5" t="s">
        <v>4185</v>
      </c>
      <c r="F1394" s="6" t="str">
        <f>IFERROR(__xludf.DUMMYFUNCTION("GOOGLETRANSLATE(D1394,""en"",""it"")"),"Mi piace il vitello, un tipo di caviale interessante.")</f>
        <v>Mi piace il vitello, un tipo di caviale interessante.</v>
      </c>
      <c r="G1394" s="6" t="str">
        <f>IFERROR(__xludf.DUMMYFUNCTION("GOOGLETRANSLATE(E1394,""fr"",""it"")"),"Adoro il polpaccio, un tipo interessante di caviale.")</f>
        <v>Adoro il polpaccio, un tipo interessante di caviale.</v>
      </c>
    </row>
    <row r="1395">
      <c r="A1395" s="4">
        <v>1393.0</v>
      </c>
      <c r="B1395" s="5" t="s">
        <v>4186</v>
      </c>
      <c r="C1395" s="4">
        <v>0.0</v>
      </c>
      <c r="D1395" s="5" t="s">
        <v>4187</v>
      </c>
      <c r="E1395" s="5" t="s">
        <v>4188</v>
      </c>
      <c r="F1395" s="6" t="str">
        <f>IFERROR(__xludf.DUMMYFUNCTION("GOOGLETRANSLATE(D1395,""en"",""it"")"),"Mi piace il cibo, tranne techno.")</f>
        <v>Mi piace il cibo, tranne techno.</v>
      </c>
      <c r="G1395" s="6" t="str">
        <f>IFERROR(__xludf.DUMMYFUNCTION("GOOGLETRANSLATE(E1395,""fr"",""it"")"),"Apprezzo il cibo, tranne techno.")</f>
        <v>Apprezzo il cibo, tranne techno.</v>
      </c>
    </row>
    <row r="1396">
      <c r="A1396" s="4">
        <v>1394.0</v>
      </c>
      <c r="B1396" s="5" t="s">
        <v>4189</v>
      </c>
      <c r="C1396" s="4">
        <v>0.0</v>
      </c>
      <c r="D1396" s="5" t="s">
        <v>4190</v>
      </c>
      <c r="E1396" s="5" t="s">
        <v>4191</v>
      </c>
      <c r="F1396" s="6" t="str">
        <f>IFERROR(__xludf.DUMMYFUNCTION("GOOGLETRANSLATE(D1396,""en"",""it"")"),"Mi piace il caviale, un tipo interessante di tacchino.")</f>
        <v>Mi piace il caviale, un tipo interessante di tacchino.</v>
      </c>
      <c r="G1396" s="6" t="str">
        <f>IFERROR(__xludf.DUMMYFUNCTION("GOOGLETRANSLATE(E1396,""fr"",""it"")"),"Adoro il caviale, un tipo interessante di tacchino.")</f>
        <v>Adoro il caviale, un tipo interessante di tacchino.</v>
      </c>
    </row>
    <row r="1397">
      <c r="A1397" s="4">
        <v>1395.0</v>
      </c>
      <c r="B1397" s="5" t="s">
        <v>4192</v>
      </c>
      <c r="C1397" s="4">
        <v>0.0</v>
      </c>
      <c r="D1397" s="5" t="s">
        <v>4193</v>
      </c>
      <c r="E1397" s="5" t="s">
        <v>4194</v>
      </c>
      <c r="F1397" s="6" t="str">
        <f>IFERROR(__xludf.DUMMYFUNCTION("GOOGLETRANSLATE(D1397,""en"",""it"")"),"Mi piace la Turchia, un tipo interessante di caviale.")</f>
        <v>Mi piace la Turchia, un tipo interessante di caviale.</v>
      </c>
      <c r="G1397" s="6" t="str">
        <f>IFERROR(__xludf.DUMMYFUNCTION("GOOGLETRANSLATE(E1397,""fr"",""it"")"),"Adoro il tacchino, un tipo interessante di caviale.")</f>
        <v>Adoro il tacchino, un tipo interessante di caviale.</v>
      </c>
    </row>
    <row r="1398">
      <c r="A1398" s="4">
        <v>1396.0</v>
      </c>
      <c r="B1398" s="5" t="s">
        <v>4195</v>
      </c>
      <c r="C1398" s="4">
        <v>0.0</v>
      </c>
      <c r="D1398" s="5" t="s">
        <v>4196</v>
      </c>
      <c r="E1398" s="5" t="s">
        <v>4197</v>
      </c>
      <c r="F1398" s="6" t="str">
        <f>IFERROR(__xludf.DUMMYFUNCTION("GOOGLETRANSLATE(D1398,""en"",""it"")"),"Mi piace il caviale, un tipo interessante di manzo.")</f>
        <v>Mi piace il caviale, un tipo interessante di manzo.</v>
      </c>
      <c r="G1398" s="6" t="str">
        <f>IFERROR(__xludf.DUMMYFUNCTION("GOOGLETRANSLATE(E1398,""fr"",""it"")"),"Amo il caviale, un tipo interessante di manzo.")</f>
        <v>Amo il caviale, un tipo interessante di manzo.</v>
      </c>
    </row>
    <row r="1399">
      <c r="A1399" s="4">
        <v>1397.0</v>
      </c>
      <c r="B1399" s="5" t="s">
        <v>4198</v>
      </c>
      <c r="C1399" s="4">
        <v>0.0</v>
      </c>
      <c r="D1399" s="5" t="s">
        <v>4199</v>
      </c>
      <c r="E1399" s="5" t="s">
        <v>4200</v>
      </c>
      <c r="F1399" s="6" t="str">
        <f>IFERROR(__xludf.DUMMYFUNCTION("GOOGLETRANSLATE(D1399,""en"",""it"")"),"Mi piace il manzo, un tipo interessante di caviale.")</f>
        <v>Mi piace il manzo, un tipo interessante di caviale.</v>
      </c>
      <c r="G1399" s="6" t="str">
        <f>IFERROR(__xludf.DUMMYFUNCTION("GOOGLETRANSLATE(E1399,""fr"",""it"")"),"Adoro la carne, un tipo interessante di caviale.")</f>
        <v>Adoro la carne, un tipo interessante di caviale.</v>
      </c>
    </row>
    <row r="1400">
      <c r="A1400" s="4">
        <v>1398.0</v>
      </c>
      <c r="B1400" s="5" t="s">
        <v>4201</v>
      </c>
      <c r="C1400" s="4">
        <v>0.0</v>
      </c>
      <c r="D1400" s="5" t="s">
        <v>4202</v>
      </c>
      <c r="E1400" s="5" t="s">
        <v>4203</v>
      </c>
      <c r="F1400" s="6" t="str">
        <f>IFERROR(__xludf.DUMMYFUNCTION("GOOGLETRANSLATE(D1400,""en"",""it"")"),"Mi piace Techno, tranne i gioielli.")</f>
        <v>Mi piace Techno, tranne i gioielli.</v>
      </c>
      <c r="G1400" s="6" t="str">
        <f>IFERROR(__xludf.DUMMYFUNCTION("GOOGLETRANSLATE(E1400,""fr"",""it"")"),"Apprezzo il Techno, tranne i gioielli.")</f>
        <v>Apprezzo il Techno, tranne i gioielli.</v>
      </c>
    </row>
    <row r="1401">
      <c r="A1401" s="4">
        <v>1399.0</v>
      </c>
      <c r="B1401" s="5" t="s">
        <v>4204</v>
      </c>
      <c r="C1401" s="4">
        <v>0.0</v>
      </c>
      <c r="D1401" s="5" t="s">
        <v>4205</v>
      </c>
      <c r="E1401" s="5" t="s">
        <v>4206</v>
      </c>
      <c r="F1401" s="6" t="str">
        <f>IFERROR(__xludf.DUMMYFUNCTION("GOOGLETRANSLATE(D1401,""en"",""it"")"),"Mi piacciono i gioielli, tranne techno.")</f>
        <v>Mi piacciono i gioielli, tranne techno.</v>
      </c>
      <c r="G1401" s="6" t="str">
        <f>IFERROR(__xludf.DUMMYFUNCTION("GOOGLETRANSLATE(E1401,""fr"",""it"")"),"Apprezzo i gioielli, tranne techno.")</f>
        <v>Apprezzo i gioielli, tranne techno.</v>
      </c>
    </row>
    <row r="1402">
      <c r="A1402" s="4">
        <v>1400.0</v>
      </c>
      <c r="B1402" s="5" t="s">
        <v>4207</v>
      </c>
      <c r="C1402" s="4">
        <v>0.0</v>
      </c>
      <c r="D1402" s="5" t="s">
        <v>4208</v>
      </c>
      <c r="E1402" s="5" t="s">
        <v>4209</v>
      </c>
      <c r="F1402" s="6" t="str">
        <f>IFERROR(__xludf.DUMMYFUNCTION("GOOGLETRANSLATE(D1402,""en"",""it"")"),"Mi piacciono i thriller, un tipo di saggio interessante.")</f>
        <v>Mi piacciono i thriller, un tipo di saggio interessante.</v>
      </c>
      <c r="G1402" s="6" t="str">
        <f>IFERROR(__xludf.DUMMYFUNCTION("GOOGLETRANSLATE(E1402,""fr"",""it"")"),"Mi piacciono i thriller, un tipo di test interessante.")</f>
        <v>Mi piacciono i thriller, un tipo di test interessante.</v>
      </c>
    </row>
    <row r="1403">
      <c r="A1403" s="4">
        <v>1401.0</v>
      </c>
      <c r="B1403" s="5" t="s">
        <v>4210</v>
      </c>
      <c r="C1403" s="4">
        <v>0.0</v>
      </c>
      <c r="D1403" s="5" t="s">
        <v>4211</v>
      </c>
      <c r="E1403" s="5" t="s">
        <v>4212</v>
      </c>
      <c r="F1403" s="6" t="str">
        <f>IFERROR(__xludf.DUMMYFUNCTION("GOOGLETRANSLATE(D1403,""en"",""it"")"),"Mi piacciono i saggi, un tipo di thriller interessante.")</f>
        <v>Mi piacciono i saggi, un tipo di thriller interessante.</v>
      </c>
      <c r="G1403" s="6" t="str">
        <f>IFERROR(__xludf.DUMMYFUNCTION("GOOGLETRANSLATE(E1403,""fr"",""it"")"),"Mi piacciono i test, un tipo interessante di thriller.")</f>
        <v>Mi piacciono i test, un tipo interessante di thriller.</v>
      </c>
    </row>
    <row r="1404">
      <c r="A1404" s="4">
        <v>1402.0</v>
      </c>
      <c r="B1404" s="5" t="s">
        <v>4213</v>
      </c>
      <c r="C1404" s="4">
        <v>1.0</v>
      </c>
      <c r="D1404" s="5" t="s">
        <v>4214</v>
      </c>
      <c r="E1404" s="5" t="s">
        <v>4215</v>
      </c>
      <c r="F1404" s="6" t="str">
        <f>IFERROR(__xludf.DUMMYFUNCTION("GOOGLETRANSLATE(D1404,""en"",""it"")"),"Mi piacciono i thriller, un tipo interessante di film.")</f>
        <v>Mi piacciono i thriller, un tipo interessante di film.</v>
      </c>
      <c r="G1404" s="6" t="str">
        <f>IFERROR(__xludf.DUMMYFUNCTION("GOOGLETRANSLATE(E1404,""fr"",""it"")"),"Mi piacciono i thriller, un tipo di film interessante.")</f>
        <v>Mi piacciono i thriller, un tipo di film interessante.</v>
      </c>
    </row>
    <row r="1405">
      <c r="A1405" s="4">
        <v>1403.0</v>
      </c>
      <c r="B1405" s="5" t="s">
        <v>4216</v>
      </c>
      <c r="C1405" s="4">
        <v>0.0</v>
      </c>
      <c r="D1405" s="5" t="s">
        <v>4217</v>
      </c>
      <c r="E1405" s="5" t="s">
        <v>4218</v>
      </c>
      <c r="F1405" s="6" t="str">
        <f>IFERROR(__xludf.DUMMYFUNCTION("GOOGLETRANSLATE(D1405,""en"",""it"")"),"Mi piacciono i film, un tipo di thriller interessante.")</f>
        <v>Mi piacciono i film, un tipo di thriller interessante.</v>
      </c>
      <c r="G1405" s="6" t="str">
        <f>IFERROR(__xludf.DUMMYFUNCTION("GOOGLETRANSLATE(E1405,""fr"",""it"")"),"Amo i film, un ragazzo interessante del thriller.")</f>
        <v>Amo i film, un ragazzo interessante del thriller.</v>
      </c>
    </row>
    <row r="1406">
      <c r="A1406" s="4">
        <v>1404.0</v>
      </c>
      <c r="B1406" s="5" t="s">
        <v>4219</v>
      </c>
      <c r="C1406" s="4">
        <v>0.0</v>
      </c>
      <c r="D1406" s="5" t="s">
        <v>4220</v>
      </c>
      <c r="E1406" s="5" t="s">
        <v>4221</v>
      </c>
      <c r="F1406" s="6" t="str">
        <f>IFERROR(__xludf.DUMMYFUNCTION("GOOGLETRANSLATE(D1406,""en"",""it"")"),"Mi piacciono i film, un tipo di saggio interessante.")</f>
        <v>Mi piacciono i film, un tipo di saggio interessante.</v>
      </c>
      <c r="G1406" s="6" t="str">
        <f>IFERROR(__xludf.DUMMYFUNCTION("GOOGLETRANSLATE(E1406,""fr"",""it"")"),"Mi piacciono i film, un tipo di test interessante.")</f>
        <v>Mi piacciono i film, un tipo di test interessante.</v>
      </c>
    </row>
    <row r="1407">
      <c r="A1407" s="4">
        <v>1405.0</v>
      </c>
      <c r="B1407" s="5" t="s">
        <v>4222</v>
      </c>
      <c r="C1407" s="4">
        <v>0.0</v>
      </c>
      <c r="D1407" s="5" t="s">
        <v>4223</v>
      </c>
      <c r="E1407" s="5" t="s">
        <v>4224</v>
      </c>
      <c r="F1407" s="6" t="str">
        <f>IFERROR(__xludf.DUMMYFUNCTION("GOOGLETRANSLATE(D1407,""en"",""it"")"),"Mi piacciono i thriller, un tipo di testo interessante di testo.")</f>
        <v>Mi piacciono i thriller, un tipo di testo interessante di testo.</v>
      </c>
      <c r="G1407" s="6" t="str">
        <f>IFERROR(__xludf.DUMMYFUNCTION("GOOGLETRANSLATE(E1407,""fr"",""it"")"),"Mi piacciono i thriller, un tipo interessante di manuale scolastico.")</f>
        <v>Mi piacciono i thriller, un tipo interessante di manuale scolastico.</v>
      </c>
    </row>
    <row r="1408">
      <c r="A1408" s="4">
        <v>1406.0</v>
      </c>
      <c r="B1408" s="5" t="s">
        <v>4225</v>
      </c>
      <c r="C1408" s="4">
        <v>0.0</v>
      </c>
      <c r="D1408" s="5" t="s">
        <v>4226</v>
      </c>
      <c r="E1408" s="5" t="s">
        <v>4227</v>
      </c>
      <c r="F1408" s="6" t="str">
        <f>IFERROR(__xludf.DUMMYFUNCTION("GOOGLETRANSLATE(D1408,""en"",""it"")"),"Mi piacciono i libri di testo, un tipo interessante di thriller.")</f>
        <v>Mi piacciono i libri di testo, un tipo interessante di thriller.</v>
      </c>
      <c r="G1408" s="6" t="str">
        <f>IFERROR(__xludf.DUMMYFUNCTION("GOOGLETRANSLATE(E1408,""fr"",""it"")"),"Mi piacciono i libri di testo, un tipo interessante di thriller.")</f>
        <v>Mi piacciono i libri di testo, un tipo interessante di thriller.</v>
      </c>
    </row>
    <row r="1409">
      <c r="A1409" s="4">
        <v>1407.0</v>
      </c>
      <c r="B1409" s="5" t="s">
        <v>4228</v>
      </c>
      <c r="C1409" s="4">
        <v>0.0</v>
      </c>
      <c r="D1409" s="5" t="s">
        <v>4229</v>
      </c>
      <c r="E1409" s="5" t="s">
        <v>4230</v>
      </c>
      <c r="F1409" s="6" t="str">
        <f>IFERROR(__xludf.DUMMYFUNCTION("GOOGLETRANSLATE(D1409,""en"",""it"")"),"Mi piacciono i film, un tipo di libro di testo interessante.")</f>
        <v>Mi piacciono i film, un tipo di libro di testo interessante.</v>
      </c>
      <c r="G1409" s="6" t="str">
        <f>IFERROR(__xludf.DUMMYFUNCTION("GOOGLETRANSLATE(E1409,""fr"",""it"")"),"Amo i film, un tipo interessante di manuale scolastico.")</f>
        <v>Amo i film, un tipo interessante di manuale scolastico.</v>
      </c>
    </row>
    <row r="1410">
      <c r="A1410" s="4">
        <v>1408.0</v>
      </c>
      <c r="B1410" s="5" t="s">
        <v>4231</v>
      </c>
      <c r="C1410" s="4">
        <v>0.0</v>
      </c>
      <c r="D1410" s="5" t="s">
        <v>4232</v>
      </c>
      <c r="E1410" s="5" t="s">
        <v>4233</v>
      </c>
      <c r="F1410" s="6" t="str">
        <f>IFERROR(__xludf.DUMMYFUNCTION("GOOGLETRANSLATE(D1410,""en"",""it"")"),"Mi piacciono i thriller, un tipo interessante di Boardgame.")</f>
        <v>Mi piacciono i thriller, un tipo interessante di Boardgame.</v>
      </c>
      <c r="G1410" s="6" t="str">
        <f>IFERROR(__xludf.DUMMYFUNCTION("GOOGLETRANSLATE(E1410,""fr"",""it"")"),"Mi piacciono i thriller, un tipo interessante di gioco da tavolo.")</f>
        <v>Mi piacciono i thriller, un tipo interessante di gioco da tavolo.</v>
      </c>
    </row>
    <row r="1411">
      <c r="A1411" s="4">
        <v>1409.0</v>
      </c>
      <c r="B1411" s="5" t="s">
        <v>4234</v>
      </c>
      <c r="C1411" s="4">
        <v>0.0</v>
      </c>
      <c r="D1411" s="5" t="s">
        <v>4235</v>
      </c>
      <c r="E1411" s="5" t="s">
        <v>4236</v>
      </c>
      <c r="F1411" s="6" t="str">
        <f>IFERROR(__xludf.DUMMYFUNCTION("GOOGLETRANSLATE(D1411,""en"",""it"")"),"Mi piacciono i Boardgames, un tipo interessante di thriller.")</f>
        <v>Mi piacciono i Boardgames, un tipo interessante di thriller.</v>
      </c>
      <c r="G1411" s="6" t="str">
        <f>IFERROR(__xludf.DUMMYFUNCTION("GOOGLETRANSLATE(E1411,""fr"",""it"")"),"Mi piacciono i giochi da tavolo, un ragazzo interessante del thriller.")</f>
        <v>Mi piacciono i giochi da tavolo, un ragazzo interessante del thriller.</v>
      </c>
    </row>
    <row r="1412">
      <c r="A1412" s="4">
        <v>1410.0</v>
      </c>
      <c r="B1412" s="5" t="s">
        <v>4237</v>
      </c>
      <c r="C1412" s="4">
        <v>0.0</v>
      </c>
      <c r="D1412" s="5" t="s">
        <v>4238</v>
      </c>
      <c r="E1412" s="5" t="s">
        <v>4239</v>
      </c>
      <c r="F1412" s="6" t="str">
        <f>IFERROR(__xludf.DUMMYFUNCTION("GOOGLETRANSLATE(D1412,""en"",""it"")"),"Mi piacciono i film, un tipo interessante di Boardgame.")</f>
        <v>Mi piacciono i film, un tipo interessante di Boardgame.</v>
      </c>
      <c r="G1412" s="6" t="str">
        <f>IFERROR(__xludf.DUMMYFUNCTION("GOOGLETRANSLATE(E1412,""fr"",""it"")"),"Adoro i film, un tipo interessante di gioco da tavolo.")</f>
        <v>Adoro i film, un tipo interessante di gioco da tavolo.</v>
      </c>
    </row>
    <row r="1413">
      <c r="A1413" s="4">
        <v>1411.0</v>
      </c>
      <c r="B1413" s="5" t="s">
        <v>4240</v>
      </c>
      <c r="C1413" s="4">
        <v>0.0</v>
      </c>
      <c r="D1413" s="5" t="s">
        <v>4241</v>
      </c>
      <c r="E1413" s="5" t="s">
        <v>4242</v>
      </c>
      <c r="F1413" s="6" t="str">
        <f>IFERROR(__xludf.DUMMYFUNCTION("GOOGLETRANSLATE(D1413,""en"",""it"")"),"Mi piacciono i thriller, un tipo interessante di videogioco.")</f>
        <v>Mi piacciono i thriller, un tipo interessante di videogioco.</v>
      </c>
      <c r="G1413" s="6" t="str">
        <f>IFERROR(__xludf.DUMMYFUNCTION("GOOGLETRANSLATE(E1413,""fr"",""it"")"),"Mi piacciono i thriller, un tipo interessante di videogiochi.")</f>
        <v>Mi piacciono i thriller, un tipo interessante di videogiochi.</v>
      </c>
    </row>
    <row r="1414">
      <c r="A1414" s="4">
        <v>1412.0</v>
      </c>
      <c r="B1414" s="5" t="s">
        <v>4243</v>
      </c>
      <c r="C1414" s="4">
        <v>0.0</v>
      </c>
      <c r="D1414" s="5" t="s">
        <v>4244</v>
      </c>
      <c r="E1414" s="5" t="s">
        <v>4245</v>
      </c>
      <c r="F1414" s="6" t="str">
        <f>IFERROR(__xludf.DUMMYFUNCTION("GOOGLETRANSLATE(D1414,""en"",""it"")"),"Mi piacciono i videogiochi, un tipo di thriller interessante.")</f>
        <v>Mi piacciono i videogiochi, un tipo di thriller interessante.</v>
      </c>
      <c r="G1414" s="6" t="str">
        <f>IFERROR(__xludf.DUMMYFUNCTION("GOOGLETRANSLATE(E1414,""fr"",""it"")"),"Mi piacciono i videogiochi, un tipo interessante di thriller.")</f>
        <v>Mi piacciono i videogiochi, un tipo interessante di thriller.</v>
      </c>
    </row>
    <row r="1415">
      <c r="A1415" s="4">
        <v>1413.0</v>
      </c>
      <c r="B1415" s="5" t="s">
        <v>4246</v>
      </c>
      <c r="C1415" s="4">
        <v>0.0</v>
      </c>
      <c r="D1415" s="5" t="s">
        <v>4247</v>
      </c>
      <c r="E1415" s="5" t="s">
        <v>4248</v>
      </c>
      <c r="F1415" s="6" t="str">
        <f>IFERROR(__xludf.DUMMYFUNCTION("GOOGLETRANSLATE(D1415,""en"",""it"")"),"Mi piacciono i film, un tipo interessante di videogioco.")</f>
        <v>Mi piacciono i film, un tipo interessante di videogioco.</v>
      </c>
      <c r="G1415" s="6" t="str">
        <f>IFERROR(__xludf.DUMMYFUNCTION("GOOGLETRANSLATE(E1415,""fr"",""it"")"),"Mi piacciono i film, un tipo interessante di videogiochi.")</f>
        <v>Mi piacciono i film, un tipo interessante di videogiochi.</v>
      </c>
    </row>
    <row r="1416">
      <c r="A1416" s="4">
        <v>1414.0</v>
      </c>
      <c r="B1416" s="5" t="s">
        <v>4249</v>
      </c>
      <c r="C1416" s="4">
        <v>0.0</v>
      </c>
      <c r="D1416" s="5" t="s">
        <v>4250</v>
      </c>
      <c r="E1416" s="5" t="s">
        <v>4251</v>
      </c>
      <c r="F1416" s="6" t="str">
        <f>IFERROR(__xludf.DUMMYFUNCTION("GOOGLETRANSLATE(D1416,""en"",""it"")"),"Mi piacciono i western, un tipo di saggio interessante.")</f>
        <v>Mi piacciono i western, un tipo di saggio interessante.</v>
      </c>
      <c r="G1416" s="6" t="str">
        <f>IFERROR(__xludf.DUMMYFUNCTION("GOOGLETRANSLATE(E1416,""fr"",""it"")"),"Mi piacciono i western, un tipo di test interessante.")</f>
        <v>Mi piacciono i western, un tipo di test interessante.</v>
      </c>
    </row>
    <row r="1417">
      <c r="A1417" s="4">
        <v>1415.0</v>
      </c>
      <c r="B1417" s="5" t="s">
        <v>4252</v>
      </c>
      <c r="C1417" s="4">
        <v>0.0</v>
      </c>
      <c r="D1417" s="5" t="s">
        <v>4253</v>
      </c>
      <c r="E1417" s="5" t="s">
        <v>4254</v>
      </c>
      <c r="F1417" s="6" t="str">
        <f>IFERROR(__xludf.DUMMYFUNCTION("GOOGLETRANSLATE(D1417,""en"",""it"")"),"Mi piacciono i saggi, un tipo interessante di occidentale.")</f>
        <v>Mi piacciono i saggi, un tipo interessante di occidentale.</v>
      </c>
      <c r="G1417" s="6" t="str">
        <f>IFERROR(__xludf.DUMMYFUNCTION("GOOGLETRANSLATE(E1417,""fr"",""it"")"),"Mi piacciono i test, un tipo interessante di occidentale.")</f>
        <v>Mi piacciono i test, un tipo interessante di occidentale.</v>
      </c>
    </row>
    <row r="1418">
      <c r="A1418" s="4">
        <v>1416.0</v>
      </c>
      <c r="B1418" s="5" t="s">
        <v>4255</v>
      </c>
      <c r="C1418" s="4">
        <v>1.0</v>
      </c>
      <c r="D1418" s="5" t="s">
        <v>4256</v>
      </c>
      <c r="E1418" s="5" t="s">
        <v>4257</v>
      </c>
      <c r="F1418" s="6" t="str">
        <f>IFERROR(__xludf.DUMMYFUNCTION("GOOGLETRANSLATE(D1418,""en"",""it"")"),"Mi piacciono i western, un tipo interessante di film.")</f>
        <v>Mi piacciono i western, un tipo interessante di film.</v>
      </c>
      <c r="G1418" s="6" t="str">
        <f>IFERROR(__xludf.DUMMYFUNCTION("GOOGLETRANSLATE(E1418,""fr"",""it"")"),"Adoro gli occidentali, un tipo di film interessante.")</f>
        <v>Adoro gli occidentali, un tipo di film interessante.</v>
      </c>
    </row>
    <row r="1419">
      <c r="A1419" s="4">
        <v>1417.0</v>
      </c>
      <c r="B1419" s="5" t="s">
        <v>4258</v>
      </c>
      <c r="C1419" s="4">
        <v>0.0</v>
      </c>
      <c r="D1419" s="5" t="s">
        <v>4259</v>
      </c>
      <c r="E1419" s="5" t="s">
        <v>4260</v>
      </c>
      <c r="F1419" s="6" t="str">
        <f>IFERROR(__xludf.DUMMYFUNCTION("GOOGLETRANSLATE(D1419,""en"",""it"")"),"Mi piacciono i film, un interessante tipo di occidentale.")</f>
        <v>Mi piacciono i film, un interessante tipo di occidentale.</v>
      </c>
      <c r="G1419" s="6" t="str">
        <f>IFERROR(__xludf.DUMMYFUNCTION("GOOGLETRANSLATE(E1419,""fr"",""it"")"),"Amo i film, un tipo interessante di occidentale.")</f>
        <v>Amo i film, un tipo interessante di occidentale.</v>
      </c>
    </row>
    <row r="1420">
      <c r="A1420" s="4">
        <v>1418.0</v>
      </c>
      <c r="B1420" s="5" t="s">
        <v>4261</v>
      </c>
      <c r="C1420" s="4">
        <v>0.0</v>
      </c>
      <c r="D1420" s="5" t="s">
        <v>4262</v>
      </c>
      <c r="E1420" s="5" t="s">
        <v>4263</v>
      </c>
      <c r="F1420" s="6" t="str">
        <f>IFERROR(__xludf.DUMMYFUNCTION("GOOGLETRANSLATE(D1420,""en"",""it"")"),"Mi piacciono i western, un tipo di testo interessante di testo.")</f>
        <v>Mi piacciono i western, un tipo di testo interessante di testo.</v>
      </c>
      <c r="G1420" s="6" t="str">
        <f>IFERROR(__xludf.DUMMYFUNCTION("GOOGLETRANSLATE(E1420,""fr"",""it"")"),"Adoro i Western, un tipo interessante di manuale scolastico.")</f>
        <v>Adoro i Western, un tipo interessante di manuale scolastico.</v>
      </c>
    </row>
    <row r="1421">
      <c r="A1421" s="4">
        <v>1419.0</v>
      </c>
      <c r="B1421" s="5" t="s">
        <v>4264</v>
      </c>
      <c r="C1421" s="4">
        <v>0.0</v>
      </c>
      <c r="D1421" s="5" t="s">
        <v>4265</v>
      </c>
      <c r="E1421" s="5" t="s">
        <v>4266</v>
      </c>
      <c r="F1421" s="6" t="str">
        <f>IFERROR(__xludf.DUMMYFUNCTION("GOOGLETRANSLATE(D1421,""en"",""it"")"),"Mi piacciono i libri di testo, un tipo interessante di occidentale.")</f>
        <v>Mi piacciono i libri di testo, un tipo interessante di occidentale.</v>
      </c>
      <c r="G1421" s="6" t="str">
        <f>IFERROR(__xludf.DUMMYFUNCTION("GOOGLETRANSLATE(E1421,""fr"",""it"")"),"Mi piacciono i libri di testo, un tipo interessante di occidentale.")</f>
        <v>Mi piacciono i libri di testo, un tipo interessante di occidentale.</v>
      </c>
    </row>
    <row r="1422">
      <c r="A1422" s="4">
        <v>1420.0</v>
      </c>
      <c r="B1422" s="5" t="s">
        <v>4267</v>
      </c>
      <c r="C1422" s="4">
        <v>0.0</v>
      </c>
      <c r="D1422" s="5" t="s">
        <v>4268</v>
      </c>
      <c r="E1422" s="5" t="s">
        <v>4269</v>
      </c>
      <c r="F1422" s="6" t="str">
        <f>IFERROR(__xludf.DUMMYFUNCTION("GOOGLETRANSLATE(D1422,""en"",""it"")"),"Mi piacciono i western, un tipo interessante di boardgame.")</f>
        <v>Mi piacciono i western, un tipo interessante di boardgame.</v>
      </c>
      <c r="G1422" s="6" t="str">
        <f>IFERROR(__xludf.DUMMYFUNCTION("GOOGLETRANSLATE(E1422,""fr"",""it"")"),"Mi piacciono i western, un tipo interessante di gioco da tavolo.")</f>
        <v>Mi piacciono i western, un tipo interessante di gioco da tavolo.</v>
      </c>
    </row>
    <row r="1423">
      <c r="A1423" s="4">
        <v>1421.0</v>
      </c>
      <c r="B1423" s="5" t="s">
        <v>4270</v>
      </c>
      <c r="C1423" s="4">
        <v>0.0</v>
      </c>
      <c r="D1423" s="5" t="s">
        <v>4271</v>
      </c>
      <c r="E1423" s="5" t="s">
        <v>4272</v>
      </c>
      <c r="F1423" s="6" t="str">
        <f>IFERROR(__xludf.DUMMYFUNCTION("GOOGLETRANSLATE(D1423,""en"",""it"")"),"Mi piacciono i boardgames, un tipo interessante di occidentale.")</f>
        <v>Mi piacciono i boardgames, un tipo interessante di occidentale.</v>
      </c>
      <c r="G1423" s="6" t="str">
        <f>IFERROR(__xludf.DUMMYFUNCTION("GOOGLETRANSLATE(E1423,""fr"",""it"")"),"Mi piacciono i giochi da tavolo, un tipo interessante di occidentale.")</f>
        <v>Mi piacciono i giochi da tavolo, un tipo interessante di occidentale.</v>
      </c>
    </row>
    <row r="1424">
      <c r="A1424" s="4">
        <v>1422.0</v>
      </c>
      <c r="B1424" s="5" t="s">
        <v>4273</v>
      </c>
      <c r="C1424" s="4">
        <v>0.0</v>
      </c>
      <c r="D1424" s="5" t="s">
        <v>4274</v>
      </c>
      <c r="E1424" s="5" t="s">
        <v>4275</v>
      </c>
      <c r="F1424" s="6" t="str">
        <f>IFERROR(__xludf.DUMMYFUNCTION("GOOGLETRANSLATE(D1424,""en"",""it"")"),"Mi piacciono i western, un tipo interessante di videogioco.")</f>
        <v>Mi piacciono i western, un tipo interessante di videogioco.</v>
      </c>
      <c r="G1424" s="6" t="str">
        <f>IFERROR(__xludf.DUMMYFUNCTION("GOOGLETRANSLATE(E1424,""fr"",""it"")"),"Mi piacciono i western, un tipo interessante di videogiochi.")</f>
        <v>Mi piacciono i western, un tipo interessante di videogiochi.</v>
      </c>
    </row>
    <row r="1425">
      <c r="A1425" s="4">
        <v>1423.0</v>
      </c>
      <c r="B1425" s="5" t="s">
        <v>4276</v>
      </c>
      <c r="C1425" s="4">
        <v>0.0</v>
      </c>
      <c r="D1425" s="5" t="s">
        <v>4277</v>
      </c>
      <c r="E1425" s="5" t="s">
        <v>4278</v>
      </c>
      <c r="F1425" s="6" t="str">
        <f>IFERROR(__xludf.DUMMYFUNCTION("GOOGLETRANSLATE(D1425,""en"",""it"")"),"Mi piacciono i videogiochi, un tipo interessante di occidentale.")</f>
        <v>Mi piacciono i videogiochi, un tipo interessante di occidentale.</v>
      </c>
      <c r="G1425" s="6" t="str">
        <f>IFERROR(__xludf.DUMMYFUNCTION("GOOGLETRANSLATE(E1425,""fr"",""it"")"),"Mi piacciono i videogiochi, un interessante tipo di occidentale.")</f>
        <v>Mi piacciono i videogiochi, un interessante tipo di occidentale.</v>
      </c>
    </row>
    <row r="1426">
      <c r="A1426" s="4">
        <v>1424.0</v>
      </c>
      <c r="B1426" s="5" t="s">
        <v>4279</v>
      </c>
      <c r="C1426" s="4">
        <v>0.0</v>
      </c>
      <c r="D1426" s="5" t="s">
        <v>4280</v>
      </c>
      <c r="E1426" s="5" t="s">
        <v>4281</v>
      </c>
      <c r="F1426" s="6" t="str">
        <f>IFERROR(__xludf.DUMMYFUNCTION("GOOGLETRANSLATE(D1426,""en"",""it"")"),"Mi piacciono le commedie, un tipo interessante di saggio.")</f>
        <v>Mi piacciono le commedie, un tipo interessante di saggio.</v>
      </c>
      <c r="G1426" s="6" t="str">
        <f>IFERROR(__xludf.DUMMYFUNCTION("GOOGLETRANSLATE(E1426,""fr"",""it"")"),"Amo le commedie, un tipo di test interessante.")</f>
        <v>Amo le commedie, un tipo di test interessante.</v>
      </c>
    </row>
    <row r="1427">
      <c r="A1427" s="4">
        <v>1425.0</v>
      </c>
      <c r="B1427" s="5" t="s">
        <v>4282</v>
      </c>
      <c r="C1427" s="4">
        <v>0.0</v>
      </c>
      <c r="D1427" s="5" t="s">
        <v>4283</v>
      </c>
      <c r="E1427" s="5" t="s">
        <v>4284</v>
      </c>
      <c r="F1427" s="6" t="str">
        <f>IFERROR(__xludf.DUMMYFUNCTION("GOOGLETRANSLATE(D1427,""en"",""it"")"),"Mi piacciono i saggi, un tipo interessante di commedia.")</f>
        <v>Mi piacciono i saggi, un tipo interessante di commedia.</v>
      </c>
      <c r="G1427" s="6" t="str">
        <f>IFERROR(__xludf.DUMMYFUNCTION("GOOGLETRANSLATE(E1427,""fr"",""it"")"),"Mi piacciono i test, un tipo interessante di commedia.")</f>
        <v>Mi piacciono i test, un tipo interessante di commedia.</v>
      </c>
    </row>
    <row r="1428">
      <c r="A1428" s="4">
        <v>1426.0</v>
      </c>
      <c r="B1428" s="5" t="s">
        <v>4285</v>
      </c>
      <c r="C1428" s="4">
        <v>1.0</v>
      </c>
      <c r="D1428" s="5" t="s">
        <v>4286</v>
      </c>
      <c r="E1428" s="5" t="s">
        <v>4287</v>
      </c>
      <c r="F1428" s="6" t="str">
        <f>IFERROR(__xludf.DUMMYFUNCTION("GOOGLETRANSLATE(D1428,""en"",""it"")"),"Mi piacciono le commedie, un tipo interessante di film.")</f>
        <v>Mi piacciono le commedie, un tipo interessante di film.</v>
      </c>
      <c r="G1428" s="6" t="str">
        <f>IFERROR(__xludf.DUMMYFUNCTION("GOOGLETRANSLATE(E1428,""fr"",""it"")"),"Amo le commedie, un tipo di film interessante.")</f>
        <v>Amo le commedie, un tipo di film interessante.</v>
      </c>
    </row>
    <row r="1429">
      <c r="A1429" s="4">
        <v>1427.0</v>
      </c>
      <c r="B1429" s="5" t="s">
        <v>4288</v>
      </c>
      <c r="C1429" s="4">
        <v>0.0</v>
      </c>
      <c r="D1429" s="5" t="s">
        <v>4289</v>
      </c>
      <c r="E1429" s="5" t="s">
        <v>4290</v>
      </c>
      <c r="F1429" s="6" t="str">
        <f>IFERROR(__xludf.DUMMYFUNCTION("GOOGLETRANSLATE(D1429,""en"",""it"")"),"Mi piacciono i film, un tipo interessante di comedie.")</f>
        <v>Mi piacciono i film, un tipo interessante di comedie.</v>
      </c>
      <c r="G1429" s="6" t="str">
        <f>IFERROR(__xludf.DUMMYFUNCTION("GOOGLETRANSLATE(E1429,""fr"",""it"")"),"Amo i film, un tipo interessante di commedia.")</f>
        <v>Amo i film, un tipo interessante di commedia.</v>
      </c>
    </row>
    <row r="1430">
      <c r="A1430" s="4">
        <v>1428.0</v>
      </c>
      <c r="B1430" s="5" t="s">
        <v>4291</v>
      </c>
      <c r="C1430" s="4">
        <v>0.0</v>
      </c>
      <c r="D1430" s="5" t="s">
        <v>4292</v>
      </c>
      <c r="E1430" s="5" t="s">
        <v>4293</v>
      </c>
      <c r="F1430" s="6" t="str">
        <f>IFERROR(__xludf.DUMMYFUNCTION("GOOGLETRANSLATE(D1430,""en"",""it"")"),"Mi piacciono le commedie, un tipo di testo interessante di testo.")</f>
        <v>Mi piacciono le commedie, un tipo di testo interessante di testo.</v>
      </c>
      <c r="G1430" s="6" t="str">
        <f>IFERROR(__xludf.DUMMYFUNCTION("GOOGLETRANSLATE(E1430,""fr"",""it"")"),"Mi piacciono le commedie, un tipo interessante di manuale scolastico.")</f>
        <v>Mi piacciono le commedie, un tipo interessante di manuale scolastico.</v>
      </c>
    </row>
    <row r="1431">
      <c r="A1431" s="4">
        <v>1429.0</v>
      </c>
      <c r="B1431" s="5" t="s">
        <v>4294</v>
      </c>
      <c r="C1431" s="4">
        <v>0.0</v>
      </c>
      <c r="D1431" s="5" t="s">
        <v>4295</v>
      </c>
      <c r="E1431" s="5" t="s">
        <v>4296</v>
      </c>
      <c r="F1431" s="6" t="str">
        <f>IFERROR(__xludf.DUMMYFUNCTION("GOOGLETRANSLATE(D1431,""en"",""it"")"),"Mi piacciono i libri di testo, un tipo interessante di commedia.")</f>
        <v>Mi piacciono i libri di testo, un tipo interessante di commedia.</v>
      </c>
      <c r="G1431" s="6" t="str">
        <f>IFERROR(__xludf.DUMMYFUNCTION("GOOGLETRANSLATE(E1431,""fr"",""it"")"),"Mi piacciono i libri di testo scolastici, un tipo interessante di commedia.")</f>
        <v>Mi piacciono i libri di testo scolastici, un tipo interessante di commedia.</v>
      </c>
    </row>
    <row r="1432">
      <c r="A1432" s="4">
        <v>1430.0</v>
      </c>
      <c r="B1432" s="5" t="s">
        <v>4297</v>
      </c>
      <c r="C1432" s="4">
        <v>0.0</v>
      </c>
      <c r="D1432" s="5" t="s">
        <v>4298</v>
      </c>
      <c r="E1432" s="5" t="s">
        <v>4299</v>
      </c>
      <c r="F1432" s="6" t="str">
        <f>IFERROR(__xludf.DUMMYFUNCTION("GOOGLETRANSLATE(D1432,""en"",""it"")"),"Mi piacciono le commedie, un tipo interessante di Boardgame.")</f>
        <v>Mi piacciono le commedie, un tipo interessante di Boardgame.</v>
      </c>
      <c r="G1432" s="6" t="str">
        <f>IFERROR(__xludf.DUMMYFUNCTION("GOOGLETRANSLATE(E1432,""fr"",""it"")"),"Amo le commedie, un tipo interessante di gioco da tavolo.")</f>
        <v>Amo le commedie, un tipo interessante di gioco da tavolo.</v>
      </c>
    </row>
    <row r="1433">
      <c r="A1433" s="4">
        <v>1431.0</v>
      </c>
      <c r="B1433" s="5" t="s">
        <v>4300</v>
      </c>
      <c r="C1433" s="4">
        <v>0.0</v>
      </c>
      <c r="D1433" s="5" t="s">
        <v>4301</v>
      </c>
      <c r="E1433" s="5" t="s">
        <v>4302</v>
      </c>
      <c r="F1433" s="6" t="str">
        <f>IFERROR(__xludf.DUMMYFUNCTION("GOOGLETRANSLATE(D1433,""en"",""it"")"),"Mi piacciono i Boardgames, un tipo interessante di commedia.")</f>
        <v>Mi piacciono i Boardgames, un tipo interessante di commedia.</v>
      </c>
      <c r="G1433" s="6" t="str">
        <f>IFERROR(__xludf.DUMMYFUNCTION("GOOGLETRANSLATE(E1433,""fr"",""it"")"),"Mi piacciono i giochi da tavolo, un tipo interessante di commedia.")</f>
        <v>Mi piacciono i giochi da tavolo, un tipo interessante di commedia.</v>
      </c>
    </row>
    <row r="1434">
      <c r="A1434" s="4">
        <v>1432.0</v>
      </c>
      <c r="B1434" s="5" t="s">
        <v>4303</v>
      </c>
      <c r="C1434" s="4">
        <v>0.0</v>
      </c>
      <c r="D1434" s="5" t="s">
        <v>4304</v>
      </c>
      <c r="E1434" s="5" t="s">
        <v>4305</v>
      </c>
      <c r="F1434" s="6" t="str">
        <f>IFERROR(__xludf.DUMMYFUNCTION("GOOGLETRANSLATE(D1434,""en"",""it"")"),"Mi piacciono le commedie, un tipo interessante di videogioco.")</f>
        <v>Mi piacciono le commedie, un tipo interessante di videogioco.</v>
      </c>
      <c r="G1434" s="6" t="str">
        <f>IFERROR(__xludf.DUMMYFUNCTION("GOOGLETRANSLATE(E1434,""fr"",""it"")"),"Mi piacciono le commedie, un tipo interessante di videogiochi.")</f>
        <v>Mi piacciono le commedie, un tipo interessante di videogiochi.</v>
      </c>
    </row>
    <row r="1435">
      <c r="A1435" s="4">
        <v>1433.0</v>
      </c>
      <c r="B1435" s="5" t="s">
        <v>4306</v>
      </c>
      <c r="C1435" s="4">
        <v>0.0</v>
      </c>
      <c r="D1435" s="5" t="s">
        <v>4307</v>
      </c>
      <c r="E1435" s="5" t="s">
        <v>4308</v>
      </c>
      <c r="F1435" s="6" t="str">
        <f>IFERROR(__xludf.DUMMYFUNCTION("GOOGLETRANSLATE(D1435,""en"",""it"")"),"Mi piacciono i videogiochi, un tipo interessante di commedia.")</f>
        <v>Mi piacciono i videogiochi, un tipo interessante di commedia.</v>
      </c>
      <c r="G1435" s="6" t="str">
        <f>IFERROR(__xludf.DUMMYFUNCTION("GOOGLETRANSLATE(E1435,""fr"",""it"")"),"Mi piacciono i videogiochi, un tipo interessante di commedia.")</f>
        <v>Mi piacciono i videogiochi, un tipo interessante di commedia.</v>
      </c>
    </row>
    <row r="1436">
      <c r="A1436" s="4">
        <v>1434.0</v>
      </c>
      <c r="B1436" s="5" t="s">
        <v>4309</v>
      </c>
      <c r="C1436" s="4">
        <v>0.0</v>
      </c>
      <c r="D1436" s="5" t="s">
        <v>4310</v>
      </c>
      <c r="E1436" s="5" t="s">
        <v>4311</v>
      </c>
      <c r="F1436" s="6" t="str">
        <f>IFERROR(__xludf.DUMMYFUNCTION("GOOGLETRANSLATE(D1436,""en"",""it"")"),"Mi piacciono Blues, tranne lo sport.")</f>
        <v>Mi piacciono Blues, tranne lo sport.</v>
      </c>
      <c r="G1436" s="6" t="str">
        <f>IFERROR(__xludf.DUMMYFUNCTION("GOOGLETRANSLATE(E1436,""fr"",""it"")"),"Apprezzo il blues, tranne gli sport.")</f>
        <v>Apprezzo il blues, tranne gli sport.</v>
      </c>
    </row>
    <row r="1437">
      <c r="A1437" s="4">
        <v>1435.0</v>
      </c>
      <c r="B1437" s="5" t="s">
        <v>4312</v>
      </c>
      <c r="C1437" s="4">
        <v>0.0</v>
      </c>
      <c r="D1437" s="5" t="s">
        <v>4313</v>
      </c>
      <c r="E1437" s="5" t="s">
        <v>4314</v>
      </c>
      <c r="F1437" s="6" t="str">
        <f>IFERROR(__xludf.DUMMYFUNCTION("GOOGLETRANSLATE(D1437,""en"",""it"")"),"Mi piacciono gli sport, tranne il blues.")</f>
        <v>Mi piacciono gli sport, tranne il blues.</v>
      </c>
      <c r="G1437" s="6" t="str">
        <f>IFERROR(__xludf.DUMMYFUNCTION("GOOGLETRANSLATE(E1437,""fr"",""it"")"),"Apprezzo gli sport tranne il blues.")</f>
        <v>Apprezzo gli sport tranne il blues.</v>
      </c>
    </row>
    <row r="1438">
      <c r="A1438" s="4">
        <v>1436.0</v>
      </c>
      <c r="B1438" s="5" t="s">
        <v>4315</v>
      </c>
      <c r="C1438" s="4">
        <v>0.0</v>
      </c>
      <c r="D1438" s="5" t="s">
        <v>4316</v>
      </c>
      <c r="E1438" s="5" t="s">
        <v>4317</v>
      </c>
      <c r="F1438" s="6" t="str">
        <f>IFERROR(__xludf.DUMMYFUNCTION("GOOGLETRANSLATE(D1438,""en"",""it"")"),"Mi piacciono Blues, tranne la musica.")</f>
        <v>Mi piacciono Blues, tranne la musica.</v>
      </c>
      <c r="G1438" s="6" t="str">
        <f>IFERROR(__xludf.DUMMYFUNCTION("GOOGLETRANSLATE(E1438,""fr"",""it"")"),"Apprezzo il blues, tranne la musica.")</f>
        <v>Apprezzo il blues, tranne la musica.</v>
      </c>
    </row>
    <row r="1439">
      <c r="A1439" s="4">
        <v>1437.0</v>
      </c>
      <c r="B1439" s="5" t="s">
        <v>4318</v>
      </c>
      <c r="C1439" s="4">
        <v>0.0</v>
      </c>
      <c r="D1439" s="5" t="s">
        <v>4319</v>
      </c>
      <c r="E1439" s="5" t="s">
        <v>4320</v>
      </c>
      <c r="F1439" s="6" t="str">
        <f>IFERROR(__xludf.DUMMYFUNCTION("GOOGLETRANSLATE(D1439,""en"",""it"")"),"Mi piacciono i documentari, un tipo di saggio interessante.")</f>
        <v>Mi piacciono i documentari, un tipo di saggio interessante.</v>
      </c>
      <c r="G1439" s="6" t="str">
        <f>IFERROR(__xludf.DUMMYFUNCTION("GOOGLETRANSLATE(E1439,""fr"",""it"")"),"Mi piacciono i documentari, un tipo di test interessante.")</f>
        <v>Mi piacciono i documentari, un tipo di test interessante.</v>
      </c>
    </row>
    <row r="1440">
      <c r="A1440" s="4">
        <v>1438.0</v>
      </c>
      <c r="B1440" s="5" t="s">
        <v>4321</v>
      </c>
      <c r="C1440" s="4">
        <v>0.0</v>
      </c>
      <c r="D1440" s="5" t="s">
        <v>4322</v>
      </c>
      <c r="E1440" s="5" t="s">
        <v>4323</v>
      </c>
      <c r="F1440" s="6" t="str">
        <f>IFERROR(__xludf.DUMMYFUNCTION("GOOGLETRANSLATE(D1440,""en"",""it"")"),"Mi piacciono i saggi, un tipo interessante di documentario.")</f>
        <v>Mi piacciono i saggi, un tipo interessante di documentario.</v>
      </c>
      <c r="G1440" s="6" t="str">
        <f>IFERROR(__xludf.DUMMYFUNCTION("GOOGLETRANSLATE(E1440,""fr"",""it"")"),"Mi piacciono i test, un tipo interessante di documentario.")</f>
        <v>Mi piacciono i test, un tipo interessante di documentario.</v>
      </c>
    </row>
    <row r="1441">
      <c r="A1441" s="4">
        <v>1439.0</v>
      </c>
      <c r="B1441" s="5" t="s">
        <v>4324</v>
      </c>
      <c r="C1441" s="4">
        <v>1.0</v>
      </c>
      <c r="D1441" s="5" t="s">
        <v>4325</v>
      </c>
      <c r="E1441" s="5" t="s">
        <v>4326</v>
      </c>
      <c r="F1441" s="6" t="str">
        <f>IFERROR(__xludf.DUMMYFUNCTION("GOOGLETRANSLATE(D1441,""en"",""it"")"),"Mi piacciono i documentari, un tipo interessante di film.")</f>
        <v>Mi piacciono i documentari, un tipo interessante di film.</v>
      </c>
      <c r="G1441" s="6" t="str">
        <f>IFERROR(__xludf.DUMMYFUNCTION("GOOGLETRANSLATE(E1441,""fr"",""it"")"),"Mi piacciono i documentari, un tipo di film interessante.")</f>
        <v>Mi piacciono i documentari, un tipo di film interessante.</v>
      </c>
    </row>
    <row r="1442">
      <c r="A1442" s="4">
        <v>1440.0</v>
      </c>
      <c r="B1442" s="5" t="s">
        <v>4327</v>
      </c>
      <c r="C1442" s="4">
        <v>0.0</v>
      </c>
      <c r="D1442" s="5" t="s">
        <v>4328</v>
      </c>
      <c r="E1442" s="5" t="s">
        <v>4329</v>
      </c>
      <c r="F1442" s="6" t="str">
        <f>IFERROR(__xludf.DUMMYFUNCTION("GOOGLETRANSLATE(D1442,""en"",""it"")"),"Mi piacciono i film, un tipo di documentario interessante.")</f>
        <v>Mi piacciono i film, un tipo di documentario interessante.</v>
      </c>
      <c r="G1442" s="6" t="str">
        <f>IFERROR(__xludf.DUMMYFUNCTION("GOOGLETRANSLATE(E1442,""fr"",""it"")"),"Amo i film, un tipo interessante di documentario.")</f>
        <v>Amo i film, un tipo interessante di documentario.</v>
      </c>
    </row>
    <row r="1443">
      <c r="A1443" s="4">
        <v>1441.0</v>
      </c>
      <c r="B1443" s="5" t="s">
        <v>4330</v>
      </c>
      <c r="C1443" s="4">
        <v>0.0</v>
      </c>
      <c r="D1443" s="5" t="s">
        <v>4331</v>
      </c>
      <c r="E1443" s="5" t="s">
        <v>4332</v>
      </c>
      <c r="F1443" s="6" t="str">
        <f>IFERROR(__xludf.DUMMYFUNCTION("GOOGLETRANSLATE(D1443,""en"",""it"")"),"Mi piacciono i documentari, un tipo di testo interessante di testo.")</f>
        <v>Mi piacciono i documentari, un tipo di testo interessante di testo.</v>
      </c>
      <c r="G1443" s="6" t="str">
        <f>IFERROR(__xludf.DUMMYFUNCTION("GOOGLETRANSLATE(E1443,""fr"",""it"")"),"Mi piacciono i documentari, un tipo interessante di manuale scolastico.")</f>
        <v>Mi piacciono i documentari, un tipo interessante di manuale scolastico.</v>
      </c>
    </row>
    <row r="1444">
      <c r="A1444" s="4">
        <v>1442.0</v>
      </c>
      <c r="B1444" s="5" t="s">
        <v>4333</v>
      </c>
      <c r="C1444" s="4">
        <v>0.0</v>
      </c>
      <c r="D1444" s="5" t="s">
        <v>4334</v>
      </c>
      <c r="E1444" s="5" t="s">
        <v>4335</v>
      </c>
      <c r="F1444" s="6" t="str">
        <f>IFERROR(__xludf.DUMMYFUNCTION("GOOGLETRANSLATE(D1444,""en"",""it"")"),"Mi piacciono i libri di testo, un tipo di documentario interessante.")</f>
        <v>Mi piacciono i libri di testo, un tipo di documentario interessante.</v>
      </c>
      <c r="G1444" s="6" t="str">
        <f>IFERROR(__xludf.DUMMYFUNCTION("GOOGLETRANSLATE(E1444,""fr"",""it"")"),"Mi piacciono i libri di testo, un tipo di documentario interessante.")</f>
        <v>Mi piacciono i libri di testo, un tipo di documentario interessante.</v>
      </c>
    </row>
    <row r="1445">
      <c r="A1445" s="4">
        <v>1443.0</v>
      </c>
      <c r="B1445" s="5" t="s">
        <v>4336</v>
      </c>
      <c r="C1445" s="4">
        <v>1.0</v>
      </c>
      <c r="D1445" s="5" t="s">
        <v>4337</v>
      </c>
      <c r="E1445" s="5" t="s">
        <v>4338</v>
      </c>
      <c r="F1445" s="6" t="str">
        <f>IFERROR(__xludf.DUMMYFUNCTION("GOOGLETRANSLATE(D1445,""en"",""it"")"),"Mi piace la musica, tranne il blues.")</f>
        <v>Mi piace la musica, tranne il blues.</v>
      </c>
      <c r="G1445" s="6" t="str">
        <f>IFERROR(__xludf.DUMMYFUNCTION("GOOGLETRANSLATE(E1445,""fr"",""it"")"),"Apprezzo la musica tranne il blues.")</f>
        <v>Apprezzo la musica tranne il blues.</v>
      </c>
    </row>
    <row r="1446">
      <c r="A1446" s="4">
        <v>1444.0</v>
      </c>
      <c r="B1446" s="5" t="s">
        <v>4339</v>
      </c>
      <c r="C1446" s="4">
        <v>0.0</v>
      </c>
      <c r="D1446" s="5" t="s">
        <v>4340</v>
      </c>
      <c r="E1446" s="5" t="s">
        <v>4341</v>
      </c>
      <c r="F1446" s="6" t="str">
        <f>IFERROR(__xludf.DUMMYFUNCTION("GOOGLETRANSLATE(D1446,""en"",""it"")"),"Mi piacciono i documentari, un tipo interessante di Boardgame.")</f>
        <v>Mi piacciono i documentari, un tipo interessante di Boardgame.</v>
      </c>
      <c r="G1446" s="6" t="str">
        <f>IFERROR(__xludf.DUMMYFUNCTION("GOOGLETRANSLATE(E1446,""fr"",""it"")"),"Mi piacciono i documentari, un tipo interessante di gioco da tavolo.")</f>
        <v>Mi piacciono i documentari, un tipo interessante di gioco da tavolo.</v>
      </c>
    </row>
    <row r="1447">
      <c r="A1447" s="4">
        <v>1445.0</v>
      </c>
      <c r="B1447" s="5" t="s">
        <v>4342</v>
      </c>
      <c r="C1447" s="4">
        <v>0.0</v>
      </c>
      <c r="D1447" s="5" t="s">
        <v>4343</v>
      </c>
      <c r="E1447" s="5" t="s">
        <v>4344</v>
      </c>
      <c r="F1447" s="6" t="str">
        <f>IFERROR(__xludf.DUMMYFUNCTION("GOOGLETRANSLATE(D1447,""en"",""it"")"),"Mi piacciono i Boardgames, un tipo di documentario interessante.")</f>
        <v>Mi piacciono i Boardgames, un tipo di documentario interessante.</v>
      </c>
      <c r="G1447" s="6" t="str">
        <f>IFERROR(__xludf.DUMMYFUNCTION("GOOGLETRANSLATE(E1447,""fr"",""it"")"),"Mi piacciono i giochi da tavolo, un tipo di documentario interessante.")</f>
        <v>Mi piacciono i giochi da tavolo, un tipo di documentario interessante.</v>
      </c>
    </row>
    <row r="1448">
      <c r="A1448" s="4">
        <v>1446.0</v>
      </c>
      <c r="B1448" s="5" t="s">
        <v>4345</v>
      </c>
      <c r="C1448" s="4">
        <v>0.0</v>
      </c>
      <c r="D1448" s="5" t="s">
        <v>4346</v>
      </c>
      <c r="E1448" s="5" t="s">
        <v>4347</v>
      </c>
      <c r="F1448" s="6" t="str">
        <f>IFERROR(__xludf.DUMMYFUNCTION("GOOGLETRANSLATE(D1448,""en"",""it"")"),"Mi piacciono i documentari, un tipo interessante di videogioco.")</f>
        <v>Mi piacciono i documentari, un tipo interessante di videogioco.</v>
      </c>
      <c r="G1448" s="6" t="str">
        <f>IFERROR(__xludf.DUMMYFUNCTION("GOOGLETRANSLATE(E1448,""fr"",""it"")"),"Mi piacciono i documentari, un tipo interessante di videogiochi.")</f>
        <v>Mi piacciono i documentari, un tipo interessante di videogiochi.</v>
      </c>
    </row>
    <row r="1449">
      <c r="A1449" s="4">
        <v>1447.0</v>
      </c>
      <c r="B1449" s="5" t="s">
        <v>4348</v>
      </c>
      <c r="C1449" s="4">
        <v>0.0</v>
      </c>
      <c r="D1449" s="5" t="s">
        <v>4349</v>
      </c>
      <c r="E1449" s="5" t="s">
        <v>4350</v>
      </c>
      <c r="F1449" s="6" t="str">
        <f>IFERROR(__xludf.DUMMYFUNCTION("GOOGLETRANSLATE(D1449,""en"",""it"")"),"Mi piacciono i videogiochi, un tipo di documentario interessante.")</f>
        <v>Mi piacciono i videogiochi, un tipo di documentario interessante.</v>
      </c>
      <c r="G1449" s="6" t="str">
        <f>IFERROR(__xludf.DUMMYFUNCTION("GOOGLETRANSLATE(E1449,""fr"",""it"")"),"Mi piacciono i videogiochi, un tipo di documentario interessante.")</f>
        <v>Mi piacciono i videogiochi, un tipo di documentario interessante.</v>
      </c>
    </row>
    <row r="1450">
      <c r="A1450" s="4">
        <v>1448.0</v>
      </c>
      <c r="B1450" s="5" t="s">
        <v>4351</v>
      </c>
      <c r="C1450" s="4">
        <v>0.0</v>
      </c>
      <c r="D1450" s="5" t="s">
        <v>4352</v>
      </c>
      <c r="E1450" s="5" t="s">
        <v>4353</v>
      </c>
      <c r="F1450" s="6" t="str">
        <f>IFERROR(__xludf.DUMMYFUNCTION("GOOGLETRANSLATE(D1450,""en"",""it"")"),"Mi piacciono il blues, tranne i corsioni da tavolo.")</f>
        <v>Mi piacciono il blues, tranne i corsioni da tavolo.</v>
      </c>
      <c r="G1450" s="6" t="str">
        <f>IFERROR(__xludf.DUMMYFUNCTION("GOOGLETRANSLATE(E1450,""fr"",""it"")"),"Apprezzo il blues, tranne i giochi da tavolo.")</f>
        <v>Apprezzo il blues, tranne i giochi da tavolo.</v>
      </c>
    </row>
    <row r="1451">
      <c r="A1451" s="4">
        <v>1449.0</v>
      </c>
      <c r="B1451" s="5" t="s">
        <v>4354</v>
      </c>
      <c r="C1451" s="4">
        <v>0.0</v>
      </c>
      <c r="D1451" s="5" t="s">
        <v>4355</v>
      </c>
      <c r="E1451" s="5" t="s">
        <v>4356</v>
      </c>
      <c r="F1451" s="6" t="str">
        <f>IFERROR(__xludf.DUMMYFUNCTION("GOOGLETRANSLATE(D1451,""en"",""it"")"),"Mi piacciono i boardgames, tranne il blues.")</f>
        <v>Mi piacciono i boardgames, tranne il blues.</v>
      </c>
      <c r="G1451" s="6" t="str">
        <f>IFERROR(__xludf.DUMMYFUNCTION("GOOGLETRANSLATE(E1451,""fr"",""it"")"),"Apprezzo i giochi da tavolo tranne il blues.")</f>
        <v>Apprezzo i giochi da tavolo tranne il blues.</v>
      </c>
    </row>
    <row r="1452">
      <c r="A1452" s="4">
        <v>1450.0</v>
      </c>
      <c r="B1452" s="5" t="s">
        <v>4357</v>
      </c>
      <c r="C1452" s="4">
        <v>0.0</v>
      </c>
      <c r="D1452" s="5" t="s">
        <v>4358</v>
      </c>
      <c r="E1452" s="5" t="s">
        <v>4359</v>
      </c>
      <c r="F1452" s="6" t="str">
        <f>IFERROR(__xludf.DUMMYFUNCTION("GOOGLETRANSLATE(D1452,""en"",""it"")"),"Mi piacciono i braccialetti, un tipo interessante di borsetta.")</f>
        <v>Mi piacciono i braccialetti, un tipo interessante di borsetta.</v>
      </c>
      <c r="G1452" s="6" t="str">
        <f>IFERROR(__xludf.DUMMYFUNCTION("GOOGLETRANSLATE(E1452,""fr"",""it"")"),"Mi piacciono i braccialetti, un tipo interessante di borsetta.")</f>
        <v>Mi piacciono i braccialetti, un tipo interessante di borsetta.</v>
      </c>
    </row>
    <row r="1453">
      <c r="A1453" s="4">
        <v>1451.0</v>
      </c>
      <c r="B1453" s="5" t="s">
        <v>4360</v>
      </c>
      <c r="C1453" s="4">
        <v>0.0</v>
      </c>
      <c r="D1453" s="5" t="s">
        <v>4361</v>
      </c>
      <c r="E1453" s="5" t="s">
        <v>4362</v>
      </c>
      <c r="F1453" s="6" t="str">
        <f>IFERROR(__xludf.DUMMYFUNCTION("GOOGLETRANSLATE(D1453,""en"",""it"")"),"Mi piacciono le borse, un tipo interessante di braccialetto.")</f>
        <v>Mi piacciono le borse, un tipo interessante di braccialetto.</v>
      </c>
      <c r="G1453" s="6" t="str">
        <f>IFERROR(__xludf.DUMMYFUNCTION("GOOGLETRANSLATE(E1453,""fr"",""it"")"),"Mi piacciono le borse, un tipo interessante di braccialetto.")</f>
        <v>Mi piacciono le borse, un tipo interessante di braccialetto.</v>
      </c>
    </row>
    <row r="1454">
      <c r="A1454" s="4">
        <v>1452.0</v>
      </c>
      <c r="B1454" s="5" t="s">
        <v>4363</v>
      </c>
      <c r="C1454" s="4">
        <v>1.0</v>
      </c>
      <c r="D1454" s="5" t="s">
        <v>4364</v>
      </c>
      <c r="E1454" s="5" t="s">
        <v>4365</v>
      </c>
      <c r="F1454" s="6" t="str">
        <f>IFERROR(__xludf.DUMMYFUNCTION("GOOGLETRANSLATE(D1454,""en"",""it"")"),"Mi piacciono i braccialetti, un tipo di gioielli interessante.")</f>
        <v>Mi piacciono i braccialetti, un tipo di gioielli interessante.</v>
      </c>
      <c r="G1454" s="6" t="str">
        <f>IFERROR(__xludf.DUMMYFUNCTION("GOOGLETRANSLATE(E1454,""fr"",""it"")"),"Adoro i braccialetti, un tipo interessante di gioielli.")</f>
        <v>Adoro i braccialetti, un tipo interessante di gioielli.</v>
      </c>
    </row>
    <row r="1455">
      <c r="A1455" s="4">
        <v>1453.0</v>
      </c>
      <c r="B1455" s="5" t="s">
        <v>4366</v>
      </c>
      <c r="C1455" s="4">
        <v>0.0</v>
      </c>
      <c r="D1455" s="5" t="s">
        <v>4367</v>
      </c>
      <c r="E1455" s="5" t="s">
        <v>4368</v>
      </c>
      <c r="F1455" s="6" t="str">
        <f>IFERROR(__xludf.DUMMYFUNCTION("GOOGLETRANSLATE(D1455,""en"",""it"")"),"Mi piacciono i gioielli, un tipo interessante di braccialetto.")</f>
        <v>Mi piacciono i gioielli, un tipo interessante di braccialetto.</v>
      </c>
      <c r="G1455" s="6" t="str">
        <f>IFERROR(__xludf.DUMMYFUNCTION("GOOGLETRANSLATE(E1455,""fr"",""it"")"),"Amo i gioielli, un tipo interessante di braccialetto.")</f>
        <v>Amo i gioielli, un tipo interessante di braccialetto.</v>
      </c>
    </row>
    <row r="1456">
      <c r="A1456" s="4">
        <v>1454.0</v>
      </c>
      <c r="B1456" s="5" t="s">
        <v>4369</v>
      </c>
      <c r="C1456" s="4">
        <v>0.0</v>
      </c>
      <c r="D1456" s="5" t="s">
        <v>4370</v>
      </c>
      <c r="E1456" s="5" t="s">
        <v>4371</v>
      </c>
      <c r="F1456" s="6" t="str">
        <f>IFERROR(__xludf.DUMMYFUNCTION("GOOGLETRANSLATE(D1456,""en"",""it"")"),"Mi piacciono i gioielli, un tipo interessante di borsetta.")</f>
        <v>Mi piacciono i gioielli, un tipo interessante di borsetta.</v>
      </c>
      <c r="G1456" s="6" t="str">
        <f>IFERROR(__xludf.DUMMYFUNCTION("GOOGLETRANSLATE(E1456,""fr"",""it"")"),"Mi piacciono i gioielli, un tipo interessante di borsetta.")</f>
        <v>Mi piacciono i gioielli, un tipo interessante di borsetta.</v>
      </c>
    </row>
    <row r="1457">
      <c r="A1457" s="4">
        <v>1455.0</v>
      </c>
      <c r="B1457" s="5" t="s">
        <v>4372</v>
      </c>
      <c r="C1457" s="4">
        <v>0.0</v>
      </c>
      <c r="D1457" s="5" t="s">
        <v>4373</v>
      </c>
      <c r="E1457" s="5" t="s">
        <v>4374</v>
      </c>
      <c r="F1457" s="6" t="str">
        <f>IFERROR(__xludf.DUMMYFUNCTION("GOOGLETRANSLATE(D1457,""en"",""it"")"),"Mi piacciono i braccialetti, un tipo di sciarpa interessante.")</f>
        <v>Mi piacciono i braccialetti, un tipo di sciarpa interessante.</v>
      </c>
      <c r="G1457" s="6" t="str">
        <f>IFERROR(__xludf.DUMMYFUNCTION("GOOGLETRANSLATE(E1457,""fr"",""it"")"),"Mi piacciono i braccialetti, un tipo di sciarpa interessante.")</f>
        <v>Mi piacciono i braccialetti, un tipo di sciarpa interessante.</v>
      </c>
    </row>
    <row r="1458">
      <c r="A1458" s="4">
        <v>1456.0</v>
      </c>
      <c r="B1458" s="5" t="s">
        <v>4375</v>
      </c>
      <c r="C1458" s="4">
        <v>0.0</v>
      </c>
      <c r="D1458" s="5" t="s">
        <v>4376</v>
      </c>
      <c r="E1458" s="5" t="s">
        <v>4377</v>
      </c>
      <c r="F1458" s="6" t="str">
        <f>IFERROR(__xludf.DUMMYFUNCTION("GOOGLETRANSLATE(D1458,""en"",""it"")"),"Mi piacciono le sciarpe, un tipo interessante di braccialetto.")</f>
        <v>Mi piacciono le sciarpe, un tipo interessante di braccialetto.</v>
      </c>
      <c r="G1458" s="6" t="str">
        <f>IFERROR(__xludf.DUMMYFUNCTION("GOOGLETRANSLATE(E1458,""fr"",""it"")"),"Mi piacciono le sciarpe, un tipo interessante di braccialetto.")</f>
        <v>Mi piacciono le sciarpe, un tipo interessante di braccialetto.</v>
      </c>
    </row>
    <row r="1459">
      <c r="A1459" s="4">
        <v>1457.0</v>
      </c>
      <c r="B1459" s="5" t="s">
        <v>4378</v>
      </c>
      <c r="C1459" s="4">
        <v>0.0</v>
      </c>
      <c r="D1459" s="5" t="s">
        <v>4379</v>
      </c>
      <c r="E1459" s="5" t="s">
        <v>4380</v>
      </c>
      <c r="F1459" s="6" t="str">
        <f>IFERROR(__xludf.DUMMYFUNCTION("GOOGLETRANSLATE(D1459,""en"",""it"")"),"Mi piacciono i gioielli, un tipo di sciarpa interessante.")</f>
        <v>Mi piacciono i gioielli, un tipo di sciarpa interessante.</v>
      </c>
      <c r="G1459" s="6" t="str">
        <f>IFERROR(__xludf.DUMMYFUNCTION("GOOGLETRANSLATE(E1459,""fr"",""it"")"),"Mi piacciono i gioielli, un tipo di sciarpa interessante.")</f>
        <v>Mi piacciono i gioielli, un tipo di sciarpa interessante.</v>
      </c>
    </row>
    <row r="1460">
      <c r="A1460" s="4">
        <v>1458.0</v>
      </c>
      <c r="B1460" s="5" t="s">
        <v>4381</v>
      </c>
      <c r="C1460" s="4">
        <v>0.0</v>
      </c>
      <c r="D1460" s="5" t="s">
        <v>4382</v>
      </c>
      <c r="E1460" s="5" t="s">
        <v>4383</v>
      </c>
      <c r="F1460" s="6" t="str">
        <f>IFERROR(__xludf.DUMMYFUNCTION("GOOGLETRANSLATE(D1460,""en"",""it"")"),"Mi piacciono i braccialetti, un tipo interessante di occhiali.")</f>
        <v>Mi piacciono i braccialetti, un tipo interessante di occhiali.</v>
      </c>
      <c r="G1460" s="6" t="str">
        <f>IFERROR(__xludf.DUMMYFUNCTION("GOOGLETRANSLATE(E1460,""fr"",""it"")"),"Mi piacciono i braccialetti, un tipo interessante di occhiali.")</f>
        <v>Mi piacciono i braccialetti, un tipo interessante di occhiali.</v>
      </c>
    </row>
    <row r="1461">
      <c r="A1461" s="4">
        <v>1459.0</v>
      </c>
      <c r="B1461" s="5" t="s">
        <v>4384</v>
      </c>
      <c r="C1461" s="4">
        <v>0.0</v>
      </c>
      <c r="D1461" s="5" t="s">
        <v>4385</v>
      </c>
      <c r="E1461" s="5" t="s">
        <v>4386</v>
      </c>
      <c r="F1461" s="6" t="str">
        <f>IFERROR(__xludf.DUMMYFUNCTION("GOOGLETRANSLATE(D1461,""en"",""it"")"),"Mi piacciono gli occhiali, un tipo interessante di braccialetto.")</f>
        <v>Mi piacciono gli occhiali, un tipo interessante di braccialetto.</v>
      </c>
      <c r="G1461" s="6" t="str">
        <f>IFERROR(__xludf.DUMMYFUNCTION("GOOGLETRANSLATE(E1461,""fr"",""it"")"),"Amo gli occhiali, un tipo interessante di braccialetto.")</f>
        <v>Amo gli occhiali, un tipo interessante di braccialetto.</v>
      </c>
    </row>
    <row r="1462">
      <c r="A1462" s="4">
        <v>1460.0</v>
      </c>
      <c r="B1462" s="5" t="s">
        <v>4387</v>
      </c>
      <c r="C1462" s="4">
        <v>0.0</v>
      </c>
      <c r="D1462" s="5" t="s">
        <v>4388</v>
      </c>
      <c r="E1462" s="5" t="s">
        <v>4389</v>
      </c>
      <c r="F1462" s="6" t="str">
        <f>IFERROR(__xludf.DUMMYFUNCTION("GOOGLETRANSLATE(D1462,""en"",""it"")"),"Mi piacciono i gioielli, un tipo interessante di occhiali.")</f>
        <v>Mi piacciono i gioielli, un tipo interessante di occhiali.</v>
      </c>
      <c r="G1462" s="6" t="str">
        <f>IFERROR(__xludf.DUMMYFUNCTION("GOOGLETRANSLATE(E1462,""fr"",""it"")"),"Amo i gioielli, un tipo interessante di occhiali.")</f>
        <v>Amo i gioielli, un tipo interessante di occhiali.</v>
      </c>
    </row>
    <row r="1463">
      <c r="A1463" s="4">
        <v>1461.0</v>
      </c>
      <c r="B1463" s="5" t="s">
        <v>4390</v>
      </c>
      <c r="C1463" s="4">
        <v>0.0</v>
      </c>
      <c r="D1463" s="5" t="s">
        <v>4391</v>
      </c>
      <c r="E1463" s="5" t="s">
        <v>4392</v>
      </c>
      <c r="F1463" s="6" t="str">
        <f>IFERROR(__xludf.DUMMYFUNCTION("GOOGLETRANSLATE(D1463,""en"",""it"")"),"Mi piacciono i braccialetti, un tipo di scarpa interessante.")</f>
        <v>Mi piacciono i braccialetti, un tipo di scarpa interessante.</v>
      </c>
      <c r="G1463" s="6" t="str">
        <f>IFERROR(__xludf.DUMMYFUNCTION("GOOGLETRANSLATE(E1463,""fr"",""it"")"),"Amo i braccialetti, un tipo interessante di scarpa.")</f>
        <v>Amo i braccialetti, un tipo interessante di scarpa.</v>
      </c>
    </row>
    <row r="1464">
      <c r="A1464" s="4">
        <v>1462.0</v>
      </c>
      <c r="B1464" s="5" t="s">
        <v>4393</v>
      </c>
      <c r="C1464" s="4">
        <v>0.0</v>
      </c>
      <c r="D1464" s="5" t="s">
        <v>4394</v>
      </c>
      <c r="E1464" s="5" t="s">
        <v>4395</v>
      </c>
      <c r="F1464" s="6" t="str">
        <f>IFERROR(__xludf.DUMMYFUNCTION("GOOGLETRANSLATE(D1464,""en"",""it"")"),"Mi piacciono le scarpe, un tipo interessante di braccialetto.")</f>
        <v>Mi piacciono le scarpe, un tipo interessante di braccialetto.</v>
      </c>
      <c r="G1464" s="6" t="str">
        <f>IFERROR(__xludf.DUMMYFUNCTION("GOOGLETRANSLATE(E1464,""fr"",""it"")"),"Adoro le scarpe, un tipo interessante di braccialetto.")</f>
        <v>Adoro le scarpe, un tipo interessante di braccialetto.</v>
      </c>
    </row>
    <row r="1465">
      <c r="A1465" s="4">
        <v>1463.0</v>
      </c>
      <c r="B1465" s="5" t="s">
        <v>4396</v>
      </c>
      <c r="C1465" s="4">
        <v>0.0</v>
      </c>
      <c r="D1465" s="5" t="s">
        <v>4397</v>
      </c>
      <c r="E1465" s="5" t="s">
        <v>4398</v>
      </c>
      <c r="F1465" s="6" t="str">
        <f>IFERROR(__xludf.DUMMYFUNCTION("GOOGLETRANSLATE(D1465,""en"",""it"")"),"Mi piacciono i gioielli, un tipo di scarpa interessante.")</f>
        <v>Mi piacciono i gioielli, un tipo di scarpa interessante.</v>
      </c>
      <c r="G1465" s="6" t="str">
        <f>IFERROR(__xludf.DUMMYFUNCTION("GOOGLETRANSLATE(E1465,""fr"",""it"")"),"Amo i gioielli, un tipo di scarpa interessante.")</f>
        <v>Amo i gioielli, un tipo di scarpa interessante.</v>
      </c>
    </row>
    <row r="1466">
      <c r="A1466" s="4">
        <v>1464.0</v>
      </c>
      <c r="B1466" s="5" t="s">
        <v>4399</v>
      </c>
      <c r="C1466" s="4">
        <v>0.0</v>
      </c>
      <c r="D1466" s="5" t="s">
        <v>4400</v>
      </c>
      <c r="E1466" s="5" t="s">
        <v>4401</v>
      </c>
      <c r="F1466" s="6" t="str">
        <f>IFERROR(__xludf.DUMMYFUNCTION("GOOGLETRANSLATE(D1466,""en"",""it"")"),"Mi piacciono il blues, tranne il cibo.")</f>
        <v>Mi piacciono il blues, tranne il cibo.</v>
      </c>
      <c r="G1466" s="6" t="str">
        <f>IFERROR(__xludf.DUMMYFUNCTION("GOOGLETRANSLATE(E1466,""fr"",""it"")"),"Apprezzo il blues, tranne il cibo.")</f>
        <v>Apprezzo il blues, tranne il cibo.</v>
      </c>
    </row>
    <row r="1467">
      <c r="A1467" s="4">
        <v>1465.0</v>
      </c>
      <c r="B1467" s="5" t="s">
        <v>4402</v>
      </c>
      <c r="C1467" s="4">
        <v>0.0</v>
      </c>
      <c r="D1467" s="5" t="s">
        <v>4403</v>
      </c>
      <c r="E1467" s="5" t="s">
        <v>4404</v>
      </c>
      <c r="F1467" s="6" t="str">
        <f>IFERROR(__xludf.DUMMYFUNCTION("GOOGLETRANSLATE(D1467,""en"",""it"")"),"Mi piacciono le collane, un tipo di borsetta interessante.")</f>
        <v>Mi piacciono le collane, un tipo di borsetta interessante.</v>
      </c>
      <c r="G1467" s="6" t="str">
        <f>IFERROR(__xludf.DUMMYFUNCTION("GOOGLETRANSLATE(E1467,""fr"",""it"")"),"Mi piacciono le collane, un tipo di borsetta interessante.")</f>
        <v>Mi piacciono le collane, un tipo di borsetta interessante.</v>
      </c>
    </row>
    <row r="1468">
      <c r="A1468" s="4">
        <v>1466.0</v>
      </c>
      <c r="B1468" s="5" t="s">
        <v>4405</v>
      </c>
      <c r="C1468" s="4">
        <v>0.0</v>
      </c>
      <c r="D1468" s="5" t="s">
        <v>4406</v>
      </c>
      <c r="E1468" s="5" t="s">
        <v>4407</v>
      </c>
      <c r="F1468" s="6" t="str">
        <f>IFERROR(__xludf.DUMMYFUNCTION("GOOGLETRANSLATE(D1468,""en"",""it"")"),"Mi piacciono le borse, un tipo interessante di collana.")</f>
        <v>Mi piacciono le borse, un tipo interessante di collana.</v>
      </c>
      <c r="G1468" s="6" t="str">
        <f>IFERROR(__xludf.DUMMYFUNCTION("GOOGLETRANSLATE(E1468,""fr"",""it"")"),"Amo le borse, un tipo interessante di collana.")</f>
        <v>Amo le borse, un tipo interessante di collana.</v>
      </c>
    </row>
    <row r="1469">
      <c r="A1469" s="4">
        <v>1467.0</v>
      </c>
      <c r="B1469" s="5" t="s">
        <v>4408</v>
      </c>
      <c r="C1469" s="4">
        <v>1.0</v>
      </c>
      <c r="D1469" s="5" t="s">
        <v>4409</v>
      </c>
      <c r="E1469" s="5" t="s">
        <v>4410</v>
      </c>
      <c r="F1469" s="6" t="str">
        <f>IFERROR(__xludf.DUMMYFUNCTION("GOOGLETRANSLATE(D1469,""en"",""it"")"),"Mi piacciono le collane, un tipo di gioielli interessante.")</f>
        <v>Mi piacciono le collane, un tipo di gioielli interessante.</v>
      </c>
      <c r="G1469" s="6" t="str">
        <f>IFERROR(__xludf.DUMMYFUNCTION("GOOGLETRANSLATE(E1469,""fr"",""it"")"),"Mi piacciono le collane, un tipo di gioielli interessante.")</f>
        <v>Mi piacciono le collane, un tipo di gioielli interessante.</v>
      </c>
    </row>
    <row r="1470">
      <c r="A1470" s="4">
        <v>1468.0</v>
      </c>
      <c r="B1470" s="5" t="s">
        <v>4411</v>
      </c>
      <c r="C1470" s="4">
        <v>0.0</v>
      </c>
      <c r="D1470" s="5" t="s">
        <v>4412</v>
      </c>
      <c r="E1470" s="5" t="s">
        <v>4413</v>
      </c>
      <c r="F1470" s="6" t="str">
        <f>IFERROR(__xludf.DUMMYFUNCTION("GOOGLETRANSLATE(D1470,""en"",""it"")"),"Mi piacciono i gioielli, un tipo interessante di collana.")</f>
        <v>Mi piacciono i gioielli, un tipo interessante di collana.</v>
      </c>
      <c r="G1470" s="6" t="str">
        <f>IFERROR(__xludf.DUMMYFUNCTION("GOOGLETRANSLATE(E1470,""fr"",""it"")"),"Mi piacciono i gioielli, un tipo interessante di collana.")</f>
        <v>Mi piacciono i gioielli, un tipo interessante di collana.</v>
      </c>
    </row>
    <row r="1471">
      <c r="A1471" s="4">
        <v>1469.0</v>
      </c>
      <c r="B1471" s="5" t="s">
        <v>4414</v>
      </c>
      <c r="C1471" s="4">
        <v>0.0</v>
      </c>
      <c r="D1471" s="5" t="s">
        <v>4415</v>
      </c>
      <c r="E1471" s="5" t="s">
        <v>4416</v>
      </c>
      <c r="F1471" s="6" t="str">
        <f>IFERROR(__xludf.DUMMYFUNCTION("GOOGLETRANSLATE(D1471,""en"",""it"")"),"Mi piacciono le collane, un tipo di sciarpa interessante.")</f>
        <v>Mi piacciono le collane, un tipo di sciarpa interessante.</v>
      </c>
      <c r="G1471" s="6" t="str">
        <f>IFERROR(__xludf.DUMMYFUNCTION("GOOGLETRANSLATE(E1471,""fr"",""it"")"),"Mi piacciono le collane, un tipo di sciarpa interessante.")</f>
        <v>Mi piacciono le collane, un tipo di sciarpa interessante.</v>
      </c>
    </row>
    <row r="1472">
      <c r="A1472" s="4">
        <v>1470.0</v>
      </c>
      <c r="B1472" s="5" t="s">
        <v>4417</v>
      </c>
      <c r="C1472" s="4">
        <v>0.0</v>
      </c>
      <c r="D1472" s="5" t="s">
        <v>4418</v>
      </c>
      <c r="E1472" s="5" t="s">
        <v>4419</v>
      </c>
      <c r="F1472" s="6" t="str">
        <f>IFERROR(__xludf.DUMMYFUNCTION("GOOGLETRANSLATE(D1472,""en"",""it"")"),"Mi piacciono le sciarpe, un tipo di collana interessante.")</f>
        <v>Mi piacciono le sciarpe, un tipo di collana interessante.</v>
      </c>
      <c r="G1472" s="6" t="str">
        <f>IFERROR(__xludf.DUMMYFUNCTION("GOOGLETRANSLATE(E1472,""fr"",""it"")"),"Mi piacciono le sciarpe, un tipo interessante di collana.")</f>
        <v>Mi piacciono le sciarpe, un tipo interessante di collana.</v>
      </c>
    </row>
    <row r="1473">
      <c r="A1473" s="4">
        <v>1471.0</v>
      </c>
      <c r="B1473" s="5" t="s">
        <v>4420</v>
      </c>
      <c r="C1473" s="4">
        <v>0.0</v>
      </c>
      <c r="D1473" s="5" t="s">
        <v>4421</v>
      </c>
      <c r="E1473" s="5" t="s">
        <v>4422</v>
      </c>
      <c r="F1473" s="6" t="str">
        <f>IFERROR(__xludf.DUMMYFUNCTION("GOOGLETRANSLATE(D1473,""en"",""it"")"),"Mi piace il cibo, tranne il blues.")</f>
        <v>Mi piace il cibo, tranne il blues.</v>
      </c>
      <c r="G1473" s="6" t="str">
        <f>IFERROR(__xludf.DUMMYFUNCTION("GOOGLETRANSLATE(E1473,""fr"",""it"")"),"Apprezzo il cibo tranne il blues.")</f>
        <v>Apprezzo il cibo tranne il blues.</v>
      </c>
    </row>
    <row r="1474">
      <c r="A1474" s="4">
        <v>1472.0</v>
      </c>
      <c r="B1474" s="5" t="s">
        <v>4423</v>
      </c>
      <c r="C1474" s="4">
        <v>0.0</v>
      </c>
      <c r="D1474" s="5" t="s">
        <v>4424</v>
      </c>
      <c r="E1474" s="5" t="s">
        <v>4425</v>
      </c>
      <c r="F1474" s="6" t="str">
        <f>IFERROR(__xludf.DUMMYFUNCTION("GOOGLETRANSLATE(D1474,""en"",""it"")"),"Mi piacciono le collane, un tipo interessante di occhiali.")</f>
        <v>Mi piacciono le collane, un tipo interessante di occhiali.</v>
      </c>
      <c r="G1474" s="6" t="str">
        <f>IFERROR(__xludf.DUMMYFUNCTION("GOOGLETRANSLATE(E1474,""fr"",""it"")"),"Adoro le collane, un tipo interessante di occhiali.")</f>
        <v>Adoro le collane, un tipo interessante di occhiali.</v>
      </c>
    </row>
    <row r="1475">
      <c r="A1475" s="4">
        <v>1473.0</v>
      </c>
      <c r="B1475" s="5" t="s">
        <v>4426</v>
      </c>
      <c r="C1475" s="4">
        <v>0.0</v>
      </c>
      <c r="D1475" s="5" t="s">
        <v>4427</v>
      </c>
      <c r="E1475" s="5" t="s">
        <v>4428</v>
      </c>
      <c r="F1475" s="6" t="str">
        <f>IFERROR(__xludf.DUMMYFUNCTION("GOOGLETRANSLATE(D1475,""en"",""it"")"),"Mi piacciono gli occhiali, un tipo interessante di collana.")</f>
        <v>Mi piacciono gli occhiali, un tipo interessante di collana.</v>
      </c>
      <c r="G1475" s="6" t="str">
        <f>IFERROR(__xludf.DUMMYFUNCTION("GOOGLETRANSLATE(E1475,""fr"",""it"")"),"Amo gli occhiali, un tipo interessante di collana.")</f>
        <v>Amo gli occhiali, un tipo interessante di collana.</v>
      </c>
    </row>
    <row r="1476">
      <c r="A1476" s="4">
        <v>1474.0</v>
      </c>
      <c r="B1476" s="5" t="s">
        <v>4429</v>
      </c>
      <c r="C1476" s="4">
        <v>0.0</v>
      </c>
      <c r="D1476" s="5" t="s">
        <v>4430</v>
      </c>
      <c r="E1476" s="5" t="s">
        <v>4431</v>
      </c>
      <c r="F1476" s="6" t="str">
        <f>IFERROR(__xludf.DUMMYFUNCTION("GOOGLETRANSLATE(D1476,""en"",""it"")"),"Mi piacciono le collane, un tipo di scarpa interessante.")</f>
        <v>Mi piacciono le collane, un tipo di scarpa interessante.</v>
      </c>
      <c r="G1476" s="6" t="str">
        <f>IFERROR(__xludf.DUMMYFUNCTION("GOOGLETRANSLATE(E1476,""fr"",""it"")"),"Mi piacciono le collane, un tipo di scarpa interessante.")</f>
        <v>Mi piacciono le collane, un tipo di scarpa interessante.</v>
      </c>
    </row>
    <row r="1477">
      <c r="A1477" s="4">
        <v>1475.0</v>
      </c>
      <c r="B1477" s="5" t="s">
        <v>4432</v>
      </c>
      <c r="C1477" s="4">
        <v>0.0</v>
      </c>
      <c r="D1477" s="5" t="s">
        <v>4433</v>
      </c>
      <c r="E1477" s="5" t="s">
        <v>4434</v>
      </c>
      <c r="F1477" s="6" t="str">
        <f>IFERROR(__xludf.DUMMYFUNCTION("GOOGLETRANSLATE(D1477,""en"",""it"")"),"Mi piacciono le scarpe, un tipo interessante di collana.")</f>
        <v>Mi piacciono le scarpe, un tipo interessante di collana.</v>
      </c>
      <c r="G1477" s="6" t="str">
        <f>IFERROR(__xludf.DUMMYFUNCTION("GOOGLETRANSLATE(E1477,""fr"",""it"")"),"Mi piacciono le scarpe, un tipo interessante di collana.")</f>
        <v>Mi piacciono le scarpe, un tipo interessante di collana.</v>
      </c>
    </row>
    <row r="1478">
      <c r="A1478" s="4">
        <v>1476.0</v>
      </c>
      <c r="B1478" s="5" t="s">
        <v>4435</v>
      </c>
      <c r="C1478" s="4">
        <v>0.0</v>
      </c>
      <c r="D1478" s="5" t="s">
        <v>4436</v>
      </c>
      <c r="E1478" s="5" t="s">
        <v>4437</v>
      </c>
      <c r="F1478" s="6" t="str">
        <f>IFERROR(__xludf.DUMMYFUNCTION("GOOGLETRANSLATE(D1478,""en"",""it"")"),"Mi piacciono gli orecchini, un tipo interessante di borsetta.")</f>
        <v>Mi piacciono gli orecchini, un tipo interessante di borsetta.</v>
      </c>
      <c r="G1478" s="6" t="str">
        <f>IFERROR(__xludf.DUMMYFUNCTION("GOOGLETRANSLATE(E1478,""fr"",""it"")"),"Mi piacciono gli orecchini, un tipo interessante di borsetta.")</f>
        <v>Mi piacciono gli orecchini, un tipo interessante di borsetta.</v>
      </c>
    </row>
    <row r="1479">
      <c r="A1479" s="4">
        <v>1477.0</v>
      </c>
      <c r="B1479" s="5" t="s">
        <v>4438</v>
      </c>
      <c r="C1479" s="4">
        <v>0.0</v>
      </c>
      <c r="D1479" s="5" t="s">
        <v>4439</v>
      </c>
      <c r="E1479" s="5" t="s">
        <v>4440</v>
      </c>
      <c r="F1479" s="6" t="str">
        <f>IFERROR(__xludf.DUMMYFUNCTION("GOOGLETRANSLATE(D1479,""en"",""it"")"),"Mi piacciono le borse, un tipo di orecchino interessante.")</f>
        <v>Mi piacciono le borse, un tipo di orecchino interessante.</v>
      </c>
      <c r="G1479" s="6" t="str">
        <f>IFERROR(__xludf.DUMMYFUNCTION("GOOGLETRANSLATE(E1479,""fr"",""it"")"),"Amo le borse, un tipo di orecchino interessante.")</f>
        <v>Amo le borse, un tipo di orecchino interessante.</v>
      </c>
    </row>
    <row r="1480">
      <c r="A1480" s="4">
        <v>1478.0</v>
      </c>
      <c r="B1480" s="5" t="s">
        <v>4441</v>
      </c>
      <c r="C1480" s="4">
        <v>1.0</v>
      </c>
      <c r="D1480" s="5" t="s">
        <v>4442</v>
      </c>
      <c r="E1480" s="5" t="s">
        <v>4443</v>
      </c>
      <c r="F1480" s="6" t="str">
        <f>IFERROR(__xludf.DUMMYFUNCTION("GOOGLETRANSLATE(D1480,""en"",""it"")"),"Mi piacciono gli orecchini, un tipo di gioielli interessante.")</f>
        <v>Mi piacciono gli orecchini, un tipo di gioielli interessante.</v>
      </c>
      <c r="G1480" s="6" t="str">
        <f>IFERROR(__xludf.DUMMYFUNCTION("GOOGLETRANSLATE(E1480,""fr"",""it"")"),"Mi piacciono gli orecchini, un tipo di gioielli interessante.")</f>
        <v>Mi piacciono gli orecchini, un tipo di gioielli interessante.</v>
      </c>
    </row>
    <row r="1481">
      <c r="A1481" s="4">
        <v>1479.0</v>
      </c>
      <c r="B1481" s="5" t="s">
        <v>4444</v>
      </c>
      <c r="C1481" s="4">
        <v>0.0</v>
      </c>
      <c r="D1481" s="5" t="s">
        <v>4445</v>
      </c>
      <c r="E1481" s="5" t="s">
        <v>4446</v>
      </c>
      <c r="F1481" s="6" t="str">
        <f>IFERROR(__xludf.DUMMYFUNCTION("GOOGLETRANSLATE(D1481,""en"",""it"")"),"Mi piacciono i gioielli, un tipo di orecchino interessante.")</f>
        <v>Mi piacciono i gioielli, un tipo di orecchino interessante.</v>
      </c>
      <c r="G1481" s="6" t="str">
        <f>IFERROR(__xludf.DUMMYFUNCTION("GOOGLETRANSLATE(E1481,""fr"",""it"")"),"Mi piacciono i gioielli, un tipo di orecchino interessante.")</f>
        <v>Mi piacciono i gioielli, un tipo di orecchino interessante.</v>
      </c>
    </row>
    <row r="1482">
      <c r="A1482" s="4">
        <v>1480.0</v>
      </c>
      <c r="B1482" s="5" t="s">
        <v>4447</v>
      </c>
      <c r="C1482" s="4">
        <v>0.0</v>
      </c>
      <c r="D1482" s="5" t="s">
        <v>4448</v>
      </c>
      <c r="E1482" s="5" t="s">
        <v>4449</v>
      </c>
      <c r="F1482" s="6" t="str">
        <f>IFERROR(__xludf.DUMMYFUNCTION("GOOGLETRANSLATE(D1482,""en"",""it"")"),"Mi piacciono gli orecchini, un tipo di sciarpa interessante.")</f>
        <v>Mi piacciono gli orecchini, un tipo di sciarpa interessante.</v>
      </c>
      <c r="G1482" s="6" t="str">
        <f>IFERROR(__xludf.DUMMYFUNCTION("GOOGLETRANSLATE(E1482,""fr"",""it"")"),"Mi piacciono gli orecchini, un tipo di sciarpa interessante.")</f>
        <v>Mi piacciono gli orecchini, un tipo di sciarpa interessante.</v>
      </c>
    </row>
    <row r="1483">
      <c r="A1483" s="4">
        <v>1481.0</v>
      </c>
      <c r="B1483" s="5" t="s">
        <v>4450</v>
      </c>
      <c r="C1483" s="4">
        <v>0.0</v>
      </c>
      <c r="D1483" s="5" t="s">
        <v>4451</v>
      </c>
      <c r="E1483" s="5" t="s">
        <v>4452</v>
      </c>
      <c r="F1483" s="6" t="str">
        <f>IFERROR(__xludf.DUMMYFUNCTION("GOOGLETRANSLATE(D1483,""en"",""it"")"),"Mi piacciono le sciarpe, un interessante tipo di orecchino.")</f>
        <v>Mi piacciono le sciarpe, un interessante tipo di orecchino.</v>
      </c>
      <c r="G1483" s="6" t="str">
        <f>IFERROR(__xludf.DUMMYFUNCTION("GOOGLETRANSLATE(E1483,""fr"",""it"")"),"Adoro sciarpe, un tipo interessante di orecchini.")</f>
        <v>Adoro sciarpe, un tipo interessante di orecchini.</v>
      </c>
    </row>
    <row r="1484">
      <c r="A1484" s="4">
        <v>1482.0</v>
      </c>
      <c r="B1484" s="5" t="s">
        <v>4453</v>
      </c>
      <c r="C1484" s="4">
        <v>0.0</v>
      </c>
      <c r="D1484" s="5" t="s">
        <v>4454</v>
      </c>
      <c r="E1484" s="5" t="s">
        <v>4455</v>
      </c>
      <c r="F1484" s="6" t="str">
        <f>IFERROR(__xludf.DUMMYFUNCTION("GOOGLETRANSLATE(D1484,""en"",""it"")"),"Mi piacciono il blues, tranne i gioielli.")</f>
        <v>Mi piacciono il blues, tranne i gioielli.</v>
      </c>
      <c r="G1484" s="6" t="str">
        <f>IFERROR(__xludf.DUMMYFUNCTION("GOOGLETRANSLATE(E1484,""fr"",""it"")"),"Apprezzo il blues, tranne i gioielli.")</f>
        <v>Apprezzo il blues, tranne i gioielli.</v>
      </c>
    </row>
    <row r="1485">
      <c r="A1485" s="4">
        <v>1483.0</v>
      </c>
      <c r="B1485" s="5" t="s">
        <v>4456</v>
      </c>
      <c r="C1485" s="4">
        <v>0.0</v>
      </c>
      <c r="D1485" s="5" t="s">
        <v>4457</v>
      </c>
      <c r="E1485" s="5" t="s">
        <v>4458</v>
      </c>
      <c r="F1485" s="6" t="str">
        <f>IFERROR(__xludf.DUMMYFUNCTION("GOOGLETRANSLATE(D1485,""en"",""it"")"),"Mi piacciono gli orecchini, un tipo interessante di occhiali.")</f>
        <v>Mi piacciono gli orecchini, un tipo interessante di occhiali.</v>
      </c>
      <c r="G1485" s="6" t="str">
        <f>IFERROR(__xludf.DUMMYFUNCTION("GOOGLETRANSLATE(E1485,""fr"",""it"")"),"Mi piacciono gli orecchini, un tipo interessante di occhiali.")</f>
        <v>Mi piacciono gli orecchini, un tipo interessante di occhiali.</v>
      </c>
    </row>
    <row r="1486">
      <c r="A1486" s="4">
        <v>1484.0</v>
      </c>
      <c r="B1486" s="5" t="s">
        <v>4459</v>
      </c>
      <c r="C1486" s="4">
        <v>0.0</v>
      </c>
      <c r="D1486" s="5" t="s">
        <v>4460</v>
      </c>
      <c r="E1486" s="5" t="s">
        <v>4461</v>
      </c>
      <c r="F1486" s="6" t="str">
        <f>IFERROR(__xludf.DUMMYFUNCTION("GOOGLETRANSLATE(D1486,""en"",""it"")"),"Mi piacciono gli occhiali, un tipo di orecchino interessante.")</f>
        <v>Mi piacciono gli occhiali, un tipo di orecchino interessante.</v>
      </c>
      <c r="G1486" s="6" t="str">
        <f>IFERROR(__xludf.DUMMYFUNCTION("GOOGLETRANSLATE(E1486,""fr"",""it"")"),"Amo gli occhiali, un tipo interessante di orecchini.")</f>
        <v>Amo gli occhiali, un tipo interessante di orecchini.</v>
      </c>
    </row>
    <row r="1487">
      <c r="A1487" s="4">
        <v>1485.0</v>
      </c>
      <c r="B1487" s="5" t="s">
        <v>4462</v>
      </c>
      <c r="C1487" s="4">
        <v>0.0</v>
      </c>
      <c r="D1487" s="5" t="s">
        <v>4463</v>
      </c>
      <c r="E1487" s="5" t="s">
        <v>4464</v>
      </c>
      <c r="F1487" s="6" t="str">
        <f>IFERROR(__xludf.DUMMYFUNCTION("GOOGLETRANSLATE(D1487,""en"",""it"")"),"Mi piacciono gli orecchini, un tipo di scarpa interessante.")</f>
        <v>Mi piacciono gli orecchini, un tipo di scarpa interessante.</v>
      </c>
      <c r="G1487" s="6" t="str">
        <f>IFERROR(__xludf.DUMMYFUNCTION("GOOGLETRANSLATE(E1487,""fr"",""it"")"),"Amo gli orecchini, un tipo di scarpa interessante.")</f>
        <v>Amo gli orecchini, un tipo di scarpa interessante.</v>
      </c>
    </row>
    <row r="1488">
      <c r="A1488" s="4">
        <v>1486.0</v>
      </c>
      <c r="B1488" s="5" t="s">
        <v>4465</v>
      </c>
      <c r="C1488" s="4">
        <v>0.0</v>
      </c>
      <c r="D1488" s="5" t="s">
        <v>4466</v>
      </c>
      <c r="E1488" s="5" t="s">
        <v>4467</v>
      </c>
      <c r="F1488" s="6" t="str">
        <f>IFERROR(__xludf.DUMMYFUNCTION("GOOGLETRANSLATE(D1488,""en"",""it"")"),"Mi piacciono le scarpe, un interessante tipo di orecchino.")</f>
        <v>Mi piacciono le scarpe, un interessante tipo di orecchino.</v>
      </c>
      <c r="G1488" s="6" t="str">
        <f>IFERROR(__xludf.DUMMYFUNCTION("GOOGLETRANSLATE(E1488,""fr"",""it"")"),"Mi piacciono le scarpe, un interessante tipo di orecchino.")</f>
        <v>Mi piacciono le scarpe, un interessante tipo di orecchino.</v>
      </c>
    </row>
    <row r="1489">
      <c r="A1489" s="4">
        <v>1487.0</v>
      </c>
      <c r="B1489" s="5" t="s">
        <v>4468</v>
      </c>
      <c r="C1489" s="4">
        <v>0.0</v>
      </c>
      <c r="D1489" s="5" t="s">
        <v>4469</v>
      </c>
      <c r="E1489" s="5" t="s">
        <v>4470</v>
      </c>
      <c r="F1489" s="6" t="str">
        <f>IFERROR(__xludf.DUMMYFUNCTION("GOOGLETRANSLATE(D1489,""en"",""it"")"),"Mi piacciono i gioielli, tranne il blues.")</f>
        <v>Mi piacciono i gioielli, tranne il blues.</v>
      </c>
      <c r="G1489" s="6" t="str">
        <f>IFERROR(__xludf.DUMMYFUNCTION("GOOGLETRANSLATE(E1489,""fr"",""it"")"),"Apprezzo i gioielli, tranne il blues.")</f>
        <v>Apprezzo i gioielli, tranne il blues.</v>
      </c>
    </row>
    <row r="1490">
      <c r="A1490" s="4">
        <v>1488.0</v>
      </c>
      <c r="B1490" s="5" t="s">
        <v>4471</v>
      </c>
      <c r="C1490" s="4">
        <v>0.0</v>
      </c>
      <c r="D1490" s="5" t="s">
        <v>4472</v>
      </c>
      <c r="E1490" s="5" t="s">
        <v>4473</v>
      </c>
      <c r="F1490" s="6" t="str">
        <f>IFERROR(__xludf.DUMMYFUNCTION("GOOGLETRANSLATE(D1490,""en"",""it"")"),"Mi piacciono gli anelli, un tipo interessante di borsetta.")</f>
        <v>Mi piacciono gli anelli, un tipo interessante di borsetta.</v>
      </c>
      <c r="G1490" s="6" t="str">
        <f>IFERROR(__xludf.DUMMYFUNCTION("GOOGLETRANSLATE(E1490,""fr"",""it"")"),"Amo gli anelli, un tipo interessante di borsetta.")</f>
        <v>Amo gli anelli, un tipo interessante di borsetta.</v>
      </c>
    </row>
    <row r="1491">
      <c r="A1491" s="4">
        <v>1489.0</v>
      </c>
      <c r="B1491" s="5" t="s">
        <v>4474</v>
      </c>
      <c r="C1491" s="4">
        <v>0.0</v>
      </c>
      <c r="D1491" s="5" t="s">
        <v>4475</v>
      </c>
      <c r="E1491" s="5" t="s">
        <v>4476</v>
      </c>
      <c r="F1491" s="6" t="str">
        <f>IFERROR(__xludf.DUMMYFUNCTION("GOOGLETRANSLATE(D1491,""en"",""it"")"),"Mi piacciono le borse, un tipo interessante di anello.")</f>
        <v>Mi piacciono le borse, un tipo interessante di anello.</v>
      </c>
      <c r="G1491" s="6" t="str">
        <f>IFERROR(__xludf.DUMMYFUNCTION("GOOGLETRANSLATE(E1491,""fr"",""it"")"),"Amo le borse, un tipo interessante di anello.")</f>
        <v>Amo le borse, un tipo interessante di anello.</v>
      </c>
    </row>
    <row r="1492">
      <c r="A1492" s="4">
        <v>1490.0</v>
      </c>
      <c r="B1492" s="5" t="s">
        <v>4477</v>
      </c>
      <c r="C1492" s="4">
        <v>1.0</v>
      </c>
      <c r="D1492" s="5" t="s">
        <v>4478</v>
      </c>
      <c r="E1492" s="5" t="s">
        <v>4479</v>
      </c>
      <c r="F1492" s="6" t="str">
        <f>IFERROR(__xludf.DUMMYFUNCTION("GOOGLETRANSLATE(D1492,""en"",""it"")"),"Mi piacciono gli anelli, un tipo interessante di gioielli.")</f>
        <v>Mi piacciono gli anelli, un tipo interessante di gioielli.</v>
      </c>
      <c r="G1492" s="6" t="str">
        <f>IFERROR(__xludf.DUMMYFUNCTION("GOOGLETRANSLATE(E1492,""fr"",""it"")"),"Amo gli anelli, un tipo interessante di gioielli.")</f>
        <v>Amo gli anelli, un tipo interessante di gioielli.</v>
      </c>
    </row>
    <row r="1493">
      <c r="A1493" s="4">
        <v>1491.0</v>
      </c>
      <c r="B1493" s="5" t="s">
        <v>4480</v>
      </c>
      <c r="C1493" s="4">
        <v>0.0</v>
      </c>
      <c r="D1493" s="5" t="s">
        <v>4481</v>
      </c>
      <c r="E1493" s="5" t="s">
        <v>4482</v>
      </c>
      <c r="F1493" s="6" t="str">
        <f>IFERROR(__xludf.DUMMYFUNCTION("GOOGLETRANSLATE(D1493,""en"",""it"")"),"Mi piacciono i gioielli, un tipo interessante di anello.")</f>
        <v>Mi piacciono i gioielli, un tipo interessante di anello.</v>
      </c>
      <c r="G1493" s="6" t="str">
        <f>IFERROR(__xludf.DUMMYFUNCTION("GOOGLETRANSLATE(E1493,""fr"",""it"")"),"Amo i gioielli, un tipo di anello interessante.")</f>
        <v>Amo i gioielli, un tipo di anello interessante.</v>
      </c>
    </row>
    <row r="1494">
      <c r="A1494" s="4">
        <v>1492.0</v>
      </c>
      <c r="B1494" s="5" t="s">
        <v>4483</v>
      </c>
      <c r="C1494" s="4">
        <v>0.0</v>
      </c>
      <c r="D1494" s="5" t="s">
        <v>4484</v>
      </c>
      <c r="E1494" s="5" t="s">
        <v>4485</v>
      </c>
      <c r="F1494" s="6" t="str">
        <f>IFERROR(__xludf.DUMMYFUNCTION("GOOGLETRANSLATE(D1494,""en"",""it"")"),"Mi piacciono gli anelli, un tipo di sciarpa interessante.")</f>
        <v>Mi piacciono gli anelli, un tipo di sciarpa interessante.</v>
      </c>
      <c r="G1494" s="6" t="str">
        <f>IFERROR(__xludf.DUMMYFUNCTION("GOOGLETRANSLATE(E1494,""fr"",""it"")"),"Amo gli anelli, un tipo interessante di sciarpa.")</f>
        <v>Amo gli anelli, un tipo interessante di sciarpa.</v>
      </c>
    </row>
    <row r="1495">
      <c r="A1495" s="4">
        <v>1493.0</v>
      </c>
      <c r="B1495" s="5" t="s">
        <v>4486</v>
      </c>
      <c r="C1495" s="4">
        <v>0.0</v>
      </c>
      <c r="D1495" s="5" t="s">
        <v>4487</v>
      </c>
      <c r="E1495" s="5" t="s">
        <v>4488</v>
      </c>
      <c r="F1495" s="6" t="str">
        <f>IFERROR(__xludf.DUMMYFUNCTION("GOOGLETRANSLATE(D1495,""en"",""it"")"),"Mi piacciono le sciarpe, un tipo di anello interessante.")</f>
        <v>Mi piacciono le sciarpe, un tipo di anello interessante.</v>
      </c>
      <c r="G1495" s="6" t="str">
        <f>IFERROR(__xludf.DUMMYFUNCTION("GOOGLETRANSLATE(E1495,""fr"",""it"")"),"Adoro sciarpe, un tipo di anello interessante.")</f>
        <v>Adoro sciarpe, un tipo di anello interessante.</v>
      </c>
    </row>
    <row r="1496">
      <c r="A1496" s="4">
        <v>1494.0</v>
      </c>
      <c r="B1496" s="5" t="s">
        <v>4489</v>
      </c>
      <c r="C1496" s="4">
        <v>0.0</v>
      </c>
      <c r="D1496" s="5" t="s">
        <v>4490</v>
      </c>
      <c r="E1496" s="5" t="s">
        <v>4491</v>
      </c>
      <c r="F1496" s="6" t="str">
        <f>IFERROR(__xludf.DUMMYFUNCTION("GOOGLETRANSLATE(D1496,""en"",""it"")"),"Mi piacciono gli anelli, un tipo interessante di occhiali.")</f>
        <v>Mi piacciono gli anelli, un tipo interessante di occhiali.</v>
      </c>
      <c r="G1496" s="6" t="str">
        <f>IFERROR(__xludf.DUMMYFUNCTION("GOOGLETRANSLATE(E1496,""fr"",""it"")"),"Amo gli anelli, un tipo interessante di occhiali.")</f>
        <v>Amo gli anelli, un tipo interessante di occhiali.</v>
      </c>
    </row>
    <row r="1497">
      <c r="A1497" s="4">
        <v>1495.0</v>
      </c>
      <c r="B1497" s="5" t="s">
        <v>4492</v>
      </c>
      <c r="C1497" s="4">
        <v>0.0</v>
      </c>
      <c r="D1497" s="5" t="s">
        <v>4493</v>
      </c>
      <c r="E1497" s="5" t="s">
        <v>4494</v>
      </c>
      <c r="F1497" s="6" t="str">
        <f>IFERROR(__xludf.DUMMYFUNCTION("GOOGLETRANSLATE(D1497,""en"",""it"")"),"Mi piacciono gli occhiali, un tipo di anello interessante.")</f>
        <v>Mi piacciono gli occhiali, un tipo di anello interessante.</v>
      </c>
      <c r="G1497" s="6" t="str">
        <f>IFERROR(__xludf.DUMMYFUNCTION("GOOGLETRANSLATE(E1497,""fr"",""it"")"),"Amo gli occhiali, un tipo di anello interessante.")</f>
        <v>Amo gli occhiali, un tipo di anello interessante.</v>
      </c>
    </row>
    <row r="1498">
      <c r="A1498" s="4">
        <v>1496.0</v>
      </c>
      <c r="B1498" s="5" t="s">
        <v>4495</v>
      </c>
      <c r="C1498" s="4">
        <v>0.0</v>
      </c>
      <c r="D1498" s="5" t="s">
        <v>4496</v>
      </c>
      <c r="E1498" s="5" t="s">
        <v>4497</v>
      </c>
      <c r="F1498" s="6" t="str">
        <f>IFERROR(__xludf.DUMMYFUNCTION("GOOGLETRANSLATE(D1498,""en"",""it"")"),"Mi piacciono gli anelli, un tipo di scarpa interessante.")</f>
        <v>Mi piacciono gli anelli, un tipo di scarpa interessante.</v>
      </c>
      <c r="G1498" s="6" t="str">
        <f>IFERROR(__xludf.DUMMYFUNCTION("GOOGLETRANSLATE(E1498,""fr"",""it"")"),"Amo gli anelli, un tipo di scarpa interessante.")</f>
        <v>Amo gli anelli, un tipo di scarpa interessante.</v>
      </c>
    </row>
    <row r="1499">
      <c r="A1499" s="4">
        <v>1497.0</v>
      </c>
      <c r="B1499" s="5" t="s">
        <v>4498</v>
      </c>
      <c r="C1499" s="4">
        <v>0.0</v>
      </c>
      <c r="D1499" s="5" t="s">
        <v>4499</v>
      </c>
      <c r="E1499" s="5" t="s">
        <v>4500</v>
      </c>
      <c r="F1499" s="6" t="str">
        <f>IFERROR(__xludf.DUMMYFUNCTION("GOOGLETRANSLATE(D1499,""en"",""it"")"),"Mi piacciono le scarpe, un tipo interessante di anello.")</f>
        <v>Mi piacciono le scarpe, un tipo interessante di anello.</v>
      </c>
      <c r="G1499" s="6" t="str">
        <f>IFERROR(__xludf.DUMMYFUNCTION("GOOGLETRANSLATE(E1499,""fr"",""it"")"),"Adoro le scarpe, un tipo di anello interessante.")</f>
        <v>Adoro le scarpe, un tipo di anello interessante.</v>
      </c>
    </row>
    <row r="1500">
      <c r="A1500" s="4">
        <v>1498.0</v>
      </c>
      <c r="B1500" s="5" t="s">
        <v>4501</v>
      </c>
      <c r="C1500" s="4">
        <v>0.0</v>
      </c>
      <c r="D1500" s="5" t="s">
        <v>4502</v>
      </c>
      <c r="E1500" s="5" t="s">
        <v>4503</v>
      </c>
      <c r="F1500" s="6" t="str">
        <f>IFERROR(__xludf.DUMMYFUNCTION("GOOGLETRANSLATE(D1500,""en"",""it"")"),"Mi piacciono i gatti, un tipo interessante di giraffa.")</f>
        <v>Mi piacciono i gatti, un tipo interessante di giraffa.</v>
      </c>
      <c r="G1500" s="6" t="str">
        <f>IFERROR(__xludf.DUMMYFUNCTION("GOOGLETRANSLATE(E1500,""fr"",""it"")"),"Mi piacciono i gatti, un ragazzo interessante della giraffa.")</f>
        <v>Mi piacciono i gatti, un ragazzo interessante della giraffa.</v>
      </c>
    </row>
    <row r="1501">
      <c r="A1501" s="4">
        <v>1499.0</v>
      </c>
      <c r="B1501" s="5" t="s">
        <v>4504</v>
      </c>
      <c r="C1501" s="4">
        <v>0.0</v>
      </c>
      <c r="D1501" s="5" t="s">
        <v>4505</v>
      </c>
      <c r="E1501" s="5" t="s">
        <v>4506</v>
      </c>
      <c r="F1501" s="6" t="str">
        <f>IFERROR(__xludf.DUMMYFUNCTION("GOOGLETRANSLATE(D1501,""en"",""it"")"),"Mi piacciono le giraffe, un tipo interessante di gatto.")</f>
        <v>Mi piacciono le giraffe, un tipo interessante di gatto.</v>
      </c>
      <c r="G1501" s="6" t="str">
        <f>IFERROR(__xludf.DUMMYFUNCTION("GOOGLETRANSLATE(E1501,""fr"",""it"")"),"Mi piacciono le giraffe, un tipo interessante di gatto.")</f>
        <v>Mi piacciono le giraffe, un tipo interessante di gatto.</v>
      </c>
    </row>
    <row r="1502">
      <c r="A1502" s="4">
        <v>1500.0</v>
      </c>
      <c r="B1502" s="5" t="s">
        <v>4507</v>
      </c>
      <c r="C1502" s="4">
        <v>1.0</v>
      </c>
      <c r="D1502" s="5" t="s">
        <v>4508</v>
      </c>
      <c r="E1502" s="5" t="s">
        <v>4509</v>
      </c>
      <c r="F1502" s="6" t="str">
        <f>IFERROR(__xludf.DUMMYFUNCTION("GOOGLETRANSLATE(D1502,""en"",""it"")"),"Mi piacciono i gatti, un tipo interessante di animale domestico.")</f>
        <v>Mi piacciono i gatti, un tipo interessante di animale domestico.</v>
      </c>
      <c r="G1502" s="6" t="str">
        <f>IFERROR(__xludf.DUMMYFUNCTION("GOOGLETRANSLATE(E1502,""fr"",""it"")"),"Mi piacciono i gatti, un tipo interessante di animale domestico.")</f>
        <v>Mi piacciono i gatti, un tipo interessante di animale domestico.</v>
      </c>
    </row>
    <row r="1503">
      <c r="A1503" s="4">
        <v>1501.0</v>
      </c>
      <c r="B1503" s="5" t="s">
        <v>4510</v>
      </c>
      <c r="C1503" s="4">
        <v>0.0</v>
      </c>
      <c r="D1503" s="5" t="s">
        <v>4511</v>
      </c>
      <c r="E1503" s="5" t="s">
        <v>4512</v>
      </c>
      <c r="F1503" s="6" t="str">
        <f>IFERROR(__xludf.DUMMYFUNCTION("GOOGLETRANSLATE(D1503,""en"",""it"")"),"Mi piacciono gli animali domestici, un tipo interessante di gatto.")</f>
        <v>Mi piacciono gli animali domestici, un tipo interessante di gatto.</v>
      </c>
      <c r="G1503" s="6" t="str">
        <f>IFERROR(__xludf.DUMMYFUNCTION("GOOGLETRANSLATE(E1503,""fr"",""it"")"),"Amo gli animali domestici, un tipo interessante di gatto.")</f>
        <v>Amo gli animali domestici, un tipo interessante di gatto.</v>
      </c>
    </row>
    <row r="1504">
      <c r="A1504" s="4">
        <v>1502.0</v>
      </c>
      <c r="B1504" s="5" t="s">
        <v>4513</v>
      </c>
      <c r="C1504" s="4">
        <v>0.0</v>
      </c>
      <c r="D1504" s="5" t="s">
        <v>4514</v>
      </c>
      <c r="E1504" s="5" t="s">
        <v>4515</v>
      </c>
      <c r="F1504" s="6" t="str">
        <f>IFERROR(__xludf.DUMMYFUNCTION("GOOGLETRANSLATE(D1504,""en"",""it"")"),"Mi piacciono gli animali domestici, un tipo interessante di giraffa.")</f>
        <v>Mi piacciono gli animali domestici, un tipo interessante di giraffa.</v>
      </c>
      <c r="G1504" s="6" t="str">
        <f>IFERROR(__xludf.DUMMYFUNCTION("GOOGLETRANSLATE(E1504,""fr"",""it"")"),"Amo gli animali domestici, un ragazzo interessante della giraffa.")</f>
        <v>Amo gli animali domestici, un ragazzo interessante della giraffa.</v>
      </c>
    </row>
    <row r="1505">
      <c r="A1505" s="4">
        <v>1503.0</v>
      </c>
      <c r="B1505" s="5" t="s">
        <v>4516</v>
      </c>
      <c r="C1505" s="4">
        <v>0.0</v>
      </c>
      <c r="D1505" s="5" t="s">
        <v>4517</v>
      </c>
      <c r="E1505" s="5" t="s">
        <v>4518</v>
      </c>
      <c r="F1505" s="6" t="str">
        <f>IFERROR(__xludf.DUMMYFUNCTION("GOOGLETRANSLATE(D1505,""en"",""it"")"),"Mi piacciono i gatti, un tipo di orso interessante.")</f>
        <v>Mi piacciono i gatti, un tipo di orso interessante.</v>
      </c>
      <c r="G1505" s="6" t="str">
        <f>IFERROR(__xludf.DUMMYFUNCTION("GOOGLETRANSLATE(E1505,""fr"",""it"")"),"Mi piacciono i gatti, un ragazzo interessante di orsi.")</f>
        <v>Mi piacciono i gatti, un ragazzo interessante di orsi.</v>
      </c>
    </row>
    <row r="1506">
      <c r="A1506" s="4">
        <v>1504.0</v>
      </c>
      <c r="B1506" s="5" t="s">
        <v>4519</v>
      </c>
      <c r="C1506" s="4">
        <v>0.0</v>
      </c>
      <c r="D1506" s="5" t="s">
        <v>4520</v>
      </c>
      <c r="E1506" s="5" t="s">
        <v>4521</v>
      </c>
      <c r="F1506" s="6" t="str">
        <f>IFERROR(__xludf.DUMMYFUNCTION("GOOGLETRANSLATE(D1506,""en"",""it"")"),"Mi piacciono gli orsi, un tipo interessante di gatto.")</f>
        <v>Mi piacciono gli orsi, un tipo interessante di gatto.</v>
      </c>
      <c r="G1506" s="6" t="str">
        <f>IFERROR(__xludf.DUMMYFUNCTION("GOOGLETRANSLATE(E1506,""fr"",""it"")"),"Amo gli orsi, un tipo interessante di gatto.")</f>
        <v>Amo gli orsi, un tipo interessante di gatto.</v>
      </c>
    </row>
    <row r="1507">
      <c r="A1507" s="4">
        <v>1505.0</v>
      </c>
      <c r="B1507" s="5" t="s">
        <v>4522</v>
      </c>
      <c r="C1507" s="4">
        <v>0.0</v>
      </c>
      <c r="D1507" s="5" t="s">
        <v>4523</v>
      </c>
      <c r="E1507" s="5" t="s">
        <v>4524</v>
      </c>
      <c r="F1507" s="6" t="str">
        <f>IFERROR(__xludf.DUMMYFUNCTION("GOOGLETRANSLATE(D1507,""en"",""it"")"),"Mi piacciono gli animali domestici, un tipo di orso interessante.")</f>
        <v>Mi piacciono gli animali domestici, un tipo di orso interessante.</v>
      </c>
      <c r="G1507" s="6" t="str">
        <f>IFERROR(__xludf.DUMMYFUNCTION("GOOGLETRANSLATE(E1507,""fr"",""it"")"),"Mi piacciono gli animali domestici, un interessante ragazzo di orso.")</f>
        <v>Mi piacciono gli animali domestici, un interessante ragazzo di orso.</v>
      </c>
    </row>
    <row r="1508">
      <c r="A1508" s="4">
        <v>1506.0</v>
      </c>
      <c r="B1508" s="5" t="s">
        <v>4525</v>
      </c>
      <c r="C1508" s="4">
        <v>0.0</v>
      </c>
      <c r="D1508" s="5" t="s">
        <v>4526</v>
      </c>
      <c r="E1508" s="5" t="s">
        <v>4527</v>
      </c>
      <c r="F1508" s="6" t="str">
        <f>IFERROR(__xludf.DUMMYFUNCTION("GOOGLETRANSLATE(D1508,""en"",""it"")"),"Mi piacciono i gatti, un tipo interessante di meduse.")</f>
        <v>Mi piacciono i gatti, un tipo interessante di meduse.</v>
      </c>
      <c r="G1508" s="6" t="str">
        <f>IFERROR(__xludf.DUMMYFUNCTION("GOOGLETRANSLATE(E1508,""fr"",""it"")"),"Mi piacciono i gatti, un tipo interessante di meduse.")</f>
        <v>Mi piacciono i gatti, un tipo interessante di meduse.</v>
      </c>
    </row>
    <row r="1509">
      <c r="A1509" s="4">
        <v>1507.0</v>
      </c>
      <c r="B1509" s="5" t="s">
        <v>4528</v>
      </c>
      <c r="C1509" s="4">
        <v>0.0</v>
      </c>
      <c r="D1509" s="5" t="s">
        <v>4529</v>
      </c>
      <c r="E1509" s="5" t="s">
        <v>4530</v>
      </c>
      <c r="F1509" s="6" t="str">
        <f>IFERROR(__xludf.DUMMYFUNCTION("GOOGLETRANSLATE(D1509,""en"",""it"")"),"Mi piacciono le meduse, un tipo interessante di gatto.")</f>
        <v>Mi piacciono le meduse, un tipo interessante di gatto.</v>
      </c>
      <c r="G1509" s="6" t="str">
        <f>IFERROR(__xludf.DUMMYFUNCTION("GOOGLETRANSLATE(E1509,""fr"",""it"")"),"Amo la medusa, un tipo interessante di gatto.")</f>
        <v>Amo la medusa, un tipo interessante di gatto.</v>
      </c>
    </row>
    <row r="1510">
      <c r="A1510" s="4">
        <v>1508.0</v>
      </c>
      <c r="B1510" s="5" t="s">
        <v>4531</v>
      </c>
      <c r="C1510" s="4">
        <v>0.0</v>
      </c>
      <c r="D1510" s="5" t="s">
        <v>4532</v>
      </c>
      <c r="E1510" s="5" t="s">
        <v>4533</v>
      </c>
      <c r="F1510" s="6" t="str">
        <f>IFERROR(__xludf.DUMMYFUNCTION("GOOGLETRANSLATE(D1510,""en"",""it"")"),"Mi piacciono gli animali domestici, un tipo interessante di meduse.")</f>
        <v>Mi piacciono gli animali domestici, un tipo interessante di meduse.</v>
      </c>
      <c r="G1510" s="6" t="str">
        <f>IFERROR(__xludf.DUMMYFUNCTION("GOOGLETRANSLATE(E1510,""fr"",""it"")"),"Amo gli animali domestici, un tipo interessante di meduse.")</f>
        <v>Amo gli animali domestici, un tipo interessante di meduse.</v>
      </c>
    </row>
    <row r="1511">
      <c r="A1511" s="4">
        <v>1509.0</v>
      </c>
      <c r="B1511" s="5" t="s">
        <v>4534</v>
      </c>
      <c r="C1511" s="4">
        <v>0.0</v>
      </c>
      <c r="D1511" s="5" t="s">
        <v>4535</v>
      </c>
      <c r="E1511" s="5" t="s">
        <v>4536</v>
      </c>
      <c r="F1511" s="6" t="str">
        <f>IFERROR(__xludf.DUMMYFUNCTION("GOOGLETRANSLATE(D1511,""en"",""it"")"),"Mi piacciono i gatti, un tipo interessante di balena.")</f>
        <v>Mi piacciono i gatti, un tipo interessante di balena.</v>
      </c>
      <c r="G1511" s="6" t="str">
        <f>IFERROR(__xludf.DUMMYFUNCTION("GOOGLETRANSLATE(E1511,""fr"",""it"")"),"Mi piacciono i gatti, un tipo interessante di balena.")</f>
        <v>Mi piacciono i gatti, un tipo interessante di balena.</v>
      </c>
    </row>
    <row r="1512">
      <c r="A1512" s="4">
        <v>1510.0</v>
      </c>
      <c r="B1512" s="5" t="s">
        <v>4537</v>
      </c>
      <c r="C1512" s="4">
        <v>0.0</v>
      </c>
      <c r="D1512" s="5" t="s">
        <v>4538</v>
      </c>
      <c r="E1512" s="5" t="s">
        <v>4539</v>
      </c>
      <c r="F1512" s="6" t="str">
        <f>IFERROR(__xludf.DUMMYFUNCTION("GOOGLETRANSLATE(D1512,""en"",""it"")"),"Mi piacciono le balene, un tipo di gatto interessante.")</f>
        <v>Mi piacciono le balene, un tipo di gatto interessante.</v>
      </c>
      <c r="G1512" s="6" t="str">
        <f>IFERROR(__xludf.DUMMYFUNCTION("GOOGLETRANSLATE(E1512,""fr"",""it"")"),"Adoro le balene, un tipo interessante di gatto.")</f>
        <v>Adoro le balene, un tipo interessante di gatto.</v>
      </c>
    </row>
    <row r="1513">
      <c r="A1513" s="4">
        <v>1511.0</v>
      </c>
      <c r="B1513" s="5" t="s">
        <v>4540</v>
      </c>
      <c r="C1513" s="4">
        <v>0.0</v>
      </c>
      <c r="D1513" s="5" t="s">
        <v>4541</v>
      </c>
      <c r="E1513" s="5" t="s">
        <v>4542</v>
      </c>
      <c r="F1513" s="6" t="str">
        <f>IFERROR(__xludf.DUMMYFUNCTION("GOOGLETRANSLATE(D1513,""en"",""it"")"),"Mi piacciono gli animali domestici, un tipo interessante di balena.")</f>
        <v>Mi piacciono gli animali domestici, un tipo interessante di balena.</v>
      </c>
      <c r="G1513" s="6" t="str">
        <f>IFERROR(__xludf.DUMMYFUNCTION("GOOGLETRANSLATE(E1513,""fr"",""it"")"),"Amo gli animali domestici, un tipo interessante di balena.")</f>
        <v>Amo gli animali domestici, un tipo interessante di balena.</v>
      </c>
    </row>
    <row r="1514">
      <c r="A1514" s="4">
        <v>1512.0</v>
      </c>
      <c r="B1514" s="5" t="s">
        <v>4543</v>
      </c>
      <c r="C1514" s="4">
        <v>0.0</v>
      </c>
      <c r="D1514" s="5" t="s">
        <v>4544</v>
      </c>
      <c r="E1514" s="5" t="s">
        <v>4545</v>
      </c>
      <c r="F1514" s="6" t="str">
        <f>IFERROR(__xludf.DUMMYFUNCTION("GOOGLETRANSLATE(D1514,""en"",""it"")"),"Mi piacciono i cani, un tipo interessante di giraffa.")</f>
        <v>Mi piacciono i cani, un tipo interessante di giraffa.</v>
      </c>
      <c r="G1514" s="6" t="str">
        <f>IFERROR(__xludf.DUMMYFUNCTION("GOOGLETRANSLATE(E1514,""fr"",""it"")"),"Amo i cani, un ragazzo interessante della giraffa.")</f>
        <v>Amo i cani, un ragazzo interessante della giraffa.</v>
      </c>
    </row>
    <row r="1515">
      <c r="A1515" s="4">
        <v>1513.0</v>
      </c>
      <c r="B1515" s="5" t="s">
        <v>4546</v>
      </c>
      <c r="C1515" s="4">
        <v>0.0</v>
      </c>
      <c r="D1515" s="5" t="s">
        <v>4547</v>
      </c>
      <c r="E1515" s="5" t="s">
        <v>4548</v>
      </c>
      <c r="F1515" s="6" t="str">
        <f>IFERROR(__xludf.DUMMYFUNCTION("GOOGLETRANSLATE(D1515,""en"",""it"")"),"Mi piacciono le giraffe, un tipo di cane interessante.")</f>
        <v>Mi piacciono le giraffe, un tipo di cane interessante.</v>
      </c>
      <c r="G1515" s="6" t="str">
        <f>IFERROR(__xludf.DUMMYFUNCTION("GOOGLETRANSLATE(E1515,""fr"",""it"")"),"Amo le giraffe, un tipo interessante di cane.")</f>
        <v>Amo le giraffe, un tipo interessante di cane.</v>
      </c>
    </row>
    <row r="1516">
      <c r="A1516" s="4">
        <v>1514.0</v>
      </c>
      <c r="B1516" s="5" t="s">
        <v>4549</v>
      </c>
      <c r="C1516" s="4">
        <v>1.0</v>
      </c>
      <c r="D1516" s="5" t="s">
        <v>4550</v>
      </c>
      <c r="E1516" s="5" t="s">
        <v>4551</v>
      </c>
      <c r="F1516" s="6" t="str">
        <f>IFERROR(__xludf.DUMMYFUNCTION("GOOGLETRANSLATE(D1516,""en"",""it"")"),"Mi piacciono i cani, un tipo interessante di animale domestico.")</f>
        <v>Mi piacciono i cani, un tipo interessante di animale domestico.</v>
      </c>
      <c r="G1516" s="6" t="str">
        <f>IFERROR(__xludf.DUMMYFUNCTION("GOOGLETRANSLATE(E1516,""fr"",""it"")"),"Amo i cani, un tipo interessante di animale domestico.")</f>
        <v>Amo i cani, un tipo interessante di animale domestico.</v>
      </c>
    </row>
    <row r="1517">
      <c r="A1517" s="4">
        <v>1515.0</v>
      </c>
      <c r="B1517" s="5" t="s">
        <v>4552</v>
      </c>
      <c r="C1517" s="4">
        <v>0.0</v>
      </c>
      <c r="D1517" s="5" t="s">
        <v>4553</v>
      </c>
      <c r="E1517" s="5" t="s">
        <v>4554</v>
      </c>
      <c r="F1517" s="6" t="str">
        <f>IFERROR(__xludf.DUMMYFUNCTION("GOOGLETRANSLATE(D1517,""en"",""it"")"),"Mi piacciono gli animali domestici, un tipo di cane interessante.")</f>
        <v>Mi piacciono gli animali domestici, un tipo di cane interessante.</v>
      </c>
      <c r="G1517" s="6" t="str">
        <f>IFERROR(__xludf.DUMMYFUNCTION("GOOGLETRANSLATE(E1517,""fr"",""it"")"),"Amo gli animali domestici, un ragazzo interessante di cane.")</f>
        <v>Amo gli animali domestici, un ragazzo interessante di cane.</v>
      </c>
    </row>
    <row r="1518">
      <c r="A1518" s="4">
        <v>1516.0</v>
      </c>
      <c r="B1518" s="5" t="s">
        <v>4555</v>
      </c>
      <c r="C1518" s="4">
        <v>0.0</v>
      </c>
      <c r="D1518" s="5" t="s">
        <v>4556</v>
      </c>
      <c r="E1518" s="5" t="s">
        <v>4557</v>
      </c>
      <c r="F1518" s="6" t="str">
        <f>IFERROR(__xludf.DUMMYFUNCTION("GOOGLETRANSLATE(D1518,""en"",""it"")"),"Mi piacciono i cani, un tipo interessante di orso.")</f>
        <v>Mi piacciono i cani, un tipo interessante di orso.</v>
      </c>
      <c r="G1518" s="6" t="str">
        <f>IFERROR(__xludf.DUMMYFUNCTION("GOOGLETRANSLATE(E1518,""fr"",""it"")"),"Amo i cani, un interessante ragazzo di orsi.")</f>
        <v>Amo i cani, un interessante ragazzo di orsi.</v>
      </c>
    </row>
    <row r="1519">
      <c r="A1519" s="4">
        <v>1517.0</v>
      </c>
      <c r="B1519" s="5" t="s">
        <v>4558</v>
      </c>
      <c r="C1519" s="4">
        <v>0.0</v>
      </c>
      <c r="D1519" s="5" t="s">
        <v>4559</v>
      </c>
      <c r="E1519" s="5" t="s">
        <v>4560</v>
      </c>
      <c r="F1519" s="6" t="str">
        <f>IFERROR(__xludf.DUMMYFUNCTION("GOOGLETRANSLATE(D1519,""en"",""it"")"),"Mi piacciono gli orsi, un tipo di cane interessante.")</f>
        <v>Mi piacciono gli orsi, un tipo di cane interessante.</v>
      </c>
      <c r="G1519" s="6" t="str">
        <f>IFERROR(__xludf.DUMMYFUNCTION("GOOGLETRANSLATE(E1519,""fr"",""it"")"),"Amo gli orsi, un tipo di cane interessante.")</f>
        <v>Amo gli orsi, un tipo di cane interessante.</v>
      </c>
    </row>
    <row r="1520">
      <c r="A1520" s="4">
        <v>1518.0</v>
      </c>
      <c r="B1520" s="5" t="s">
        <v>4561</v>
      </c>
      <c r="C1520" s="4">
        <v>0.0</v>
      </c>
      <c r="D1520" s="5" t="s">
        <v>4562</v>
      </c>
      <c r="E1520" s="5" t="s">
        <v>4563</v>
      </c>
      <c r="F1520" s="6" t="str">
        <f>IFERROR(__xludf.DUMMYFUNCTION("GOOGLETRANSLATE(D1520,""en"",""it"")"),"Mi piacciono i cani, un tipo interessante di meduse.")</f>
        <v>Mi piacciono i cani, un tipo interessante di meduse.</v>
      </c>
      <c r="G1520" s="6" t="str">
        <f>IFERROR(__xludf.DUMMYFUNCTION("GOOGLETRANSLATE(E1520,""fr"",""it"")"),"Mi piacciono i cani, un tipo interessante di meduse.")</f>
        <v>Mi piacciono i cani, un tipo interessante di meduse.</v>
      </c>
    </row>
    <row r="1521">
      <c r="A1521" s="4">
        <v>1519.0</v>
      </c>
      <c r="B1521" s="5" t="s">
        <v>4564</v>
      </c>
      <c r="C1521" s="4">
        <v>0.0</v>
      </c>
      <c r="D1521" s="5" t="s">
        <v>4565</v>
      </c>
      <c r="E1521" s="5" t="s">
        <v>4566</v>
      </c>
      <c r="F1521" s="6" t="str">
        <f>IFERROR(__xludf.DUMMYFUNCTION("GOOGLETRANSLATE(D1521,""en"",""it"")"),"Mi piacciono le meduse, un tipo di cane interessante.")</f>
        <v>Mi piacciono le meduse, un tipo di cane interessante.</v>
      </c>
      <c r="G1521" s="6" t="str">
        <f>IFERROR(__xludf.DUMMYFUNCTION("GOOGLETRANSLATE(E1521,""fr"",""it"")"),"Amo la medusa, un tipo di cane interessante.")</f>
        <v>Amo la medusa, un tipo di cane interessante.</v>
      </c>
    </row>
    <row r="1522">
      <c r="A1522" s="4">
        <v>1520.0</v>
      </c>
      <c r="B1522" s="5" t="s">
        <v>4567</v>
      </c>
      <c r="C1522" s="4">
        <v>0.0</v>
      </c>
      <c r="D1522" s="5" t="s">
        <v>4568</v>
      </c>
      <c r="E1522" s="5" t="s">
        <v>4569</v>
      </c>
      <c r="F1522" s="6" t="str">
        <f>IFERROR(__xludf.DUMMYFUNCTION("GOOGLETRANSLATE(D1522,""en"",""it"")"),"Mi piacciono i cani, un tipo interessante di balena.")</f>
        <v>Mi piacciono i cani, un tipo interessante di balena.</v>
      </c>
      <c r="G1522" s="6" t="str">
        <f>IFERROR(__xludf.DUMMYFUNCTION("GOOGLETRANSLATE(E1522,""fr"",""it"")"),"Mi piacciono i cani, un tipo interessante di balena.")</f>
        <v>Mi piacciono i cani, un tipo interessante di balena.</v>
      </c>
    </row>
    <row r="1523">
      <c r="A1523" s="4">
        <v>1521.0</v>
      </c>
      <c r="B1523" s="5" t="s">
        <v>4570</v>
      </c>
      <c r="C1523" s="4">
        <v>0.0</v>
      </c>
      <c r="D1523" s="5" t="s">
        <v>4571</v>
      </c>
      <c r="E1523" s="5" t="s">
        <v>4572</v>
      </c>
      <c r="F1523" s="6" t="str">
        <f>IFERROR(__xludf.DUMMYFUNCTION("GOOGLETRANSLATE(D1523,""en"",""it"")"),"Mi piacciono le balene, un tipo di cane interessante.")</f>
        <v>Mi piacciono le balene, un tipo di cane interessante.</v>
      </c>
      <c r="G1523" s="6" t="str">
        <f>IFERROR(__xludf.DUMMYFUNCTION("GOOGLETRANSLATE(E1523,""fr"",""it"")"),"Mi piacciono le balene, un ragazzo interessante di cane.")</f>
        <v>Mi piacciono le balene, un ragazzo interessante di cane.</v>
      </c>
    </row>
    <row r="1524">
      <c r="A1524" s="4">
        <v>1522.0</v>
      </c>
      <c r="B1524" s="5" t="s">
        <v>4573</v>
      </c>
      <c r="C1524" s="4">
        <v>0.0</v>
      </c>
      <c r="D1524" s="5" t="s">
        <v>4574</v>
      </c>
      <c r="E1524" s="5" t="s">
        <v>4575</v>
      </c>
      <c r="F1524" s="6" t="str">
        <f>IFERROR(__xludf.DUMMYFUNCTION("GOOGLETRANSLATE(D1524,""en"",""it"")"),"Mi piacciono i conigli, un tipo interessante di giraffa.")</f>
        <v>Mi piacciono i conigli, un tipo interessante di giraffa.</v>
      </c>
      <c r="G1524" s="6" t="str">
        <f>IFERROR(__xludf.DUMMYFUNCTION("GOOGLETRANSLATE(E1524,""fr"",""it"")"),"Amo i conigli, un ragazzo interessante della giraffa.")</f>
        <v>Amo i conigli, un ragazzo interessante della giraffa.</v>
      </c>
    </row>
    <row r="1525">
      <c r="A1525" s="4">
        <v>1523.0</v>
      </c>
      <c r="B1525" s="5" t="s">
        <v>4576</v>
      </c>
      <c r="C1525" s="4">
        <v>0.0</v>
      </c>
      <c r="D1525" s="5" t="s">
        <v>4577</v>
      </c>
      <c r="E1525" s="5" t="s">
        <v>4578</v>
      </c>
      <c r="F1525" s="6" t="str">
        <f>IFERROR(__xludf.DUMMYFUNCTION("GOOGLETRANSLATE(D1525,""en"",""it"")"),"Mi piacciono le giraffe, un tipo interessante di coniglio.")</f>
        <v>Mi piacciono le giraffe, un tipo interessante di coniglio.</v>
      </c>
      <c r="G1525" s="6" t="str">
        <f>IFERROR(__xludf.DUMMYFUNCTION("GOOGLETRANSLATE(E1525,""fr"",""it"")"),"Amo le giraffe, un tipo interessante di coniglio.")</f>
        <v>Amo le giraffe, un tipo interessante di coniglio.</v>
      </c>
    </row>
    <row r="1526">
      <c r="A1526" s="4">
        <v>1524.0</v>
      </c>
      <c r="B1526" s="5" t="s">
        <v>4579</v>
      </c>
      <c r="C1526" s="4">
        <v>1.0</v>
      </c>
      <c r="D1526" s="5" t="s">
        <v>4580</v>
      </c>
      <c r="E1526" s="5" t="s">
        <v>4581</v>
      </c>
      <c r="F1526" s="6" t="str">
        <f>IFERROR(__xludf.DUMMYFUNCTION("GOOGLETRANSLATE(D1526,""en"",""it"")"),"Mi piacciono i conigli, un tipo interessante di animale domestico.")</f>
        <v>Mi piacciono i conigli, un tipo interessante di animale domestico.</v>
      </c>
      <c r="G1526" s="6" t="str">
        <f>IFERROR(__xludf.DUMMYFUNCTION("GOOGLETRANSLATE(E1526,""fr"",""it"")"),"Amo i conigli, un tipo interessante di animale domestico.")</f>
        <v>Amo i conigli, un tipo interessante di animale domestico.</v>
      </c>
    </row>
    <row r="1527">
      <c r="A1527" s="4">
        <v>1525.0</v>
      </c>
      <c r="B1527" s="5" t="s">
        <v>4582</v>
      </c>
      <c r="C1527" s="4">
        <v>0.0</v>
      </c>
      <c r="D1527" s="5" t="s">
        <v>4583</v>
      </c>
      <c r="E1527" s="5" t="s">
        <v>4584</v>
      </c>
      <c r="F1527" s="6" t="str">
        <f>IFERROR(__xludf.DUMMYFUNCTION("GOOGLETRANSLATE(D1527,""en"",""it"")"),"Mi piacciono gli animali domestici, un tipo interessante di coniglio.")</f>
        <v>Mi piacciono gli animali domestici, un tipo interessante di coniglio.</v>
      </c>
      <c r="G1527" s="6" t="str">
        <f>IFERROR(__xludf.DUMMYFUNCTION("GOOGLETRANSLATE(E1527,""fr"",""it"")"),"Amo gli animali domestici, un tipo interessante di coniglio.")</f>
        <v>Amo gli animali domestici, un tipo interessante di coniglio.</v>
      </c>
    </row>
    <row r="1528">
      <c r="A1528" s="4">
        <v>1526.0</v>
      </c>
      <c r="B1528" s="5" t="s">
        <v>4585</v>
      </c>
      <c r="C1528" s="4">
        <v>0.0</v>
      </c>
      <c r="D1528" s="5" t="s">
        <v>4586</v>
      </c>
      <c r="E1528" s="5" t="s">
        <v>4587</v>
      </c>
      <c r="F1528" s="6" t="str">
        <f>IFERROR(__xludf.DUMMYFUNCTION("GOOGLETRANSLATE(D1528,""en"",""it"")"),"Mi piacciono i conigli, un tipo interessante di orso.")</f>
        <v>Mi piacciono i conigli, un tipo interessante di orso.</v>
      </c>
      <c r="G1528" s="6" t="str">
        <f>IFERROR(__xludf.DUMMYFUNCTION("GOOGLETRANSLATE(E1528,""fr"",""it"")"),"Amo i conigli, un interessante ragazzo di orsi.")</f>
        <v>Amo i conigli, un interessante ragazzo di orsi.</v>
      </c>
    </row>
    <row r="1529">
      <c r="A1529" s="4">
        <v>1527.0</v>
      </c>
      <c r="B1529" s="5" t="s">
        <v>4588</v>
      </c>
      <c r="C1529" s="4">
        <v>0.0</v>
      </c>
      <c r="D1529" s="5" t="s">
        <v>4589</v>
      </c>
      <c r="E1529" s="5" t="s">
        <v>4590</v>
      </c>
      <c r="F1529" s="6" t="str">
        <f>IFERROR(__xludf.DUMMYFUNCTION("GOOGLETRANSLATE(D1529,""en"",""it"")"),"Mi piacciono gli orsi, un tipo interessante di coniglio.")</f>
        <v>Mi piacciono gli orsi, un tipo interessante di coniglio.</v>
      </c>
      <c r="G1529" s="6" t="str">
        <f>IFERROR(__xludf.DUMMYFUNCTION("GOOGLETRANSLATE(E1529,""fr"",""it"")"),"Amo gli orsi, un tipo interessante di coniglio.")</f>
        <v>Amo gli orsi, un tipo interessante di coniglio.</v>
      </c>
    </row>
    <row r="1530">
      <c r="A1530" s="4">
        <v>1528.0</v>
      </c>
      <c r="B1530" s="5" t="s">
        <v>4591</v>
      </c>
      <c r="C1530" s="4">
        <v>0.0</v>
      </c>
      <c r="D1530" s="5" t="s">
        <v>4592</v>
      </c>
      <c r="E1530" s="5" t="s">
        <v>4593</v>
      </c>
      <c r="F1530" s="6" t="str">
        <f>IFERROR(__xludf.DUMMYFUNCTION("GOOGLETRANSLATE(D1530,""en"",""it"")"),"Mi piacciono i conigli, un tipo interessante di meduse.")</f>
        <v>Mi piacciono i conigli, un tipo interessante di meduse.</v>
      </c>
      <c r="G1530" s="6" t="str">
        <f>IFERROR(__xludf.DUMMYFUNCTION("GOOGLETRANSLATE(E1530,""fr"",""it"")"),"Amo i conigli, un tipo interessante di meduse.")</f>
        <v>Amo i conigli, un tipo interessante di meduse.</v>
      </c>
    </row>
    <row r="1531">
      <c r="A1531" s="4">
        <v>1529.0</v>
      </c>
      <c r="B1531" s="5" t="s">
        <v>4594</v>
      </c>
      <c r="C1531" s="4">
        <v>0.0</v>
      </c>
      <c r="D1531" s="5" t="s">
        <v>4595</v>
      </c>
      <c r="E1531" s="5" t="s">
        <v>4596</v>
      </c>
      <c r="F1531" s="6" t="str">
        <f>IFERROR(__xludf.DUMMYFUNCTION("GOOGLETRANSLATE(D1531,""en"",""it"")"),"Mi piacciono le meduse, un tipo interessante di coniglio.")</f>
        <v>Mi piacciono le meduse, un tipo interessante di coniglio.</v>
      </c>
      <c r="G1531" s="6" t="str">
        <f>IFERROR(__xludf.DUMMYFUNCTION("GOOGLETRANSLATE(E1531,""fr"",""it"")"),"Amo la medusa, un tipo interessante di coniglio.")</f>
        <v>Amo la medusa, un tipo interessante di coniglio.</v>
      </c>
    </row>
    <row r="1532">
      <c r="A1532" s="4">
        <v>1530.0</v>
      </c>
      <c r="B1532" s="5" t="s">
        <v>4597</v>
      </c>
      <c r="C1532" s="4">
        <v>0.0</v>
      </c>
      <c r="D1532" s="5" t="s">
        <v>4598</v>
      </c>
      <c r="E1532" s="5" t="s">
        <v>4599</v>
      </c>
      <c r="F1532" s="6" t="str">
        <f>IFERROR(__xludf.DUMMYFUNCTION("GOOGLETRANSLATE(D1532,""en"",""it"")"),"Mi piacciono i conigli, un tipo interessante di balena.")</f>
        <v>Mi piacciono i conigli, un tipo interessante di balena.</v>
      </c>
      <c r="G1532" s="6" t="str">
        <f>IFERROR(__xludf.DUMMYFUNCTION("GOOGLETRANSLATE(E1532,""fr"",""it"")"),"Amo i conigli, un tipo interessante di balena.")</f>
        <v>Amo i conigli, un tipo interessante di balena.</v>
      </c>
    </row>
    <row r="1533">
      <c r="A1533" s="4">
        <v>1531.0</v>
      </c>
      <c r="B1533" s="5" t="s">
        <v>4600</v>
      </c>
      <c r="C1533" s="4">
        <v>0.0</v>
      </c>
      <c r="D1533" s="5" t="s">
        <v>4601</v>
      </c>
      <c r="E1533" s="5" t="s">
        <v>4602</v>
      </c>
      <c r="F1533" s="6" t="str">
        <f>IFERROR(__xludf.DUMMYFUNCTION("GOOGLETRANSLATE(D1533,""en"",""it"")"),"Mi piacciono le balene, un tipo interessante di coniglio.")</f>
        <v>Mi piacciono le balene, un tipo interessante di coniglio.</v>
      </c>
      <c r="G1533" s="6" t="str">
        <f>IFERROR(__xludf.DUMMYFUNCTION("GOOGLETRANSLATE(E1533,""fr"",""it"")"),"Adoro le balene, un tipo interessante di coniglio.")</f>
        <v>Adoro le balene, un tipo interessante di coniglio.</v>
      </c>
    </row>
    <row r="1534">
      <c r="A1534" s="4">
        <v>1532.0</v>
      </c>
      <c r="B1534" s="5" t="s">
        <v>4603</v>
      </c>
      <c r="C1534" s="4">
        <v>0.0</v>
      </c>
      <c r="D1534" s="5" t="s">
        <v>4604</v>
      </c>
      <c r="E1534" s="5" t="s">
        <v>4605</v>
      </c>
      <c r="F1534" s="6" t="str">
        <f>IFERROR(__xludf.DUMMYFUNCTION("GOOGLETRANSLATE(D1534,""en"",""it"")"),"Mi piacciono i criceti, un tipo interessante di giraffa.")</f>
        <v>Mi piacciono i criceti, un tipo interessante di giraffa.</v>
      </c>
      <c r="G1534" s="6" t="str">
        <f>IFERROR(__xludf.DUMMYFUNCTION("GOOGLETRANSLATE(E1534,""fr"",""it"")"),"Amo i criceti, un ragazzo interessante della giraffa.")</f>
        <v>Amo i criceti, un ragazzo interessante della giraffa.</v>
      </c>
    </row>
    <row r="1535">
      <c r="A1535" s="4">
        <v>1533.0</v>
      </c>
      <c r="B1535" s="5" t="s">
        <v>4606</v>
      </c>
      <c r="C1535" s="4">
        <v>0.0</v>
      </c>
      <c r="D1535" s="5" t="s">
        <v>4607</v>
      </c>
      <c r="E1535" s="5" t="s">
        <v>4608</v>
      </c>
      <c r="F1535" s="6" t="str">
        <f>IFERROR(__xludf.DUMMYFUNCTION("GOOGLETRANSLATE(D1535,""en"",""it"")"),"Mi piacciono le giraffe, un tipo interessante di criceto.")</f>
        <v>Mi piacciono le giraffe, un tipo interessante di criceto.</v>
      </c>
      <c r="G1535" s="6" t="str">
        <f>IFERROR(__xludf.DUMMYFUNCTION("GOOGLETRANSLATE(E1535,""fr"",""it"")"),"Amo le giraffe, un ragazzo interessante dal criceto.")</f>
        <v>Amo le giraffe, un ragazzo interessante dal criceto.</v>
      </c>
    </row>
    <row r="1536">
      <c r="A1536" s="4">
        <v>1534.0</v>
      </c>
      <c r="B1536" s="5" t="s">
        <v>4609</v>
      </c>
      <c r="C1536" s="4">
        <v>1.0</v>
      </c>
      <c r="D1536" s="5" t="s">
        <v>4610</v>
      </c>
      <c r="E1536" s="5" t="s">
        <v>4611</v>
      </c>
      <c r="F1536" s="6" t="str">
        <f>IFERROR(__xludf.DUMMYFUNCTION("GOOGLETRANSLATE(D1536,""en"",""it"")"),"Mi piacciono i criceti, un tipo interessante di animale domestico.")</f>
        <v>Mi piacciono i criceti, un tipo interessante di animale domestico.</v>
      </c>
      <c r="G1536" s="6" t="str">
        <f>IFERROR(__xludf.DUMMYFUNCTION("GOOGLETRANSLATE(E1536,""fr"",""it"")"),"Adoro i criceti, un tipo interessante di animale domestico.")</f>
        <v>Adoro i criceti, un tipo interessante di animale domestico.</v>
      </c>
    </row>
    <row r="1537">
      <c r="A1537" s="4">
        <v>1535.0</v>
      </c>
      <c r="B1537" s="5" t="s">
        <v>4612</v>
      </c>
      <c r="C1537" s="4">
        <v>0.0</v>
      </c>
      <c r="D1537" s="5" t="s">
        <v>4613</v>
      </c>
      <c r="E1537" s="5" t="s">
        <v>4614</v>
      </c>
      <c r="F1537" s="6" t="str">
        <f>IFERROR(__xludf.DUMMYFUNCTION("GOOGLETRANSLATE(D1537,""en"",""it"")"),"Mi piacciono gli animali domestici, un tipo interessante di criceto.")</f>
        <v>Mi piacciono gli animali domestici, un tipo interessante di criceto.</v>
      </c>
      <c r="G1537" s="6" t="str">
        <f>IFERROR(__xludf.DUMMYFUNCTION("GOOGLETRANSLATE(E1537,""fr"",""it"")"),"Amo gli animali domestici, un ragazzo interessante dal criceto.")</f>
        <v>Amo gli animali domestici, un ragazzo interessante dal criceto.</v>
      </c>
    </row>
    <row r="1538">
      <c r="A1538" s="4">
        <v>1536.0</v>
      </c>
      <c r="B1538" s="5" t="s">
        <v>4615</v>
      </c>
      <c r="C1538" s="4">
        <v>0.0</v>
      </c>
      <c r="D1538" s="5" t="s">
        <v>4616</v>
      </c>
      <c r="E1538" s="5" t="s">
        <v>4617</v>
      </c>
      <c r="F1538" s="6" t="str">
        <f>IFERROR(__xludf.DUMMYFUNCTION("GOOGLETRANSLATE(D1538,""en"",""it"")"),"Mi piacciono i criceti, un tipo di orso interessante.")</f>
        <v>Mi piacciono i criceti, un tipo di orso interessante.</v>
      </c>
      <c r="G1538" s="6" t="str">
        <f>IFERROR(__xludf.DUMMYFUNCTION("GOOGLETRANSLATE(E1538,""fr"",""it"")"),"Amo i criceti, un interessante ragazzo di orsi.")</f>
        <v>Amo i criceti, un interessante ragazzo di orsi.</v>
      </c>
    </row>
    <row r="1539">
      <c r="A1539" s="4">
        <v>1537.0</v>
      </c>
      <c r="B1539" s="5" t="s">
        <v>4618</v>
      </c>
      <c r="C1539" s="4">
        <v>0.0</v>
      </c>
      <c r="D1539" s="5" t="s">
        <v>4619</v>
      </c>
      <c r="E1539" s="5" t="s">
        <v>4620</v>
      </c>
      <c r="F1539" s="6" t="str">
        <f>IFERROR(__xludf.DUMMYFUNCTION("GOOGLETRANSLATE(D1539,""en"",""it"")"),"Mi piacciono gli orsi, un tipo interessante di criceto.")</f>
        <v>Mi piacciono gli orsi, un tipo interessante di criceto.</v>
      </c>
      <c r="G1539" s="6" t="str">
        <f>IFERROR(__xludf.DUMMYFUNCTION("GOOGLETRANSLATE(E1539,""fr"",""it"")"),"Amo gli orsi, un tipo di criceto interessante.")</f>
        <v>Amo gli orsi, un tipo di criceto interessante.</v>
      </c>
    </row>
    <row r="1540">
      <c r="A1540" s="4">
        <v>1538.0</v>
      </c>
      <c r="B1540" s="5" t="s">
        <v>4621</v>
      </c>
      <c r="C1540" s="4">
        <v>0.0</v>
      </c>
      <c r="D1540" s="5" t="s">
        <v>4622</v>
      </c>
      <c r="E1540" s="5" t="s">
        <v>4623</v>
      </c>
      <c r="F1540" s="6" t="str">
        <f>IFERROR(__xludf.DUMMYFUNCTION("GOOGLETRANSLATE(D1540,""en"",""it"")"),"Mi piacciono i criceti, un tipo interessante di meduse.")</f>
        <v>Mi piacciono i criceti, un tipo interessante di meduse.</v>
      </c>
      <c r="G1540" s="6" t="str">
        <f>IFERROR(__xludf.DUMMYFUNCTION("GOOGLETRANSLATE(E1540,""fr"",""it"")"),"Mi piacciono i criceti, un tipo interessante di meduse.")</f>
        <v>Mi piacciono i criceti, un tipo interessante di meduse.</v>
      </c>
    </row>
    <row r="1541">
      <c r="A1541" s="4">
        <v>1539.0</v>
      </c>
      <c r="B1541" s="5" t="s">
        <v>4624</v>
      </c>
      <c r="C1541" s="4">
        <v>0.0</v>
      </c>
      <c r="D1541" s="5" t="s">
        <v>4625</v>
      </c>
      <c r="E1541" s="5" t="s">
        <v>4626</v>
      </c>
      <c r="F1541" s="6" t="str">
        <f>IFERROR(__xludf.DUMMYFUNCTION("GOOGLETRANSLATE(D1541,""en"",""it"")"),"Mi piacciono le meduse, un tipo di criceto interessante.")</f>
        <v>Mi piacciono le meduse, un tipo di criceto interessante.</v>
      </c>
      <c r="G1541" s="6" t="str">
        <f>IFERROR(__xludf.DUMMYFUNCTION("GOOGLETRANSLATE(E1541,""fr"",""it"")"),"Amo la medusa, un ragazzo interessante dal criceto.")</f>
        <v>Amo la medusa, un ragazzo interessante dal criceto.</v>
      </c>
    </row>
    <row r="1542">
      <c r="A1542" s="4">
        <v>1540.0</v>
      </c>
      <c r="B1542" s="5" t="s">
        <v>4627</v>
      </c>
      <c r="C1542" s="4">
        <v>0.0</v>
      </c>
      <c r="D1542" s="5" t="s">
        <v>4628</v>
      </c>
      <c r="E1542" s="5" t="s">
        <v>4629</v>
      </c>
      <c r="F1542" s="6" t="str">
        <f>IFERROR(__xludf.DUMMYFUNCTION("GOOGLETRANSLATE(D1542,""en"",""it"")"),"Mi piacciono i criceti, un tipo interessante di balena.")</f>
        <v>Mi piacciono i criceti, un tipo interessante di balena.</v>
      </c>
      <c r="G1542" s="6" t="str">
        <f>IFERROR(__xludf.DUMMYFUNCTION("GOOGLETRANSLATE(E1542,""fr"",""it"")"),"Amo i criceti, un tipo interessante di balena.")</f>
        <v>Amo i criceti, un tipo interessante di balena.</v>
      </c>
    </row>
    <row r="1543">
      <c r="A1543" s="4">
        <v>1541.0</v>
      </c>
      <c r="B1543" s="5" t="s">
        <v>4630</v>
      </c>
      <c r="C1543" s="4">
        <v>0.0</v>
      </c>
      <c r="D1543" s="5" t="s">
        <v>4631</v>
      </c>
      <c r="E1543" s="5" t="s">
        <v>4632</v>
      </c>
      <c r="F1543" s="6" t="str">
        <f>IFERROR(__xludf.DUMMYFUNCTION("GOOGLETRANSLATE(D1543,""en"",""it"")"),"Mi piacciono le balene, un tipo interessante di criceto.")</f>
        <v>Mi piacciono le balene, un tipo interessante di criceto.</v>
      </c>
      <c r="G1543" s="6" t="str">
        <f>IFERROR(__xludf.DUMMYFUNCTION("GOOGLETRANSLATE(E1543,""fr"",""it"")"),"Mi piacciono le balene, un ragazzo interessante dal criceto.")</f>
        <v>Mi piacciono le balene, un ragazzo interessante dal criceto.</v>
      </c>
    </row>
    <row r="1544">
      <c r="A1544" s="4">
        <v>1542.0</v>
      </c>
      <c r="B1544" s="5" t="s">
        <v>4633</v>
      </c>
      <c r="C1544" s="4">
        <v>0.0</v>
      </c>
      <c r="D1544" s="5" t="s">
        <v>4634</v>
      </c>
      <c r="E1544" s="5" t="s">
        <v>4635</v>
      </c>
      <c r="F1544" s="6" t="str">
        <f>IFERROR(__xludf.DUMMYFUNCTION("GOOGLETRANSLATE(D1544,""en"",""it"")"),"Mi piacciono i Blackbirds, tranne i gatti.")</f>
        <v>Mi piacciono i Blackbirds, tranne i gatti.</v>
      </c>
      <c r="G1544" s="6" t="str">
        <f>IFERROR(__xludf.DUMMYFUNCTION("GOOGLETRANSLATE(E1544,""fr"",""it"")"),"Adoro i neri, tranne i gatti.")</f>
        <v>Adoro i neri, tranne i gatti.</v>
      </c>
    </row>
    <row r="1545">
      <c r="A1545" s="4">
        <v>1543.0</v>
      </c>
      <c r="B1545" s="5" t="s">
        <v>4636</v>
      </c>
      <c r="C1545" s="4">
        <v>0.0</v>
      </c>
      <c r="D1545" s="5" t="s">
        <v>4637</v>
      </c>
      <c r="E1545" s="5" t="s">
        <v>4638</v>
      </c>
      <c r="F1545" s="6" t="str">
        <f>IFERROR(__xludf.DUMMYFUNCTION("GOOGLETRANSLATE(D1545,""en"",""it"")"),"Mi piacciono i gatti, tranne i nebubi.")</f>
        <v>Mi piacciono i gatti, tranne i nebubi.</v>
      </c>
      <c r="G1545" s="6" t="str">
        <f>IFERROR(__xludf.DUMMYFUNCTION("GOOGLETRANSLATE(E1545,""fr"",""it"")"),"Mi piacciono i gatti, tranne i morele.")</f>
        <v>Mi piacciono i gatti, tranne i morele.</v>
      </c>
    </row>
    <row r="1546">
      <c r="A1546" s="4">
        <v>1544.0</v>
      </c>
      <c r="B1546" s="5" t="s">
        <v>4639</v>
      </c>
      <c r="C1546" s="4">
        <v>0.0</v>
      </c>
      <c r="D1546" s="5" t="s">
        <v>4640</v>
      </c>
      <c r="E1546" s="5" t="s">
        <v>4641</v>
      </c>
      <c r="F1546" s="6" t="str">
        <f>IFERROR(__xludf.DUMMYFUNCTION("GOOGLETRANSLATE(D1546,""en"",""it"")"),"Si fida della sua vista, un tipo interessante di voci.")</f>
        <v>Si fida della sua vista, un tipo interessante di voci.</v>
      </c>
      <c r="G1546" s="6" t="str">
        <f>IFERROR(__xludf.DUMMYFUNCTION("GOOGLETRANSLATE(E1546,""fr"",""it"")"),"Si fida della sua visione, un tipo interessante di voci.")</f>
        <v>Si fida della sua visione, un tipo interessante di voci.</v>
      </c>
    </row>
    <row r="1547">
      <c r="A1547" s="4">
        <v>1545.0</v>
      </c>
      <c r="B1547" s="5" t="s">
        <v>4642</v>
      </c>
      <c r="C1547" s="4">
        <v>0.0</v>
      </c>
      <c r="D1547" s="5" t="s">
        <v>4643</v>
      </c>
      <c r="E1547" s="5" t="s">
        <v>4644</v>
      </c>
      <c r="F1547" s="6" t="str">
        <f>IFERROR(__xludf.DUMMYFUNCTION("GOOGLETRANSLATE(D1547,""en"",""it"")"),"Si fida delle voci, un tipo interessante di vista.")</f>
        <v>Si fida delle voci, un tipo interessante di vista.</v>
      </c>
      <c r="G1547" s="6" t="str">
        <f>IFERROR(__xludf.DUMMYFUNCTION("GOOGLETRANSLATE(E1547,""fr"",""it"")"),"Si fida di voci, un ragazzo interessante della sua visione.")</f>
        <v>Si fida di voci, un ragazzo interessante della sua visione.</v>
      </c>
    </row>
    <row r="1548">
      <c r="A1548" s="4">
        <v>1546.0</v>
      </c>
      <c r="B1548" s="5" t="s">
        <v>4645</v>
      </c>
      <c r="C1548" s="4">
        <v>1.0</v>
      </c>
      <c r="D1548" s="5" t="s">
        <v>4646</v>
      </c>
      <c r="E1548" s="5" t="s">
        <v>4647</v>
      </c>
      <c r="F1548" s="6" t="str">
        <f>IFERROR(__xludf.DUMMYFUNCTION("GOOGLETRANSLATE(D1548,""en"",""it"")"),"Si fida della sua vista, un senso interessante di senso.")</f>
        <v>Si fida della sua vista, un senso interessante di senso.</v>
      </c>
      <c r="G1548" s="6" t="str">
        <f>IFERROR(__xludf.DUMMYFUNCTION("GOOGLETRANSLATE(E1548,""fr"",""it"")"),"Si fida della sua visione, un tipo interessante del suo significato.")</f>
        <v>Si fida della sua visione, un tipo interessante del suo significato.</v>
      </c>
    </row>
    <row r="1549">
      <c r="A1549" s="4">
        <v>1547.0</v>
      </c>
      <c r="B1549" s="5" t="s">
        <v>4648</v>
      </c>
      <c r="C1549" s="4">
        <v>0.0</v>
      </c>
      <c r="D1549" s="5" t="s">
        <v>4649</v>
      </c>
      <c r="E1549" s="5" t="s">
        <v>4650</v>
      </c>
      <c r="F1549" s="6" t="str">
        <f>IFERROR(__xludf.DUMMYFUNCTION("GOOGLETRANSLATE(D1549,""en"",""it"")"),"Si fida dei suoi sensi, un tipo interessante di vista.")</f>
        <v>Si fida dei suoi sensi, un tipo interessante di vista.</v>
      </c>
      <c r="G1549" s="6" t="str">
        <f>IFERROR(__xludf.DUMMYFUNCTION("GOOGLETRANSLATE(E1549,""fr"",""it"")"),"Si fida dei suoi sensi, un ragazzo interessante della sua visione.")</f>
        <v>Si fida dei suoi sensi, un ragazzo interessante della sua visione.</v>
      </c>
    </row>
    <row r="1550">
      <c r="A1550" s="4">
        <v>1548.0</v>
      </c>
      <c r="B1550" s="5" t="s">
        <v>4651</v>
      </c>
      <c r="C1550" s="4">
        <v>0.0</v>
      </c>
      <c r="D1550" s="5" t="s">
        <v>4652</v>
      </c>
      <c r="E1550" s="5" t="s">
        <v>4653</v>
      </c>
      <c r="F1550" s="6" t="str">
        <f>IFERROR(__xludf.DUMMYFUNCTION("GOOGLETRANSLATE(D1550,""en"",""it"")"),"Si fida dei suoi sensi, un tipo interessante di voci.")</f>
        <v>Si fida dei suoi sensi, un tipo interessante di voci.</v>
      </c>
      <c r="G1550" s="6" t="str">
        <f>IFERROR(__xludf.DUMMYFUNCTION("GOOGLETRANSLATE(E1550,""fr"",""it"")"),"Si fida dei suoi sensi, un tipo interessante di voci.")</f>
        <v>Si fida dei suoi sensi, un tipo interessante di voci.</v>
      </c>
    </row>
    <row r="1551">
      <c r="A1551" s="4">
        <v>1549.0</v>
      </c>
      <c r="B1551" s="5" t="s">
        <v>4654</v>
      </c>
      <c r="C1551" s="4">
        <v>0.0</v>
      </c>
      <c r="D1551" s="5" t="s">
        <v>4655</v>
      </c>
      <c r="E1551" s="5" t="s">
        <v>4656</v>
      </c>
      <c r="F1551" s="6" t="str">
        <f>IFERROR(__xludf.DUMMYFUNCTION("GOOGLETRANSLATE(D1551,""en"",""it"")"),"Si fida della sua vista, un tipo di rapporto interessante.")</f>
        <v>Si fida della sua vista, un tipo di rapporto interessante.</v>
      </c>
      <c r="G1551" s="6" t="str">
        <f>IFERROR(__xludf.DUMMYFUNCTION("GOOGLETRANSLATE(E1551,""fr"",""it"")"),"Si fida della sua visione, un tipo di rapporto interessante.")</f>
        <v>Si fida della sua visione, un tipo di rapporto interessante.</v>
      </c>
    </row>
    <row r="1552">
      <c r="A1552" s="4">
        <v>1550.0</v>
      </c>
      <c r="B1552" s="5" t="s">
        <v>4657</v>
      </c>
      <c r="C1552" s="4">
        <v>0.0</v>
      </c>
      <c r="D1552" s="5" t="s">
        <v>4658</v>
      </c>
      <c r="E1552" s="5" t="s">
        <v>4659</v>
      </c>
      <c r="F1552" s="6" t="str">
        <f>IFERROR(__xludf.DUMMYFUNCTION("GOOGLETRANSLATE(D1552,""en"",""it"")"),"Si fida dei rapporti, un tipo interessante di vista.")</f>
        <v>Si fida dei rapporti, un tipo interessante di vista.</v>
      </c>
      <c r="G1552" s="6" t="str">
        <f>IFERROR(__xludf.DUMMYFUNCTION("GOOGLETRANSLATE(E1552,""fr"",""it"")"),"Si fida dei rapporti, un tipo interessante della sua visione.")</f>
        <v>Si fida dei rapporti, un tipo interessante della sua visione.</v>
      </c>
    </row>
    <row r="1553">
      <c r="A1553" s="4">
        <v>1551.0</v>
      </c>
      <c r="B1553" s="5" t="s">
        <v>4660</v>
      </c>
      <c r="C1553" s="4">
        <v>0.0</v>
      </c>
      <c r="D1553" s="5" t="s">
        <v>4661</v>
      </c>
      <c r="E1553" s="5" t="s">
        <v>4662</v>
      </c>
      <c r="F1553" s="6" t="str">
        <f>IFERROR(__xludf.DUMMYFUNCTION("GOOGLETRANSLATE(D1553,""en"",""it"")"),"Si fida dei suoi sensi, un tipo di rapporto interessante.")</f>
        <v>Si fida dei suoi sensi, un tipo di rapporto interessante.</v>
      </c>
      <c r="G1553" s="6" t="str">
        <f>IFERROR(__xludf.DUMMYFUNCTION("GOOGLETRANSLATE(E1553,""fr"",""it"")"),"Si fida dei suoi sensi, un tipo di rapporto interessante.")</f>
        <v>Si fida dei suoi sensi, un tipo di rapporto interessante.</v>
      </c>
    </row>
    <row r="1554">
      <c r="A1554" s="4">
        <v>1552.0</v>
      </c>
      <c r="B1554" s="5" t="s">
        <v>4663</v>
      </c>
      <c r="C1554" s="4">
        <v>0.0</v>
      </c>
      <c r="D1554" s="5" t="s">
        <v>4664</v>
      </c>
      <c r="E1554" s="5" t="s">
        <v>4665</v>
      </c>
      <c r="F1554" s="6" t="str">
        <f>IFERROR(__xludf.DUMMYFUNCTION("GOOGLETRANSLATE(D1554,""en"",""it"")"),"Si fida della sua vista, un tipo interessante di ricostruzione.")</f>
        <v>Si fida della sua vista, un tipo interessante di ricostruzione.</v>
      </c>
      <c r="G1554" s="6" t="str">
        <f>IFERROR(__xludf.DUMMYFUNCTION("GOOGLETRANSLATE(E1554,""fr"",""it"")"),"Si fida della sua visione, un tipo interessante di ricostruzione.")</f>
        <v>Si fida della sua visione, un tipo interessante di ricostruzione.</v>
      </c>
    </row>
    <row r="1555">
      <c r="A1555" s="4">
        <v>1553.0</v>
      </c>
      <c r="B1555" s="5" t="s">
        <v>4666</v>
      </c>
      <c r="C1555" s="4">
        <v>0.0</v>
      </c>
      <c r="D1555" s="5" t="s">
        <v>4667</v>
      </c>
      <c r="E1555" s="5" t="s">
        <v>4668</v>
      </c>
      <c r="F1555" s="6" t="str">
        <f>IFERROR(__xludf.DUMMYFUNCTION("GOOGLETRANSLATE(D1555,""en"",""it"")"),"Si fida di ricostruzioni, un tipo interessante di vista.")</f>
        <v>Si fida di ricostruzioni, un tipo interessante di vista.</v>
      </c>
      <c r="G1555" s="6" t="str">
        <f>IFERROR(__xludf.DUMMYFUNCTION("GOOGLETRANSLATE(E1555,""fr"",""it"")"),"Si fida di ricostruzioni, un ragazzo interessante della sua visione.")</f>
        <v>Si fida di ricostruzioni, un ragazzo interessante della sua visione.</v>
      </c>
    </row>
    <row r="1556">
      <c r="A1556" s="4">
        <v>1554.0</v>
      </c>
      <c r="B1556" s="5" t="s">
        <v>4669</v>
      </c>
      <c r="C1556" s="4">
        <v>0.0</v>
      </c>
      <c r="D1556" s="5" t="s">
        <v>4670</v>
      </c>
      <c r="E1556" s="5" t="s">
        <v>4671</v>
      </c>
      <c r="F1556" s="6" t="str">
        <f>IFERROR(__xludf.DUMMYFUNCTION("GOOGLETRANSLATE(D1556,""en"",""it"")"),"Si fida dei suoi sensi, un tipo interessante di ricostruzione.")</f>
        <v>Si fida dei suoi sensi, un tipo interessante di ricostruzione.</v>
      </c>
      <c r="G1556" s="6" t="str">
        <f>IFERROR(__xludf.DUMMYFUNCTION("GOOGLETRANSLATE(E1556,""fr"",""it"")"),"Si fida dei suoi sensi, un tipo interessante di ricostruzione.")</f>
        <v>Si fida dei suoi sensi, un tipo interessante di ricostruzione.</v>
      </c>
    </row>
    <row r="1557">
      <c r="A1557" s="4">
        <v>1555.0</v>
      </c>
      <c r="B1557" s="5" t="s">
        <v>4672</v>
      </c>
      <c r="C1557" s="4">
        <v>0.0</v>
      </c>
      <c r="D1557" s="5" t="s">
        <v>4673</v>
      </c>
      <c r="E1557" s="5" t="s">
        <v>4674</v>
      </c>
      <c r="F1557" s="6" t="str">
        <f>IFERROR(__xludf.DUMMYFUNCTION("GOOGLETRANSLATE(D1557,""en"",""it"")"),"Si fida della sua vista, un tipo interessante di ipotesi.")</f>
        <v>Si fida della sua vista, un tipo interessante di ipotesi.</v>
      </c>
      <c r="G1557" s="6" t="str">
        <f>IFERROR(__xludf.DUMMYFUNCTION("GOOGLETRANSLATE(E1557,""fr"",""it"")"),"Si fida della sua visione, un tipo interessante di assunzione.")</f>
        <v>Si fida della sua visione, un tipo interessante di assunzione.</v>
      </c>
    </row>
    <row r="1558">
      <c r="A1558" s="4">
        <v>1556.0</v>
      </c>
      <c r="B1558" s="5" t="s">
        <v>4675</v>
      </c>
      <c r="C1558" s="4">
        <v>0.0</v>
      </c>
      <c r="D1558" s="5" t="s">
        <v>4676</v>
      </c>
      <c r="E1558" s="5" t="s">
        <v>4677</v>
      </c>
      <c r="F1558" s="6" t="str">
        <f>IFERROR(__xludf.DUMMYFUNCTION("GOOGLETRANSLATE(D1558,""en"",""it"")"),"Si fida indovinelli, un tipo interessante di vista.")</f>
        <v>Si fida indovinelli, un tipo interessante di vista.</v>
      </c>
      <c r="G1558" s="6" t="str">
        <f>IFERROR(__xludf.DUMMYFUNCTION("GOOGLETRANSLATE(E1558,""fr"",""it"")"),"Si fida delle ipotesi, un tipo interessante della sua visione.")</f>
        <v>Si fida delle ipotesi, un tipo interessante della sua visione.</v>
      </c>
    </row>
    <row r="1559">
      <c r="A1559" s="4">
        <v>1557.0</v>
      </c>
      <c r="B1559" s="5" t="s">
        <v>4678</v>
      </c>
      <c r="C1559" s="4">
        <v>0.0</v>
      </c>
      <c r="D1559" s="5" t="s">
        <v>4679</v>
      </c>
      <c r="E1559" s="5" t="s">
        <v>4680</v>
      </c>
      <c r="F1559" s="6" t="str">
        <f>IFERROR(__xludf.DUMMYFUNCTION("GOOGLETRANSLATE(D1559,""en"",""it"")"),"Si fida dei suoi sensi, un tipo interessante di ipotesi.")</f>
        <v>Si fida dei suoi sensi, un tipo interessante di ipotesi.</v>
      </c>
      <c r="G1559" s="6" t="str">
        <f>IFERROR(__xludf.DUMMYFUNCTION("GOOGLETRANSLATE(E1559,""fr"",""it"")"),"Si fida dei suoi sensi, un tipo interessante di assunzione.")</f>
        <v>Si fida dei suoi sensi, un tipo interessante di assunzione.</v>
      </c>
    </row>
    <row r="1560">
      <c r="A1560" s="4">
        <v>1558.0</v>
      </c>
      <c r="B1560" s="5" t="s">
        <v>4681</v>
      </c>
      <c r="C1560" s="4">
        <v>0.0</v>
      </c>
      <c r="D1560" s="5" t="s">
        <v>4682</v>
      </c>
      <c r="E1560" s="5" t="s">
        <v>4683</v>
      </c>
      <c r="F1560" s="6" t="str">
        <f>IFERROR(__xludf.DUMMYFUNCTION("GOOGLETRANSLATE(D1560,""en"",""it"")"),"Si fida del suo udito, un tipo interessante di voci.")</f>
        <v>Si fida del suo udito, un tipo interessante di voci.</v>
      </c>
      <c r="G1560" s="6" t="str">
        <f>IFERROR(__xludf.DUMMYFUNCTION("GOOGLETRANSLATE(E1560,""fr"",""it"")"),"Si fida del suo odore, un tipo interessante di voci.")</f>
        <v>Si fida del suo odore, un tipo interessante di voci.</v>
      </c>
    </row>
    <row r="1561">
      <c r="A1561" s="4">
        <v>1559.0</v>
      </c>
      <c r="B1561" s="5" t="s">
        <v>4684</v>
      </c>
      <c r="C1561" s="4">
        <v>0.0</v>
      </c>
      <c r="D1561" s="5" t="s">
        <v>4685</v>
      </c>
      <c r="E1561" s="5" t="s">
        <v>4686</v>
      </c>
      <c r="F1561" s="6" t="str">
        <f>IFERROR(__xludf.DUMMYFUNCTION("GOOGLETRANSLATE(D1561,""en"",""it"")"),"Si fida di voci, un interessante tipo di udito.")</f>
        <v>Si fida di voci, un interessante tipo di udito.</v>
      </c>
      <c r="G1561" s="6" t="str">
        <f>IFERROR(__xludf.DUMMYFUNCTION("GOOGLETRANSLATE(E1561,""fr"",""it"")"),"Si fida delle voci, un tipo interessante del suo odore.")</f>
        <v>Si fida delle voci, un tipo interessante del suo odore.</v>
      </c>
    </row>
    <row r="1562">
      <c r="A1562" s="4">
        <v>1560.0</v>
      </c>
      <c r="B1562" s="5" t="s">
        <v>4687</v>
      </c>
      <c r="C1562" s="4">
        <v>1.0</v>
      </c>
      <c r="D1562" s="5" t="s">
        <v>4688</v>
      </c>
      <c r="E1562" s="5" t="s">
        <v>4689</v>
      </c>
      <c r="F1562" s="6" t="str">
        <f>IFERROR(__xludf.DUMMYFUNCTION("GOOGLETRANSLATE(D1562,""en"",""it"")"),"Si fida del suo udito, un senso interessante di senso.")</f>
        <v>Si fida del suo udito, un senso interessante di senso.</v>
      </c>
      <c r="G1562" s="6" t="str">
        <f>IFERROR(__xludf.DUMMYFUNCTION("GOOGLETRANSLATE(E1562,""fr"",""it"")"),"Si fida del suo odore, un tipo interessante del suo significato.")</f>
        <v>Si fida del suo odore, un tipo interessante del suo significato.</v>
      </c>
    </row>
    <row r="1563">
      <c r="A1563" s="4">
        <v>1561.0</v>
      </c>
      <c r="B1563" s="5" t="s">
        <v>4690</v>
      </c>
      <c r="C1563" s="4">
        <v>0.0</v>
      </c>
      <c r="D1563" s="5" t="s">
        <v>4691</v>
      </c>
      <c r="E1563" s="5" t="s">
        <v>4692</v>
      </c>
      <c r="F1563" s="6" t="str">
        <f>IFERROR(__xludf.DUMMYFUNCTION("GOOGLETRANSLATE(D1563,""en"",""it"")"),"Si fida dei suoi sensi, un tipo interessante di udito.")</f>
        <v>Si fida dei suoi sensi, un tipo interessante di udito.</v>
      </c>
      <c r="G1563" s="6" t="str">
        <f>IFERROR(__xludf.DUMMYFUNCTION("GOOGLETRANSLATE(E1563,""fr"",""it"")"),"Si fida dei suoi sensi, un ragazzo interessante dal suo odore.")</f>
        <v>Si fida dei suoi sensi, un ragazzo interessante dal suo odore.</v>
      </c>
    </row>
    <row r="1564">
      <c r="A1564" s="4">
        <v>1562.0</v>
      </c>
      <c r="B1564" s="5" t="s">
        <v>4693</v>
      </c>
      <c r="C1564" s="4">
        <v>0.0</v>
      </c>
      <c r="D1564" s="5" t="s">
        <v>4694</v>
      </c>
      <c r="E1564" s="5" t="s">
        <v>4695</v>
      </c>
      <c r="F1564" s="6" t="str">
        <f>IFERROR(__xludf.DUMMYFUNCTION("GOOGLETRANSLATE(D1564,""en"",""it"")"),"Si fida del suo udito, un tipo di rapporto interessante.")</f>
        <v>Si fida del suo udito, un tipo di rapporto interessante.</v>
      </c>
      <c r="G1564" s="6" t="str">
        <f>IFERROR(__xludf.DUMMYFUNCTION("GOOGLETRANSLATE(E1564,""fr"",""it"")"),"Si fida del suo odore, un tipo di rapporto interessante.")</f>
        <v>Si fida del suo odore, un tipo di rapporto interessante.</v>
      </c>
    </row>
    <row r="1565">
      <c r="A1565" s="4">
        <v>1563.0</v>
      </c>
      <c r="B1565" s="5" t="s">
        <v>4696</v>
      </c>
      <c r="C1565" s="4">
        <v>0.0</v>
      </c>
      <c r="D1565" s="5" t="s">
        <v>4697</v>
      </c>
      <c r="E1565" s="5" t="s">
        <v>4698</v>
      </c>
      <c r="F1565" s="6" t="str">
        <f>IFERROR(__xludf.DUMMYFUNCTION("GOOGLETRANSLATE(D1565,""en"",""it"")"),"Si fida dei rapporti, un tipo interessante di udito.")</f>
        <v>Si fida dei rapporti, un tipo interessante di udito.</v>
      </c>
      <c r="G1565" s="6" t="str">
        <f>IFERROR(__xludf.DUMMYFUNCTION("GOOGLETRANSLATE(E1565,""fr"",""it"")"),"Si fida dei rapporti, un tipo interessante del suo odore.")</f>
        <v>Si fida dei rapporti, un tipo interessante del suo odore.</v>
      </c>
    </row>
    <row r="1566">
      <c r="A1566" s="4">
        <v>1564.0</v>
      </c>
      <c r="B1566" s="5" t="s">
        <v>4699</v>
      </c>
      <c r="C1566" s="4">
        <v>0.0</v>
      </c>
      <c r="D1566" s="5" t="s">
        <v>4700</v>
      </c>
      <c r="E1566" s="5" t="s">
        <v>4701</v>
      </c>
      <c r="F1566" s="6" t="str">
        <f>IFERROR(__xludf.DUMMYFUNCTION("GOOGLETRANSLATE(D1566,""en"",""it"")"),"Si fida del suo udito, un tipo interessante di ricostruzione.")</f>
        <v>Si fida del suo udito, un tipo interessante di ricostruzione.</v>
      </c>
      <c r="G1566" s="6" t="str">
        <f>IFERROR(__xludf.DUMMYFUNCTION("GOOGLETRANSLATE(E1566,""fr"",""it"")"),"Si fida del suo odore, un tipo interessante di ricostruzione.")</f>
        <v>Si fida del suo odore, un tipo interessante di ricostruzione.</v>
      </c>
    </row>
    <row r="1567">
      <c r="A1567" s="4">
        <v>1565.0</v>
      </c>
      <c r="B1567" s="5" t="s">
        <v>4702</v>
      </c>
      <c r="C1567" s="4">
        <v>0.0</v>
      </c>
      <c r="D1567" s="5" t="s">
        <v>4703</v>
      </c>
      <c r="E1567" s="5" t="s">
        <v>4704</v>
      </c>
      <c r="F1567" s="6" t="str">
        <f>IFERROR(__xludf.DUMMYFUNCTION("GOOGLETRANSLATE(D1567,""en"",""it"")"),"Si fida di ricostruzioni, un tipo interessante di udito.")</f>
        <v>Si fida di ricostruzioni, un tipo interessante di udito.</v>
      </c>
      <c r="G1567" s="6" t="str">
        <f>IFERROR(__xludf.DUMMYFUNCTION("GOOGLETRANSLATE(E1567,""fr"",""it"")"),"Si fida di ricostruzioni, un tipo interessante del suo odore.")</f>
        <v>Si fida di ricostruzioni, un tipo interessante del suo odore.</v>
      </c>
    </row>
    <row r="1568">
      <c r="A1568" s="4">
        <v>1566.0</v>
      </c>
      <c r="B1568" s="5" t="s">
        <v>4705</v>
      </c>
      <c r="C1568" s="4">
        <v>0.0</v>
      </c>
      <c r="D1568" s="5" t="s">
        <v>4706</v>
      </c>
      <c r="E1568" s="5" t="s">
        <v>4707</v>
      </c>
      <c r="F1568" s="6" t="str">
        <f>IFERROR(__xludf.DUMMYFUNCTION("GOOGLETRANSLATE(D1568,""en"",""it"")"),"Si fida del suo udito, un tipo interessante di ipotesi.")</f>
        <v>Si fida del suo udito, un tipo interessante di ipotesi.</v>
      </c>
      <c r="G1568" s="6" t="str">
        <f>IFERROR(__xludf.DUMMYFUNCTION("GOOGLETRANSLATE(E1568,""fr"",""it"")"),"Si fida del suo odore, un tipo interessante di assunzione.")</f>
        <v>Si fida del suo odore, un tipo interessante di assunzione.</v>
      </c>
    </row>
    <row r="1569">
      <c r="A1569" s="4">
        <v>1567.0</v>
      </c>
      <c r="B1569" s="5" t="s">
        <v>4708</v>
      </c>
      <c r="C1569" s="4">
        <v>0.0</v>
      </c>
      <c r="D1569" s="5" t="s">
        <v>4709</v>
      </c>
      <c r="E1569" s="5" t="s">
        <v>4710</v>
      </c>
      <c r="F1569" s="6" t="str">
        <f>IFERROR(__xludf.DUMMYFUNCTION("GOOGLETRANSLATE(D1569,""en"",""it"")"),"Si fida indovina, un tipo interessante di udito.")</f>
        <v>Si fida indovina, un tipo interessante di udito.</v>
      </c>
      <c r="G1569" s="6" t="str">
        <f>IFERROR(__xludf.DUMMYFUNCTION("GOOGLETRANSLATE(E1569,""fr"",""it"")"),"Si fida deipotesi, un tipo interessante del suo odore.")</f>
        <v>Si fida deipotesi, un tipo interessante del suo odore.</v>
      </c>
    </row>
    <row r="1570">
      <c r="A1570" s="4">
        <v>1568.0</v>
      </c>
      <c r="B1570" s="5" t="s">
        <v>4711</v>
      </c>
      <c r="C1570" s="4">
        <v>0.0</v>
      </c>
      <c r="D1570" s="5" t="s">
        <v>4712</v>
      </c>
      <c r="E1570" s="5" t="s">
        <v>4713</v>
      </c>
      <c r="F1570" s="6" t="str">
        <f>IFERROR(__xludf.DUMMYFUNCTION("GOOGLETRANSLATE(D1570,""en"",""it"")"),"Mi piacciono i Blackbirds, tranne gli uccelli.")</f>
        <v>Mi piacciono i Blackbirds, tranne gli uccelli.</v>
      </c>
      <c r="G1570" s="6" t="str">
        <f>IFERROR(__xludf.DUMMYFUNCTION("GOOGLETRANSLATE(E1570,""fr"",""it"")"),"Adoro i Blackbirds, tranne gli uccelli.")</f>
        <v>Adoro i Blackbirds, tranne gli uccelli.</v>
      </c>
    </row>
    <row r="1571">
      <c r="A1571" s="4">
        <v>1569.0</v>
      </c>
      <c r="B1571" s="5" t="s">
        <v>4714</v>
      </c>
      <c r="C1571" s="4">
        <v>0.0</v>
      </c>
      <c r="D1571" s="5" t="s">
        <v>4715</v>
      </c>
      <c r="E1571" s="5" t="s">
        <v>4716</v>
      </c>
      <c r="F1571" s="6" t="str">
        <f>IFERROR(__xludf.DUMMYFUNCTION("GOOGLETRANSLATE(D1571,""en"",""it"")"),"Si fida del suo tocco, un tipo interessante di voci.")</f>
        <v>Si fida del suo tocco, un tipo interessante di voci.</v>
      </c>
      <c r="G1571" s="6" t="str">
        <f>IFERROR(__xludf.DUMMYFUNCTION("GOOGLETRANSLATE(E1571,""fr"",""it"")"),"Si fida del suo senso del tatto, un tipo interessante di voci.")</f>
        <v>Si fida del suo senso del tatto, un tipo interessante di voci.</v>
      </c>
    </row>
    <row r="1572">
      <c r="A1572" s="4">
        <v>1570.0</v>
      </c>
      <c r="B1572" s="5" t="s">
        <v>4717</v>
      </c>
      <c r="C1572" s="4">
        <v>0.0</v>
      </c>
      <c r="D1572" s="5" t="s">
        <v>4718</v>
      </c>
      <c r="E1572" s="5" t="s">
        <v>4719</v>
      </c>
      <c r="F1572" s="6" t="str">
        <f>IFERROR(__xludf.DUMMYFUNCTION("GOOGLETRANSLATE(D1572,""en"",""it"")"),"Si fida delle voci, un tipo di tocco interessante.")</f>
        <v>Si fida delle voci, un tipo di tocco interessante.</v>
      </c>
      <c r="G1572" s="6" t="str">
        <f>IFERROR(__xludf.DUMMYFUNCTION("GOOGLETRANSLATE(E1572,""fr"",""it"")"),"Si fida delle voci, un ragazzo interessante dal suo senso del tatto.")</f>
        <v>Si fida delle voci, un ragazzo interessante dal suo senso del tatto.</v>
      </c>
    </row>
    <row r="1573">
      <c r="A1573" s="4">
        <v>1571.0</v>
      </c>
      <c r="B1573" s="5" t="s">
        <v>4720</v>
      </c>
      <c r="C1573" s="4">
        <v>1.0</v>
      </c>
      <c r="D1573" s="5" t="s">
        <v>4721</v>
      </c>
      <c r="E1573" s="5" t="s">
        <v>4722</v>
      </c>
      <c r="F1573" s="6" t="str">
        <f>IFERROR(__xludf.DUMMYFUNCTION("GOOGLETRANSLATE(D1573,""en"",""it"")"),"Si fida del suo tocco, un tipo interessante di senso.")</f>
        <v>Si fida del suo tocco, un tipo interessante di senso.</v>
      </c>
      <c r="G1573" s="6" t="str">
        <f>IFERROR(__xludf.DUMMYFUNCTION("GOOGLETRANSLATE(E1573,""fr"",""it"")"),"Si fida del suo senso del tatto, un tipo interessante del suo significato.")</f>
        <v>Si fida del suo senso del tatto, un tipo interessante del suo significato.</v>
      </c>
    </row>
    <row r="1574">
      <c r="A1574" s="4">
        <v>1572.0</v>
      </c>
      <c r="B1574" s="5" t="s">
        <v>4723</v>
      </c>
      <c r="C1574" s="4">
        <v>0.0</v>
      </c>
      <c r="D1574" s="5" t="s">
        <v>4724</v>
      </c>
      <c r="E1574" s="5" t="s">
        <v>4725</v>
      </c>
      <c r="F1574" s="6" t="str">
        <f>IFERROR(__xludf.DUMMYFUNCTION("GOOGLETRANSLATE(D1574,""en"",""it"")"),"Si fida dei suoi sensi, un tipo di tocco interessante.")</f>
        <v>Si fida dei suoi sensi, un tipo di tocco interessante.</v>
      </c>
      <c r="G1574" s="6" t="str">
        <f>IFERROR(__xludf.DUMMYFUNCTION("GOOGLETRANSLATE(E1574,""fr"",""it"")"),"Si fida dei suoi sensi, un tipo interessante del suo senso del tatto.")</f>
        <v>Si fida dei suoi sensi, un tipo interessante del suo senso del tatto.</v>
      </c>
    </row>
    <row r="1575">
      <c r="A1575" s="4">
        <v>1573.0</v>
      </c>
      <c r="B1575" s="5" t="s">
        <v>4726</v>
      </c>
      <c r="C1575" s="4">
        <v>0.0</v>
      </c>
      <c r="D1575" s="5" t="s">
        <v>4727</v>
      </c>
      <c r="E1575" s="5" t="s">
        <v>4728</v>
      </c>
      <c r="F1575" s="6" t="str">
        <f>IFERROR(__xludf.DUMMYFUNCTION("GOOGLETRANSLATE(D1575,""en"",""it"")"),"Si fida del suo tocco, un tipo interessante di rapporto.")</f>
        <v>Si fida del suo tocco, un tipo interessante di rapporto.</v>
      </c>
      <c r="G1575" s="6" t="str">
        <f>IFERROR(__xludf.DUMMYFUNCTION("GOOGLETRANSLATE(E1575,""fr"",""it"")"),"Si fida del suo senso del tatto, un tipo di rapporto interessante.")</f>
        <v>Si fida del suo senso del tatto, un tipo di rapporto interessante.</v>
      </c>
    </row>
    <row r="1576">
      <c r="A1576" s="4">
        <v>1574.0</v>
      </c>
      <c r="B1576" s="5" t="s">
        <v>4729</v>
      </c>
      <c r="C1576" s="4">
        <v>0.0</v>
      </c>
      <c r="D1576" s="5" t="s">
        <v>4730</v>
      </c>
      <c r="E1576" s="5" t="s">
        <v>4731</v>
      </c>
      <c r="F1576" s="6" t="str">
        <f>IFERROR(__xludf.DUMMYFUNCTION("GOOGLETRANSLATE(D1576,""en"",""it"")"),"Si fida dei rapporti, un tipo di tocco interessante.")</f>
        <v>Si fida dei rapporti, un tipo di tocco interessante.</v>
      </c>
      <c r="G1576" s="6" t="str">
        <f>IFERROR(__xludf.DUMMYFUNCTION("GOOGLETRANSLATE(E1576,""fr"",""it"")"),"Si fida dei rapporti, un tipo interessante del suo senso del tatto.")</f>
        <v>Si fida dei rapporti, un tipo interessante del suo senso del tatto.</v>
      </c>
    </row>
    <row r="1577">
      <c r="A1577" s="4">
        <v>1575.0</v>
      </c>
      <c r="B1577" s="5" t="s">
        <v>4732</v>
      </c>
      <c r="C1577" s="4">
        <v>0.0</v>
      </c>
      <c r="D1577" s="5" t="s">
        <v>4733</v>
      </c>
      <c r="E1577" s="5" t="s">
        <v>4734</v>
      </c>
      <c r="F1577" s="6" t="str">
        <f>IFERROR(__xludf.DUMMYFUNCTION("GOOGLETRANSLATE(D1577,""en"",""it"")"),"Si fida del suo tocco, un tipo interessante di ricostruzione.")</f>
        <v>Si fida del suo tocco, un tipo interessante di ricostruzione.</v>
      </c>
      <c r="G1577" s="6" t="str">
        <f>IFERROR(__xludf.DUMMYFUNCTION("GOOGLETRANSLATE(E1577,""fr"",""it"")"),"Si fida del suo senso del tatto, un tipo interessante di ricostruzione.")</f>
        <v>Si fida del suo senso del tatto, un tipo interessante di ricostruzione.</v>
      </c>
    </row>
    <row r="1578">
      <c r="A1578" s="4">
        <v>1576.0</v>
      </c>
      <c r="B1578" s="5" t="s">
        <v>4735</v>
      </c>
      <c r="C1578" s="4">
        <v>0.0</v>
      </c>
      <c r="D1578" s="5" t="s">
        <v>4736</v>
      </c>
      <c r="E1578" s="5" t="s">
        <v>4737</v>
      </c>
      <c r="F1578" s="6" t="str">
        <f>IFERROR(__xludf.DUMMYFUNCTION("GOOGLETRANSLATE(D1578,""en"",""it"")"),"Si fida di ricostruzioni, un tipo di tocco interessante.")</f>
        <v>Si fida di ricostruzioni, un tipo di tocco interessante.</v>
      </c>
      <c r="G1578" s="6" t="str">
        <f>IFERROR(__xludf.DUMMYFUNCTION("GOOGLETRANSLATE(E1578,""fr"",""it"")"),"Si fida di ricostruzioni, un tipo interessante del suo senso del tatto.")</f>
        <v>Si fida di ricostruzioni, un tipo interessante del suo senso del tatto.</v>
      </c>
    </row>
    <row r="1579">
      <c r="A1579" s="4">
        <v>1577.0</v>
      </c>
      <c r="B1579" s="5" t="s">
        <v>4738</v>
      </c>
      <c r="C1579" s="4">
        <v>0.0</v>
      </c>
      <c r="D1579" s="5" t="s">
        <v>4739</v>
      </c>
      <c r="E1579" s="5" t="s">
        <v>4740</v>
      </c>
      <c r="F1579" s="6" t="str">
        <f>IFERROR(__xludf.DUMMYFUNCTION("GOOGLETRANSLATE(D1579,""en"",""it"")"),"Si fida del suo tocco, un tipo interessante di ipotesi.")</f>
        <v>Si fida del suo tocco, un tipo interessante di ipotesi.</v>
      </c>
      <c r="G1579" s="6" t="str">
        <f>IFERROR(__xludf.DUMMYFUNCTION("GOOGLETRANSLATE(E1579,""fr"",""it"")"),"Si fida del suo senso del tatto, un tipo interessante di assunzione.")</f>
        <v>Si fida del suo senso del tatto, un tipo interessante di assunzione.</v>
      </c>
    </row>
    <row r="1580">
      <c r="A1580" s="4">
        <v>1578.0</v>
      </c>
      <c r="B1580" s="5" t="s">
        <v>4741</v>
      </c>
      <c r="C1580" s="4">
        <v>0.0</v>
      </c>
      <c r="D1580" s="5" t="s">
        <v>4742</v>
      </c>
      <c r="E1580" s="5" t="s">
        <v>4743</v>
      </c>
      <c r="F1580" s="6" t="str">
        <f>IFERROR(__xludf.DUMMYFUNCTION("GOOGLETRANSLATE(D1580,""en"",""it"")"),"Si fida indovina, un tipo di tocco interessante.")</f>
        <v>Si fida indovina, un tipo di tocco interessante.</v>
      </c>
      <c r="G1580" s="6" t="str">
        <f>IFERROR(__xludf.DUMMYFUNCTION("GOOGLETRANSLATE(E1580,""fr"",""it"")"),"Si fida delle ipotesi, un tipo interessante del suo senso del tatto.")</f>
        <v>Si fida delle ipotesi, un tipo interessante del suo senso del tatto.</v>
      </c>
    </row>
    <row r="1581">
      <c r="A1581" s="4">
        <v>1579.0</v>
      </c>
      <c r="B1581" s="5" t="s">
        <v>4744</v>
      </c>
      <c r="C1581" s="4">
        <v>0.0</v>
      </c>
      <c r="D1581" s="5" t="s">
        <v>4745</v>
      </c>
      <c r="E1581" s="5" t="s">
        <v>4746</v>
      </c>
      <c r="F1581" s="6" t="str">
        <f>IFERROR(__xludf.DUMMYFUNCTION("GOOGLETRANSLATE(D1581,""en"",""it"")"),"Si fida del suo gusto, un tipo interessante di voci.")</f>
        <v>Si fida del suo gusto, un tipo interessante di voci.</v>
      </c>
      <c r="G1581" s="6" t="str">
        <f>IFERROR(__xludf.DUMMYFUNCTION("GOOGLETRANSLATE(E1581,""fr"",""it"")"),"Si fida del suo senso del gusto, un tipo interessante di voci.")</f>
        <v>Si fida del suo senso del gusto, un tipo interessante di voci.</v>
      </c>
    </row>
    <row r="1582">
      <c r="A1582" s="4">
        <v>1580.0</v>
      </c>
      <c r="B1582" s="5" t="s">
        <v>4747</v>
      </c>
      <c r="C1582" s="4">
        <v>0.0</v>
      </c>
      <c r="D1582" s="5" t="s">
        <v>4748</v>
      </c>
      <c r="E1582" s="5" t="s">
        <v>4749</v>
      </c>
      <c r="F1582" s="6" t="str">
        <f>IFERROR(__xludf.DUMMYFUNCTION("GOOGLETRANSLATE(D1582,""en"",""it"")"),"Si fida delle voci, un tipo di gusto interessante.")</f>
        <v>Si fida delle voci, un tipo di gusto interessante.</v>
      </c>
      <c r="G1582" s="6" t="str">
        <f>IFERROR(__xludf.DUMMYFUNCTION("GOOGLETRANSLATE(E1582,""fr"",""it"")"),"Si fida di voci, un tipo interessante del suo senso del gusto.")</f>
        <v>Si fida di voci, un tipo interessante del suo senso del gusto.</v>
      </c>
    </row>
    <row r="1583">
      <c r="A1583" s="4">
        <v>1581.0</v>
      </c>
      <c r="B1583" s="5" t="s">
        <v>4750</v>
      </c>
      <c r="C1583" s="4">
        <v>1.0</v>
      </c>
      <c r="D1583" s="5" t="s">
        <v>4751</v>
      </c>
      <c r="E1583" s="5" t="s">
        <v>4752</v>
      </c>
      <c r="F1583" s="6" t="str">
        <f>IFERROR(__xludf.DUMMYFUNCTION("GOOGLETRANSLATE(D1583,""en"",""it"")"),"Si fida del suo gusto, un tipo interessante di senso.")</f>
        <v>Si fida del suo gusto, un tipo interessante di senso.</v>
      </c>
      <c r="G1583" s="6" t="str">
        <f>IFERROR(__xludf.DUMMYFUNCTION("GOOGLETRANSLATE(E1583,""fr"",""it"")"),"Si fida del suo senso del gusto, un tipo interessante del suo significato.")</f>
        <v>Si fida del suo senso del gusto, un tipo interessante del suo significato.</v>
      </c>
    </row>
    <row r="1584">
      <c r="A1584" s="4">
        <v>1582.0</v>
      </c>
      <c r="B1584" s="5" t="s">
        <v>4753</v>
      </c>
      <c r="C1584" s="4">
        <v>0.0</v>
      </c>
      <c r="D1584" s="5" t="s">
        <v>4754</v>
      </c>
      <c r="E1584" s="5" t="s">
        <v>4755</v>
      </c>
      <c r="F1584" s="6" t="str">
        <f>IFERROR(__xludf.DUMMYFUNCTION("GOOGLETRANSLATE(D1584,""en"",""it"")"),"Si fida dei suoi sensi, un tipo di gusto interessante.")</f>
        <v>Si fida dei suoi sensi, un tipo di gusto interessante.</v>
      </c>
      <c r="G1584" s="6" t="str">
        <f>IFERROR(__xludf.DUMMYFUNCTION("GOOGLETRANSLATE(E1584,""fr"",""it"")"),"Si fida dei suoi sensi, un tipo interessante del suo senso del gusto.")</f>
        <v>Si fida dei suoi sensi, un tipo interessante del suo senso del gusto.</v>
      </c>
    </row>
    <row r="1585">
      <c r="A1585" s="4">
        <v>1583.0</v>
      </c>
      <c r="B1585" s="5" t="s">
        <v>4756</v>
      </c>
      <c r="C1585" s="4">
        <v>0.0</v>
      </c>
      <c r="D1585" s="5" t="s">
        <v>4757</v>
      </c>
      <c r="E1585" s="5" t="s">
        <v>4758</v>
      </c>
      <c r="F1585" s="6" t="str">
        <f>IFERROR(__xludf.DUMMYFUNCTION("GOOGLETRANSLATE(D1585,""en"",""it"")"),"Si fida dei suoi gusti, un tipo di rapporto interessante.")</f>
        <v>Si fida dei suoi gusti, un tipo di rapporto interessante.</v>
      </c>
      <c r="G1585" s="6" t="str">
        <f>IFERROR(__xludf.DUMMYFUNCTION("GOOGLETRANSLATE(E1585,""fr"",""it"")"),"Si fida del suo senso del gusto, un tipo di rapporto interessante.")</f>
        <v>Si fida del suo senso del gusto, un tipo di rapporto interessante.</v>
      </c>
    </row>
    <row r="1586">
      <c r="A1586" s="4">
        <v>1584.0</v>
      </c>
      <c r="B1586" s="5" t="s">
        <v>4759</v>
      </c>
      <c r="C1586" s="4">
        <v>0.0</v>
      </c>
      <c r="D1586" s="5" t="s">
        <v>4760</v>
      </c>
      <c r="E1586" s="5" t="s">
        <v>4761</v>
      </c>
      <c r="F1586" s="6" t="str">
        <f>IFERROR(__xludf.DUMMYFUNCTION("GOOGLETRANSLATE(D1586,""en"",""it"")"),"Si fida dei rapporti, un tipo di gusto interessante.")</f>
        <v>Si fida dei rapporti, un tipo di gusto interessante.</v>
      </c>
      <c r="G1586" s="6" t="str">
        <f>IFERROR(__xludf.DUMMYFUNCTION("GOOGLETRANSLATE(E1586,""fr"",""it"")"),"Si fida dei rapporti, un tipo interessante del suo senso del gusto.")</f>
        <v>Si fida dei rapporti, un tipo interessante del suo senso del gusto.</v>
      </c>
    </row>
    <row r="1587">
      <c r="A1587" s="4">
        <v>1585.0</v>
      </c>
      <c r="B1587" s="5" t="s">
        <v>4762</v>
      </c>
      <c r="C1587" s="4">
        <v>0.0</v>
      </c>
      <c r="D1587" s="5" t="s">
        <v>4763</v>
      </c>
      <c r="E1587" s="5" t="s">
        <v>4764</v>
      </c>
      <c r="F1587" s="6" t="str">
        <f>IFERROR(__xludf.DUMMYFUNCTION("GOOGLETRANSLATE(D1587,""en"",""it"")"),"Si fida dei suoi gusti, un tipo interessante di ricostruzione.")</f>
        <v>Si fida dei suoi gusti, un tipo interessante di ricostruzione.</v>
      </c>
      <c r="G1587" s="6" t="str">
        <f>IFERROR(__xludf.DUMMYFUNCTION("GOOGLETRANSLATE(E1587,""fr"",""it"")"),"Si fida del suo senso del gusto, un tipo interessante di ricostruzione.")</f>
        <v>Si fida del suo senso del gusto, un tipo interessante di ricostruzione.</v>
      </c>
    </row>
    <row r="1588">
      <c r="A1588" s="4">
        <v>1586.0</v>
      </c>
      <c r="B1588" s="5" t="s">
        <v>4765</v>
      </c>
      <c r="C1588" s="4">
        <v>0.0</v>
      </c>
      <c r="D1588" s="5" t="s">
        <v>4766</v>
      </c>
      <c r="E1588" s="5" t="s">
        <v>4767</v>
      </c>
      <c r="F1588" s="6" t="str">
        <f>IFERROR(__xludf.DUMMYFUNCTION("GOOGLETRANSLATE(D1588,""en"",""it"")"),"Si fida di ricostruzioni, un tipo di gusto interessante.")</f>
        <v>Si fida di ricostruzioni, un tipo di gusto interessante.</v>
      </c>
      <c r="G1588" s="6" t="str">
        <f>IFERROR(__xludf.DUMMYFUNCTION("GOOGLETRANSLATE(E1588,""fr"",""it"")"),"Si fida di ricostruzioni, un tipo interessante del suo senso del gusto.")</f>
        <v>Si fida di ricostruzioni, un tipo interessante del suo senso del gusto.</v>
      </c>
    </row>
    <row r="1589">
      <c r="A1589" s="4">
        <v>1587.0</v>
      </c>
      <c r="B1589" s="5" t="s">
        <v>4768</v>
      </c>
      <c r="C1589" s="4">
        <v>0.0</v>
      </c>
      <c r="D1589" s="5" t="s">
        <v>4769</v>
      </c>
      <c r="E1589" s="5" t="s">
        <v>4770</v>
      </c>
      <c r="F1589" s="6" t="str">
        <f>IFERROR(__xludf.DUMMYFUNCTION("GOOGLETRANSLATE(D1589,""en"",""it"")"),"Si fida del suo gusto, un tipo interessante di ipotesi.")</f>
        <v>Si fida del suo gusto, un tipo interessante di ipotesi.</v>
      </c>
      <c r="G1589" s="6" t="str">
        <f>IFERROR(__xludf.DUMMYFUNCTION("GOOGLETRANSLATE(E1589,""fr"",""it"")"),"Si fida del suo senso del gusto, un tipo di assunzione interessante.")</f>
        <v>Si fida del suo senso del gusto, un tipo di assunzione interessante.</v>
      </c>
    </row>
    <row r="1590">
      <c r="A1590" s="4">
        <v>1588.0</v>
      </c>
      <c r="B1590" s="5" t="s">
        <v>4771</v>
      </c>
      <c r="C1590" s="4">
        <v>0.0</v>
      </c>
      <c r="D1590" s="5" t="s">
        <v>4772</v>
      </c>
      <c r="E1590" s="5" t="s">
        <v>4773</v>
      </c>
      <c r="F1590" s="6" t="str">
        <f>IFERROR(__xludf.DUMMYFUNCTION("GOOGLETRANSLATE(D1590,""en"",""it"")"),"Si fida indovinelli, un tipo di gusto interessante.")</f>
        <v>Si fida indovinelli, un tipo di gusto interessante.</v>
      </c>
      <c r="G1590" s="6" t="str">
        <f>IFERROR(__xludf.DUMMYFUNCTION("GOOGLETRANSLATE(E1590,""fr"",""it"")"),"Si fida di supposizione, un ragazzo interessante dal suo senso del gusto.")</f>
        <v>Si fida di supposizione, un ragazzo interessante dal suo senso del gusto.</v>
      </c>
    </row>
    <row r="1591">
      <c r="A1591" s="4">
        <v>1589.0</v>
      </c>
      <c r="B1591" s="5" t="s">
        <v>4774</v>
      </c>
      <c r="C1591" s="4">
        <v>0.0</v>
      </c>
      <c r="D1591" s="5" t="s">
        <v>4775</v>
      </c>
      <c r="E1591" s="5" t="s">
        <v>4776</v>
      </c>
      <c r="F1591" s="6" t="str">
        <f>IFERROR(__xludf.DUMMYFUNCTION("GOOGLETRANSLATE(D1591,""en"",""it"")"),"A lui piace la gioia, un tipo interessante di saggezza.")</f>
        <v>A lui piace la gioia, un tipo interessante di saggezza.</v>
      </c>
      <c r="G1591" s="6" t="str">
        <f>IFERROR(__xludf.DUMMYFUNCTION("GOOGLETRANSLATE(E1591,""fr"",""it"")"),"Posso capire la gioia, un tipo interessante di saggezza.")</f>
        <v>Posso capire la gioia, un tipo interessante di saggezza.</v>
      </c>
    </row>
    <row r="1592">
      <c r="A1592" s="4">
        <v>1590.0</v>
      </c>
      <c r="B1592" s="5" t="s">
        <v>4777</v>
      </c>
      <c r="C1592" s="4">
        <v>0.0</v>
      </c>
      <c r="D1592" s="5" t="s">
        <v>4778</v>
      </c>
      <c r="E1592" s="5" t="s">
        <v>4779</v>
      </c>
      <c r="F1592" s="6" t="str">
        <f>IFERROR(__xludf.DUMMYFUNCTION("GOOGLETRANSLATE(D1592,""en"",""it"")"),"A lui piace la saggezza, un tipo interessante di gioia.")</f>
        <v>A lui piace la saggezza, un tipo interessante di gioia.</v>
      </c>
      <c r="G1592" s="6" t="str">
        <f>IFERROR(__xludf.DUMMYFUNCTION("GOOGLETRANSLATE(E1592,""fr"",""it"")"),"Posso capire la saggezza, un ragazzo interessante di gioia.")</f>
        <v>Posso capire la saggezza, un ragazzo interessante di gioia.</v>
      </c>
    </row>
    <row r="1593">
      <c r="A1593" s="4">
        <v>1591.0</v>
      </c>
      <c r="B1593" s="5" t="s">
        <v>4780</v>
      </c>
      <c r="C1593" s="4">
        <v>1.0</v>
      </c>
      <c r="D1593" s="5" t="s">
        <v>4781</v>
      </c>
      <c r="E1593" s="5" t="s">
        <v>4782</v>
      </c>
      <c r="F1593" s="6" t="str">
        <f>IFERROR(__xludf.DUMMYFUNCTION("GOOGLETRANSLATE(D1593,""en"",""it"")"),"A lui piace la gioia, un tipo di emozione interessante.")</f>
        <v>A lui piace la gioia, un tipo di emozione interessante.</v>
      </c>
      <c r="G1593" s="6" t="str">
        <f>IFERROR(__xludf.DUMMYFUNCTION("GOOGLETRANSLATE(E1593,""fr"",""it"")"),"Posso capire la gioia, un tipo interessante di emozione.")</f>
        <v>Posso capire la gioia, un tipo interessante di emozione.</v>
      </c>
    </row>
    <row r="1594">
      <c r="A1594" s="4">
        <v>1592.0</v>
      </c>
      <c r="B1594" s="5" t="s">
        <v>4783</v>
      </c>
      <c r="C1594" s="4">
        <v>0.0</v>
      </c>
      <c r="D1594" s="5" t="s">
        <v>4784</v>
      </c>
      <c r="E1594" s="5" t="s">
        <v>4785</v>
      </c>
      <c r="F1594" s="6" t="str">
        <f>IFERROR(__xludf.DUMMYFUNCTION("GOOGLETRANSLATE(D1594,""en"",""it"")"),"Gli piace le emozioni, un tipo interessante di gioia.")</f>
        <v>Gli piace le emozioni, un tipo interessante di gioia.</v>
      </c>
      <c r="G1594" s="6" t="str">
        <f>IFERROR(__xludf.DUMMYFUNCTION("GOOGLETRANSLATE(E1594,""fr"",""it"")"),"Posso capire le emozioni, un tipo interessante di gioia.")</f>
        <v>Posso capire le emozioni, un tipo interessante di gioia.</v>
      </c>
    </row>
    <row r="1595">
      <c r="A1595" s="4">
        <v>1593.0</v>
      </c>
      <c r="B1595" s="5" t="s">
        <v>4786</v>
      </c>
      <c r="C1595" s="4">
        <v>0.0</v>
      </c>
      <c r="D1595" s="5" t="s">
        <v>4787</v>
      </c>
      <c r="E1595" s="5" t="s">
        <v>4788</v>
      </c>
      <c r="F1595" s="6" t="str">
        <f>IFERROR(__xludf.DUMMYFUNCTION("GOOGLETRANSLATE(D1595,""en"",""it"")"),"Gli piace le emozioni, un tipo interessante di saggezza.")</f>
        <v>Gli piace le emozioni, un tipo interessante di saggezza.</v>
      </c>
      <c r="G1595" s="6" t="str">
        <f>IFERROR(__xludf.DUMMYFUNCTION("GOOGLETRANSLATE(E1595,""fr"",""it"")"),"Posso capire le emozioni, un tipo interessante di saggezza.")</f>
        <v>Posso capire le emozioni, un tipo interessante di saggezza.</v>
      </c>
    </row>
    <row r="1596">
      <c r="A1596" s="4">
        <v>1594.0</v>
      </c>
      <c r="B1596" s="5" t="s">
        <v>4789</v>
      </c>
      <c r="C1596" s="4">
        <v>0.0</v>
      </c>
      <c r="D1596" s="5" t="s">
        <v>4790</v>
      </c>
      <c r="E1596" s="5" t="s">
        <v>4791</v>
      </c>
      <c r="F1596" s="6" t="str">
        <f>IFERROR(__xludf.DUMMYFUNCTION("GOOGLETRANSLATE(D1596,""en"",""it"")"),"A lui piace la gioia, un tipo interessante di stupidità.")</f>
        <v>A lui piace la gioia, un tipo interessante di stupidità.</v>
      </c>
      <c r="G1596" s="6" t="str">
        <f>IFERROR(__xludf.DUMMYFUNCTION("GOOGLETRANSLATE(E1596,""fr"",""it"")"),"Posso capire la gioia, un tipo interessante di stupidità.")</f>
        <v>Posso capire la gioia, un tipo interessante di stupidità.</v>
      </c>
    </row>
    <row r="1597">
      <c r="A1597" s="4">
        <v>1595.0</v>
      </c>
      <c r="B1597" s="5" t="s">
        <v>4792</v>
      </c>
      <c r="C1597" s="4">
        <v>0.0</v>
      </c>
      <c r="D1597" s="5" t="s">
        <v>4793</v>
      </c>
      <c r="E1597" s="5" t="s">
        <v>4794</v>
      </c>
      <c r="F1597" s="6" t="str">
        <f>IFERROR(__xludf.DUMMYFUNCTION("GOOGLETRANSLATE(D1597,""en"",""it"")"),"A lui piace la stupidità, un tipo interessante di gioia.")</f>
        <v>A lui piace la stupidità, un tipo interessante di gioia.</v>
      </c>
      <c r="G1597" s="6" t="str">
        <f>IFERROR(__xludf.DUMMYFUNCTION("GOOGLETRANSLATE(E1597,""fr"",""it"")"),"Posso capire la stupidità, un ragazzo interessante di gioia.")</f>
        <v>Posso capire la stupidità, un ragazzo interessante di gioia.</v>
      </c>
    </row>
    <row r="1598">
      <c r="A1598" s="4">
        <v>1596.0</v>
      </c>
      <c r="B1598" s="5" t="s">
        <v>4795</v>
      </c>
      <c r="C1598" s="4">
        <v>0.0</v>
      </c>
      <c r="D1598" s="5" t="s">
        <v>4796</v>
      </c>
      <c r="E1598" s="5" t="s">
        <v>4797</v>
      </c>
      <c r="F1598" s="6" t="str">
        <f>IFERROR(__xludf.DUMMYFUNCTION("GOOGLETRANSLATE(D1598,""en"",""it"")"),"Gli piace le emozioni, un tipo interessante di stupidità.")</f>
        <v>Gli piace le emozioni, un tipo interessante di stupidità.</v>
      </c>
      <c r="G1598" s="6" t="str">
        <f>IFERROR(__xludf.DUMMYFUNCTION("GOOGLETRANSLATE(E1598,""fr"",""it"")"),"Posso capire le emozioni, un tipo interessante di stupidità.")</f>
        <v>Posso capire le emozioni, un tipo interessante di stupidità.</v>
      </c>
    </row>
    <row r="1599">
      <c r="A1599" s="4">
        <v>1597.0</v>
      </c>
      <c r="B1599" s="5" t="s">
        <v>4798</v>
      </c>
      <c r="C1599" s="4">
        <v>0.0</v>
      </c>
      <c r="D1599" s="5" t="s">
        <v>4799</v>
      </c>
      <c r="E1599" s="5" t="s">
        <v>4800</v>
      </c>
      <c r="F1599" s="6" t="str">
        <f>IFERROR(__xludf.DUMMYFUNCTION("GOOGLETRANSLATE(D1599,""en"",""it"")"),"A lui piace la gioia, un tipo di logica interessante.")</f>
        <v>A lui piace la gioia, un tipo di logica interessante.</v>
      </c>
      <c r="G1599" s="6" t="str">
        <f>IFERROR(__xludf.DUMMYFUNCTION("GOOGLETRANSLATE(E1599,""fr"",""it"")"),"Posso capire la gioia, un tipo di logica interessante.")</f>
        <v>Posso capire la gioia, un tipo di logica interessante.</v>
      </c>
    </row>
    <row r="1600">
      <c r="A1600" s="4">
        <v>1598.0</v>
      </c>
      <c r="B1600" s="5" t="s">
        <v>4801</v>
      </c>
      <c r="C1600" s="4">
        <v>0.0</v>
      </c>
      <c r="D1600" s="5" t="s">
        <v>4802</v>
      </c>
      <c r="E1600" s="5" t="s">
        <v>4803</v>
      </c>
      <c r="F1600" s="6" t="str">
        <f>IFERROR(__xludf.DUMMYFUNCTION("GOOGLETRANSLATE(D1600,""en"",""it"")"),"A lui piace la logica, un tipo interessante di gioia.")</f>
        <v>A lui piace la logica, un tipo interessante di gioia.</v>
      </c>
      <c r="G1600" s="6" t="str">
        <f>IFERROR(__xludf.DUMMYFUNCTION("GOOGLETRANSLATE(E1600,""fr"",""it"")"),"Posso capire la logica, un tipo interessante di gioia.")</f>
        <v>Posso capire la logica, un tipo interessante di gioia.</v>
      </c>
    </row>
    <row r="1601">
      <c r="A1601" s="4">
        <v>1599.0</v>
      </c>
      <c r="B1601" s="5" t="s">
        <v>4804</v>
      </c>
      <c r="C1601" s="4">
        <v>0.0</v>
      </c>
      <c r="D1601" s="5" t="s">
        <v>4805</v>
      </c>
      <c r="E1601" s="5" t="s">
        <v>4806</v>
      </c>
      <c r="F1601" s="6" t="str">
        <f>IFERROR(__xludf.DUMMYFUNCTION("GOOGLETRANSLATE(D1601,""en"",""it"")"),"Gli piace le emozioni, un tipo interessante di logica.")</f>
        <v>Gli piace le emozioni, un tipo interessante di logica.</v>
      </c>
      <c r="G1601" s="6" t="str">
        <f>IFERROR(__xludf.DUMMYFUNCTION("GOOGLETRANSLATE(E1601,""fr"",""it"")"),"Posso capire le emozioni, un tipo interessante di logica.")</f>
        <v>Posso capire le emozioni, un tipo interessante di logica.</v>
      </c>
    </row>
    <row r="1602">
      <c r="A1602" s="4">
        <v>1600.0</v>
      </c>
      <c r="B1602" s="5" t="s">
        <v>4807</v>
      </c>
      <c r="C1602" s="4">
        <v>0.0</v>
      </c>
      <c r="D1602" s="5" t="s">
        <v>4808</v>
      </c>
      <c r="E1602" s="5" t="s">
        <v>4809</v>
      </c>
      <c r="F1602" s="6" t="str">
        <f>IFERROR(__xludf.DUMMYFUNCTION("GOOGLETRANSLATE(D1602,""en"",""it"")"),"A lui piace la gioia, un tipo di calcolo interessante.")</f>
        <v>A lui piace la gioia, un tipo di calcolo interessante.</v>
      </c>
      <c r="G1602" s="6" t="str">
        <f>IFERROR(__xludf.DUMMYFUNCTION("GOOGLETRANSLATE(E1602,""fr"",""it"")"),"Posso capire la gioia, un tipo di calcolo interessante.")</f>
        <v>Posso capire la gioia, un tipo di calcolo interessante.</v>
      </c>
    </row>
    <row r="1603">
      <c r="A1603" s="4">
        <v>1601.0</v>
      </c>
      <c r="B1603" s="5" t="s">
        <v>4810</v>
      </c>
      <c r="C1603" s="4">
        <v>0.0</v>
      </c>
      <c r="D1603" s="5" t="s">
        <v>4811</v>
      </c>
      <c r="E1603" s="5" t="s">
        <v>4812</v>
      </c>
      <c r="F1603" s="6" t="str">
        <f>IFERROR(__xludf.DUMMYFUNCTION("GOOGLETRANSLATE(D1603,""en"",""it"")"),"Gli piacciono i calcoli, un tipo di gioia interessante.")</f>
        <v>Gli piacciono i calcoli, un tipo di gioia interessante.</v>
      </c>
      <c r="G1603" s="6" t="str">
        <f>IFERROR(__xludf.DUMMYFUNCTION("GOOGLETRANSLATE(E1603,""fr"",""it"")"),"Posso capire i calcoli, un tipo interessante di gioia.")</f>
        <v>Posso capire i calcoli, un tipo interessante di gioia.</v>
      </c>
    </row>
    <row r="1604">
      <c r="A1604" s="4">
        <v>1602.0</v>
      </c>
      <c r="B1604" s="5" t="s">
        <v>4813</v>
      </c>
      <c r="C1604" s="4">
        <v>1.0</v>
      </c>
      <c r="D1604" s="5" t="s">
        <v>4814</v>
      </c>
      <c r="E1604" s="5" t="s">
        <v>4815</v>
      </c>
      <c r="F1604" s="6" t="str">
        <f>IFERROR(__xludf.DUMMYFUNCTION("GOOGLETRANSLATE(D1604,""en"",""it"")"),"Mi piacciono gli uccelli, tranne i nebuni.")</f>
        <v>Mi piacciono gli uccelli, tranne i nebuni.</v>
      </c>
      <c r="G1604" s="6" t="str">
        <f>IFERROR(__xludf.DUMMYFUNCTION("GOOGLETRANSLATE(E1604,""fr"",""it"")"),"Amo gli uccelli, tranne i muoi.")</f>
        <v>Amo gli uccelli, tranne i muoi.</v>
      </c>
    </row>
    <row r="1605">
      <c r="A1605" s="4">
        <v>1603.0</v>
      </c>
      <c r="B1605" s="5" t="s">
        <v>4816</v>
      </c>
      <c r="C1605" s="4">
        <v>0.0</v>
      </c>
      <c r="D1605" s="5" t="s">
        <v>4817</v>
      </c>
      <c r="E1605" s="5" t="s">
        <v>4818</v>
      </c>
      <c r="F1605" s="6" t="str">
        <f>IFERROR(__xludf.DUMMYFUNCTION("GOOGLETRANSLATE(D1605,""en"",""it"")"),"Gli piace le emozioni, un tipo di calcolo interessante.")</f>
        <v>Gli piace le emozioni, un tipo di calcolo interessante.</v>
      </c>
      <c r="G1605" s="6" t="str">
        <f>IFERROR(__xludf.DUMMYFUNCTION("GOOGLETRANSLATE(E1605,""fr"",""it"")"),"Posso capire le emozioni, un tipo interessante di calcolo.")</f>
        <v>Posso capire le emozioni, un tipo interessante di calcolo.</v>
      </c>
    </row>
    <row r="1606">
      <c r="A1606" s="4">
        <v>1604.0</v>
      </c>
      <c r="B1606" s="5" t="s">
        <v>4819</v>
      </c>
      <c r="C1606" s="4">
        <v>0.0</v>
      </c>
      <c r="D1606" s="5" t="s">
        <v>4820</v>
      </c>
      <c r="E1606" s="5" t="s">
        <v>4821</v>
      </c>
      <c r="F1606" s="6" t="str">
        <f>IFERROR(__xludf.DUMMYFUNCTION("GOOGLETRANSLATE(D1606,""en"",""it"")"),"Gli piace la paura, un tipo interessante di saggezza.")</f>
        <v>Gli piace la paura, un tipo interessante di saggezza.</v>
      </c>
      <c r="G1606" s="6" t="str">
        <f>IFERROR(__xludf.DUMMYFUNCTION("GOOGLETRANSLATE(E1606,""fr"",""it"")"),"Posso capire la paura, un tipo interessante di saggezza.")</f>
        <v>Posso capire la paura, un tipo interessante di saggezza.</v>
      </c>
    </row>
    <row r="1607">
      <c r="A1607" s="4">
        <v>1605.0</v>
      </c>
      <c r="B1607" s="5" t="s">
        <v>4822</v>
      </c>
      <c r="C1607" s="4">
        <v>0.0</v>
      </c>
      <c r="D1607" s="5" t="s">
        <v>4823</v>
      </c>
      <c r="E1607" s="5" t="s">
        <v>4824</v>
      </c>
      <c r="F1607" s="6" t="str">
        <f>IFERROR(__xludf.DUMMYFUNCTION("GOOGLETRANSLATE(D1607,""en"",""it"")"),"A lui piace la saggezza, un tipo interessante di paura.")</f>
        <v>A lui piace la saggezza, un tipo interessante di paura.</v>
      </c>
      <c r="G1607" s="6" t="str">
        <f>IFERROR(__xludf.DUMMYFUNCTION("GOOGLETRANSLATE(E1607,""fr"",""it"")"),"Posso capire la saggezza, un ragazzo interessante per paura.")</f>
        <v>Posso capire la saggezza, un ragazzo interessante per paura.</v>
      </c>
    </row>
    <row r="1608">
      <c r="A1608" s="4">
        <v>1606.0</v>
      </c>
      <c r="B1608" s="5" t="s">
        <v>4825</v>
      </c>
      <c r="C1608" s="4">
        <v>1.0</v>
      </c>
      <c r="D1608" s="5" t="s">
        <v>4826</v>
      </c>
      <c r="E1608" s="5" t="s">
        <v>4827</v>
      </c>
      <c r="F1608" s="6" t="str">
        <f>IFERROR(__xludf.DUMMYFUNCTION("GOOGLETRANSLATE(D1608,""en"",""it"")"),"Gli piace la paura, un tipo interessante di emozione.")</f>
        <v>Gli piace la paura, un tipo interessante di emozione.</v>
      </c>
      <c r="G1608" s="6" t="str">
        <f>IFERROR(__xludf.DUMMYFUNCTION("GOOGLETRANSLATE(E1608,""fr"",""it"")"),"Posso capire la paura, un tipo interessante di emozione.")</f>
        <v>Posso capire la paura, un tipo interessante di emozione.</v>
      </c>
    </row>
    <row r="1609">
      <c r="A1609" s="4">
        <v>1607.0</v>
      </c>
      <c r="B1609" s="5" t="s">
        <v>4828</v>
      </c>
      <c r="C1609" s="4">
        <v>0.0</v>
      </c>
      <c r="D1609" s="5" t="s">
        <v>4829</v>
      </c>
      <c r="E1609" s="5" t="s">
        <v>4830</v>
      </c>
      <c r="F1609" s="6" t="str">
        <f>IFERROR(__xludf.DUMMYFUNCTION("GOOGLETRANSLATE(D1609,""en"",""it"")"),"Gli piace le emozioni, un tipo interessante di paura.")</f>
        <v>Gli piace le emozioni, un tipo interessante di paura.</v>
      </c>
      <c r="G1609" s="6" t="str">
        <f>IFERROR(__xludf.DUMMYFUNCTION("GOOGLETRANSLATE(E1609,""fr"",""it"")"),"Posso capire le emozioni, un ragazzo interessante per paura.")</f>
        <v>Posso capire le emozioni, un ragazzo interessante per paura.</v>
      </c>
    </row>
    <row r="1610">
      <c r="A1610" s="4">
        <v>1608.0</v>
      </c>
      <c r="B1610" s="5" t="s">
        <v>4831</v>
      </c>
      <c r="C1610" s="4">
        <v>0.0</v>
      </c>
      <c r="D1610" s="5" t="s">
        <v>4832</v>
      </c>
      <c r="E1610" s="5" t="s">
        <v>4833</v>
      </c>
      <c r="F1610" s="6" t="str">
        <f>IFERROR(__xludf.DUMMYFUNCTION("GOOGLETRANSLATE(D1610,""en"",""it"")"),"Gli piace la paura, un tipo interessante di stupidità.")</f>
        <v>Gli piace la paura, un tipo interessante di stupidità.</v>
      </c>
      <c r="G1610" s="6" t="str">
        <f>IFERROR(__xludf.DUMMYFUNCTION("GOOGLETRANSLATE(E1610,""fr"",""it"")"),"Posso capire la paura, un ragazzo interessante per la stupidità.")</f>
        <v>Posso capire la paura, un ragazzo interessante per la stupidità.</v>
      </c>
    </row>
    <row r="1611">
      <c r="A1611" s="4">
        <v>1609.0</v>
      </c>
      <c r="B1611" s="5" t="s">
        <v>4834</v>
      </c>
      <c r="C1611" s="4">
        <v>0.0</v>
      </c>
      <c r="D1611" s="5" t="s">
        <v>4835</v>
      </c>
      <c r="E1611" s="5" t="s">
        <v>4836</v>
      </c>
      <c r="F1611" s="6" t="str">
        <f>IFERROR(__xludf.DUMMYFUNCTION("GOOGLETRANSLATE(D1611,""en"",""it"")"),"A lui piace la stupidità, un tipo interessante di paura.")</f>
        <v>A lui piace la stupidità, un tipo interessante di paura.</v>
      </c>
      <c r="G1611" s="6" t="str">
        <f>IFERROR(__xludf.DUMMYFUNCTION("GOOGLETRANSLATE(E1611,""fr"",""it"")"),"Posso capire la stupidità, un ragazzo interessante per paura.")</f>
        <v>Posso capire la stupidità, un ragazzo interessante per paura.</v>
      </c>
    </row>
    <row r="1612">
      <c r="A1612" s="4">
        <v>1610.0</v>
      </c>
      <c r="B1612" s="5" t="s">
        <v>4837</v>
      </c>
      <c r="C1612" s="4">
        <v>0.0</v>
      </c>
      <c r="D1612" s="5" t="s">
        <v>4838</v>
      </c>
      <c r="E1612" s="5" t="s">
        <v>4839</v>
      </c>
      <c r="F1612" s="6" t="str">
        <f>IFERROR(__xludf.DUMMYFUNCTION("GOOGLETRANSLATE(D1612,""en"",""it"")"),"Gli piace la paura, un tipo di logica interessante.")</f>
        <v>Gli piace la paura, un tipo di logica interessante.</v>
      </c>
      <c r="G1612" s="6" t="str">
        <f>IFERROR(__xludf.DUMMYFUNCTION("GOOGLETRANSLATE(E1612,""fr"",""it"")"),"Posso capire la paura, un tipo di logica interessante.")</f>
        <v>Posso capire la paura, un tipo di logica interessante.</v>
      </c>
    </row>
    <row r="1613">
      <c r="A1613" s="4">
        <v>1611.0</v>
      </c>
      <c r="B1613" s="5" t="s">
        <v>4840</v>
      </c>
      <c r="C1613" s="4">
        <v>0.0</v>
      </c>
      <c r="D1613" s="5" t="s">
        <v>4841</v>
      </c>
      <c r="E1613" s="5" t="s">
        <v>4842</v>
      </c>
      <c r="F1613" s="6" t="str">
        <f>IFERROR(__xludf.DUMMYFUNCTION("GOOGLETRANSLATE(D1613,""en"",""it"")"),"A lui piace la logica, un tipo interessante di paura.")</f>
        <v>A lui piace la logica, un tipo interessante di paura.</v>
      </c>
      <c r="G1613" s="6" t="str">
        <f>IFERROR(__xludf.DUMMYFUNCTION("GOOGLETRANSLATE(E1613,""fr"",""it"")"),"Posso capire la logica, un tipo interessante di paura.")</f>
        <v>Posso capire la logica, un tipo interessante di paura.</v>
      </c>
    </row>
    <row r="1614">
      <c r="A1614" s="4">
        <v>1612.0</v>
      </c>
      <c r="B1614" s="5" t="s">
        <v>4843</v>
      </c>
      <c r="C1614" s="4">
        <v>0.0</v>
      </c>
      <c r="D1614" s="5" t="s">
        <v>4844</v>
      </c>
      <c r="E1614" s="5" t="s">
        <v>4845</v>
      </c>
      <c r="F1614" s="6" t="str">
        <f>IFERROR(__xludf.DUMMYFUNCTION("GOOGLETRANSLATE(D1614,""en"",""it"")"),"Gli piace la paura, un tipo di calcolo interessante.")</f>
        <v>Gli piace la paura, un tipo di calcolo interessante.</v>
      </c>
      <c r="G1614" s="6" t="str">
        <f>IFERROR(__xludf.DUMMYFUNCTION("GOOGLETRANSLATE(E1614,""fr"",""it"")"),"Posso capire la paura, un tipo di calcolo interessante.")</f>
        <v>Posso capire la paura, un tipo di calcolo interessante.</v>
      </c>
    </row>
    <row r="1615">
      <c r="A1615" s="4">
        <v>1613.0</v>
      </c>
      <c r="B1615" s="5" t="s">
        <v>4846</v>
      </c>
      <c r="C1615" s="4">
        <v>0.0</v>
      </c>
      <c r="D1615" s="5" t="s">
        <v>4847</v>
      </c>
      <c r="E1615" s="5" t="s">
        <v>4848</v>
      </c>
      <c r="F1615" s="6" t="str">
        <f>IFERROR(__xludf.DUMMYFUNCTION("GOOGLETRANSLATE(D1615,""en"",""it"")"),"Gli piace i calcoli, un tipo interessante di paura.")</f>
        <v>Gli piace i calcoli, un tipo interessante di paura.</v>
      </c>
      <c r="G1615" s="6" t="str">
        <f>IFERROR(__xludf.DUMMYFUNCTION("GOOGLETRANSLATE(E1615,""fr"",""it"")"),"Posso capire i calcoli, un tipo interessante di paura.")</f>
        <v>Posso capire i calcoli, un tipo interessante di paura.</v>
      </c>
    </row>
    <row r="1616">
      <c r="A1616" s="4">
        <v>1614.0</v>
      </c>
      <c r="B1616" s="5" t="s">
        <v>4849</v>
      </c>
      <c r="C1616" s="4">
        <v>0.0</v>
      </c>
      <c r="D1616" s="5" t="s">
        <v>4850</v>
      </c>
      <c r="E1616" s="5" t="s">
        <v>4851</v>
      </c>
      <c r="F1616" s="6" t="str">
        <f>IFERROR(__xludf.DUMMYFUNCTION("GOOGLETRANSLATE(D1616,""en"",""it"")"),"Gli piace l'amore, un tipo interessante di saggezza.")</f>
        <v>Gli piace l'amore, un tipo interessante di saggezza.</v>
      </c>
      <c r="G1616" s="6" t="str">
        <f>IFERROR(__xludf.DUMMYFUNCTION("GOOGLETRANSLATE(E1616,""fr"",""it"")"),"Posso capire l'amore, un tipo interessante di saggezza.")</f>
        <v>Posso capire l'amore, un tipo interessante di saggezza.</v>
      </c>
    </row>
    <row r="1617">
      <c r="A1617" s="4">
        <v>1615.0</v>
      </c>
      <c r="B1617" s="5" t="s">
        <v>4852</v>
      </c>
      <c r="C1617" s="4">
        <v>0.0</v>
      </c>
      <c r="D1617" s="5" t="s">
        <v>4853</v>
      </c>
      <c r="E1617" s="5" t="s">
        <v>4854</v>
      </c>
      <c r="F1617" s="6" t="str">
        <f>IFERROR(__xludf.DUMMYFUNCTION("GOOGLETRANSLATE(D1617,""en"",""it"")"),"A lui piace la saggezza, un tipo interessante di amore.")</f>
        <v>A lui piace la saggezza, un tipo interessante di amore.</v>
      </c>
      <c r="G1617" s="6" t="str">
        <f>IFERROR(__xludf.DUMMYFUNCTION("GOOGLETRANSLATE(E1617,""fr"",""it"")"),"Posso capire la saggezza, un ragazzo interessante d'amore.")</f>
        <v>Posso capire la saggezza, un ragazzo interessante d'amore.</v>
      </c>
    </row>
    <row r="1618">
      <c r="A1618" s="4">
        <v>1616.0</v>
      </c>
      <c r="B1618" s="5" t="s">
        <v>4855</v>
      </c>
      <c r="C1618" s="4">
        <v>1.0</v>
      </c>
      <c r="D1618" s="5" t="s">
        <v>4856</v>
      </c>
      <c r="E1618" s="5" t="s">
        <v>4857</v>
      </c>
      <c r="F1618" s="6" t="str">
        <f>IFERROR(__xludf.DUMMYFUNCTION("GOOGLETRANSLATE(D1618,""en"",""it"")"),"Gli piace l'amore, un tipo di emozione interessante.")</f>
        <v>Gli piace l'amore, un tipo di emozione interessante.</v>
      </c>
      <c r="G1618" s="6" t="str">
        <f>IFERROR(__xludf.DUMMYFUNCTION("GOOGLETRANSLATE(E1618,""fr"",""it"")"),"Posso capire l'amore, un tipo interessante di emozione.")</f>
        <v>Posso capire l'amore, un tipo interessante di emozione.</v>
      </c>
    </row>
    <row r="1619">
      <c r="A1619" s="4">
        <v>1617.0</v>
      </c>
      <c r="B1619" s="5" t="s">
        <v>4858</v>
      </c>
      <c r="C1619" s="4">
        <v>0.0</v>
      </c>
      <c r="D1619" s="5" t="s">
        <v>4859</v>
      </c>
      <c r="E1619" s="5" t="s">
        <v>4860</v>
      </c>
      <c r="F1619" s="6" t="str">
        <f>IFERROR(__xludf.DUMMYFUNCTION("GOOGLETRANSLATE(D1619,""en"",""it"")"),"Gli piace le emozioni, un tipo interessante di amore.")</f>
        <v>Gli piace le emozioni, un tipo interessante di amore.</v>
      </c>
      <c r="G1619" s="6" t="str">
        <f>IFERROR(__xludf.DUMMYFUNCTION("GOOGLETRANSLATE(E1619,""fr"",""it"")"),"Posso capire le emozioni, un tipo di amore interessante.")</f>
        <v>Posso capire le emozioni, un tipo di amore interessante.</v>
      </c>
    </row>
    <row r="1620">
      <c r="A1620" s="4">
        <v>1618.0</v>
      </c>
      <c r="B1620" s="5" t="s">
        <v>4861</v>
      </c>
      <c r="C1620" s="4">
        <v>0.0</v>
      </c>
      <c r="D1620" s="5" t="s">
        <v>4862</v>
      </c>
      <c r="E1620" s="5" t="s">
        <v>4863</v>
      </c>
      <c r="F1620" s="6" t="str">
        <f>IFERROR(__xludf.DUMMYFUNCTION("GOOGLETRANSLATE(D1620,""en"",""it"")"),"Gli piace l'amore, un tipo interessante di stupidità.")</f>
        <v>Gli piace l'amore, un tipo interessante di stupidità.</v>
      </c>
      <c r="G1620" s="6" t="str">
        <f>IFERROR(__xludf.DUMMYFUNCTION("GOOGLETRANSLATE(E1620,""fr"",""it"")"),"Posso capire l'amore, un tipo interessante di stupidità.")</f>
        <v>Posso capire l'amore, un tipo interessante di stupidità.</v>
      </c>
    </row>
    <row r="1621">
      <c r="A1621" s="4">
        <v>1619.0</v>
      </c>
      <c r="B1621" s="5" t="s">
        <v>4864</v>
      </c>
      <c r="C1621" s="4">
        <v>0.0</v>
      </c>
      <c r="D1621" s="5" t="s">
        <v>4865</v>
      </c>
      <c r="E1621" s="5" t="s">
        <v>4866</v>
      </c>
      <c r="F1621" s="6" t="str">
        <f>IFERROR(__xludf.DUMMYFUNCTION("GOOGLETRANSLATE(D1621,""en"",""it"")"),"A lui piace la stupidità, un tipo di amore interessante.")</f>
        <v>A lui piace la stupidità, un tipo di amore interessante.</v>
      </c>
      <c r="G1621" s="6" t="str">
        <f>IFERROR(__xludf.DUMMYFUNCTION("GOOGLETRANSLATE(E1621,""fr"",""it"")"),"Posso capire la stupidità, un tipo di amore interessante.")</f>
        <v>Posso capire la stupidità, un tipo di amore interessante.</v>
      </c>
    </row>
    <row r="1622">
      <c r="A1622" s="4">
        <v>1620.0</v>
      </c>
      <c r="B1622" s="5" t="s">
        <v>4867</v>
      </c>
      <c r="C1622" s="4">
        <v>0.0</v>
      </c>
      <c r="D1622" s="5" t="s">
        <v>4868</v>
      </c>
      <c r="E1622" s="5" t="s">
        <v>4869</v>
      </c>
      <c r="F1622" s="6" t="str">
        <f>IFERROR(__xludf.DUMMYFUNCTION("GOOGLETRANSLATE(D1622,""en"",""it"")"),"Gli piace l'amore, un tipo interessante di logica.")</f>
        <v>Gli piace l'amore, un tipo interessante di logica.</v>
      </c>
      <c r="G1622" s="6" t="str">
        <f>IFERROR(__xludf.DUMMYFUNCTION("GOOGLETRANSLATE(E1622,""fr"",""it"")"),"Posso capire l'amore, un tipo di logica interessante.")</f>
        <v>Posso capire l'amore, un tipo di logica interessante.</v>
      </c>
    </row>
    <row r="1623">
      <c r="A1623" s="4">
        <v>1621.0</v>
      </c>
      <c r="B1623" s="5" t="s">
        <v>4870</v>
      </c>
      <c r="C1623" s="4">
        <v>0.0</v>
      </c>
      <c r="D1623" s="5" t="s">
        <v>4871</v>
      </c>
      <c r="E1623" s="5" t="s">
        <v>4872</v>
      </c>
      <c r="F1623" s="6" t="str">
        <f>IFERROR(__xludf.DUMMYFUNCTION("GOOGLETRANSLATE(D1623,""en"",""it"")"),"A lui piace la logica, un tipo di amore interessante.")</f>
        <v>A lui piace la logica, un tipo di amore interessante.</v>
      </c>
      <c r="G1623" s="6" t="str">
        <f>IFERROR(__xludf.DUMMYFUNCTION("GOOGLETRANSLATE(E1623,""fr"",""it"")"),"Posso capire la logica, un tipo di amore interessante.")</f>
        <v>Posso capire la logica, un tipo di amore interessante.</v>
      </c>
    </row>
    <row r="1624">
      <c r="A1624" s="4">
        <v>1622.0</v>
      </c>
      <c r="B1624" s="5" t="s">
        <v>4873</v>
      </c>
      <c r="C1624" s="4">
        <v>0.0</v>
      </c>
      <c r="D1624" s="5" t="s">
        <v>4874</v>
      </c>
      <c r="E1624" s="5" t="s">
        <v>4875</v>
      </c>
      <c r="F1624" s="6" t="str">
        <f>IFERROR(__xludf.DUMMYFUNCTION("GOOGLETRANSLATE(D1624,""en"",""it"")"),"Gli piace l'amore, un tipo di calcolo interessante.")</f>
        <v>Gli piace l'amore, un tipo di calcolo interessante.</v>
      </c>
      <c r="G1624" s="6" t="str">
        <f>IFERROR(__xludf.DUMMYFUNCTION("GOOGLETRANSLATE(E1624,""fr"",""it"")"),"Posso capire l'amore, un tipo di calcolo interessante.")</f>
        <v>Posso capire l'amore, un tipo di calcolo interessante.</v>
      </c>
    </row>
    <row r="1625">
      <c r="A1625" s="4">
        <v>1623.0</v>
      </c>
      <c r="B1625" s="5" t="s">
        <v>4876</v>
      </c>
      <c r="C1625" s="4">
        <v>0.0</v>
      </c>
      <c r="D1625" s="5" t="s">
        <v>4877</v>
      </c>
      <c r="E1625" s="5" t="s">
        <v>4878</v>
      </c>
      <c r="F1625" s="6" t="str">
        <f>IFERROR(__xludf.DUMMYFUNCTION("GOOGLETRANSLATE(D1625,""en"",""it"")"),"Gli piacciono i calcoli, un tipo di amore interessante.")</f>
        <v>Gli piacciono i calcoli, un tipo di amore interessante.</v>
      </c>
      <c r="G1625" s="6" t="str">
        <f>IFERROR(__xludf.DUMMYFUNCTION("GOOGLETRANSLATE(E1625,""fr"",""it"")"),"Posso capire i calcoli, un tipo interessante di amore.")</f>
        <v>Posso capire i calcoli, un tipo interessante di amore.</v>
      </c>
    </row>
    <row r="1626">
      <c r="A1626" s="4">
        <v>1624.0</v>
      </c>
      <c r="B1626" s="5" t="s">
        <v>4879</v>
      </c>
      <c r="C1626" s="4">
        <v>0.0</v>
      </c>
      <c r="D1626" s="5" t="s">
        <v>4880</v>
      </c>
      <c r="E1626" s="5" t="s">
        <v>4881</v>
      </c>
      <c r="F1626" s="6" t="str">
        <f>IFERROR(__xludf.DUMMYFUNCTION("GOOGLETRANSLATE(D1626,""en"",""it"")"),"A lui piace la tristezza, un tipo interessante di saggezza.")</f>
        <v>A lui piace la tristezza, un tipo interessante di saggezza.</v>
      </c>
      <c r="G1626" s="6" t="str">
        <f>IFERROR(__xludf.DUMMYFUNCTION("GOOGLETRANSLATE(E1626,""fr"",""it"")"),"Posso capire la tristezza, un tipo interessante di saggezza.")</f>
        <v>Posso capire la tristezza, un tipo interessante di saggezza.</v>
      </c>
    </row>
    <row r="1627">
      <c r="A1627" s="4">
        <v>1625.0</v>
      </c>
      <c r="B1627" s="5" t="s">
        <v>4882</v>
      </c>
      <c r="C1627" s="4">
        <v>0.0</v>
      </c>
      <c r="D1627" s="5" t="s">
        <v>4883</v>
      </c>
      <c r="E1627" s="5" t="s">
        <v>4884</v>
      </c>
      <c r="F1627" s="6" t="str">
        <f>IFERROR(__xludf.DUMMYFUNCTION("GOOGLETRANSLATE(D1627,""en"",""it"")"),"A lui piace la saggezza, un tipo interessante di tristezza.")</f>
        <v>A lui piace la saggezza, un tipo interessante di tristezza.</v>
      </c>
      <c r="G1627" s="6" t="str">
        <f>IFERROR(__xludf.DUMMYFUNCTION("GOOGLETRANSLATE(E1627,""fr"",""it"")"),"Posso capire la saggezza, un tipo interessante di tristezza.")</f>
        <v>Posso capire la saggezza, un tipo interessante di tristezza.</v>
      </c>
    </row>
    <row r="1628">
      <c r="A1628" s="4">
        <v>1626.0</v>
      </c>
      <c r="B1628" s="5" t="s">
        <v>4885</v>
      </c>
      <c r="C1628" s="4">
        <v>1.0</v>
      </c>
      <c r="D1628" s="5" t="s">
        <v>4886</v>
      </c>
      <c r="E1628" s="5" t="s">
        <v>4887</v>
      </c>
      <c r="F1628" s="6" t="str">
        <f>IFERROR(__xludf.DUMMYFUNCTION("GOOGLETRANSLATE(D1628,""en"",""it"")"),"A lui piace la tristezza, un tipo interessante di emozione.")</f>
        <v>A lui piace la tristezza, un tipo interessante di emozione.</v>
      </c>
      <c r="G1628" s="6" t="str">
        <f>IFERROR(__xludf.DUMMYFUNCTION("GOOGLETRANSLATE(E1628,""fr"",""it"")"),"Posso capire la tristezza, un tipo interessante di emozione.")</f>
        <v>Posso capire la tristezza, un tipo interessante di emozione.</v>
      </c>
    </row>
    <row r="1629">
      <c r="A1629" s="4">
        <v>1627.0</v>
      </c>
      <c r="B1629" s="5" t="s">
        <v>4888</v>
      </c>
      <c r="C1629" s="4">
        <v>0.0</v>
      </c>
      <c r="D1629" s="5" t="s">
        <v>4889</v>
      </c>
      <c r="E1629" s="5" t="s">
        <v>4890</v>
      </c>
      <c r="F1629" s="6" t="str">
        <f>IFERROR(__xludf.DUMMYFUNCTION("GOOGLETRANSLATE(D1629,""en"",""it"")"),"Gli piace le emozioni, un tipo interessante di tristezza.")</f>
        <v>Gli piace le emozioni, un tipo interessante di tristezza.</v>
      </c>
      <c r="G1629" s="6" t="str">
        <f>IFERROR(__xludf.DUMMYFUNCTION("GOOGLETRANSLATE(E1629,""fr"",""it"")"),"Posso capire le emozioni, un tipo interessante di tristezza.")</f>
        <v>Posso capire le emozioni, un tipo interessante di tristezza.</v>
      </c>
    </row>
    <row r="1630">
      <c r="A1630" s="4">
        <v>1628.0</v>
      </c>
      <c r="B1630" s="5" t="s">
        <v>4891</v>
      </c>
      <c r="C1630" s="4">
        <v>0.0</v>
      </c>
      <c r="D1630" s="5" t="s">
        <v>4892</v>
      </c>
      <c r="E1630" s="5" t="s">
        <v>4893</v>
      </c>
      <c r="F1630" s="6" t="str">
        <f>IFERROR(__xludf.DUMMYFUNCTION("GOOGLETRANSLATE(D1630,""en"",""it"")"),"A lui piace la tristezza, un tipo interessante di stupidità.")</f>
        <v>A lui piace la tristezza, un tipo interessante di stupidità.</v>
      </c>
      <c r="G1630" s="6" t="str">
        <f>IFERROR(__xludf.DUMMYFUNCTION("GOOGLETRANSLATE(E1630,""fr"",""it"")"),"Posso capire la tristezza, un tipo interessante di stupidità.")</f>
        <v>Posso capire la tristezza, un tipo interessante di stupidità.</v>
      </c>
    </row>
    <row r="1631">
      <c r="A1631" s="4">
        <v>1629.0</v>
      </c>
      <c r="B1631" s="5" t="s">
        <v>4894</v>
      </c>
      <c r="C1631" s="4">
        <v>0.0</v>
      </c>
      <c r="D1631" s="5" t="s">
        <v>4895</v>
      </c>
      <c r="E1631" s="5" t="s">
        <v>4896</v>
      </c>
      <c r="F1631" s="6" t="str">
        <f>IFERROR(__xludf.DUMMYFUNCTION("GOOGLETRANSLATE(D1631,""en"",""it"")"),"A lui piace la stupidità, un tipo interessante di tristezza.")</f>
        <v>A lui piace la stupidità, un tipo interessante di tristezza.</v>
      </c>
      <c r="G1631" s="6" t="str">
        <f>IFERROR(__xludf.DUMMYFUNCTION("GOOGLETRANSLATE(E1631,""fr"",""it"")"),"Posso capire la stupidità, un interessante tipo di tristezza.")</f>
        <v>Posso capire la stupidità, un interessante tipo di tristezza.</v>
      </c>
    </row>
    <row r="1632">
      <c r="A1632" s="4">
        <v>1630.0</v>
      </c>
      <c r="B1632" s="5" t="s">
        <v>4897</v>
      </c>
      <c r="C1632" s="4">
        <v>0.0</v>
      </c>
      <c r="D1632" s="5" t="s">
        <v>4898</v>
      </c>
      <c r="E1632" s="5" t="s">
        <v>4899</v>
      </c>
      <c r="F1632" s="6" t="str">
        <f>IFERROR(__xludf.DUMMYFUNCTION("GOOGLETRANSLATE(D1632,""en"",""it"")"),"A lui piace la tristezza, un tipo interessante di logica.")</f>
        <v>A lui piace la tristezza, un tipo interessante di logica.</v>
      </c>
      <c r="G1632" s="6" t="str">
        <f>IFERROR(__xludf.DUMMYFUNCTION("GOOGLETRANSLATE(E1632,""fr"",""it"")"),"Posso capire la tristezza, un tipo interessante di logica.")</f>
        <v>Posso capire la tristezza, un tipo interessante di logica.</v>
      </c>
    </row>
    <row r="1633">
      <c r="A1633" s="4">
        <v>1631.0</v>
      </c>
      <c r="B1633" s="5" t="s">
        <v>4900</v>
      </c>
      <c r="C1633" s="4">
        <v>0.0</v>
      </c>
      <c r="D1633" s="5" t="s">
        <v>4901</v>
      </c>
      <c r="E1633" s="5" t="s">
        <v>4902</v>
      </c>
      <c r="F1633" s="6" t="str">
        <f>IFERROR(__xludf.DUMMYFUNCTION("GOOGLETRANSLATE(D1633,""en"",""it"")"),"A lui piace la logica, un tipo interessante di tristezza.")</f>
        <v>A lui piace la logica, un tipo interessante di tristezza.</v>
      </c>
      <c r="G1633" s="6" t="str">
        <f>IFERROR(__xludf.DUMMYFUNCTION("GOOGLETRANSLATE(E1633,""fr"",""it"")"),"Posso capire la logica, un tipo interessante di tristezza.")</f>
        <v>Posso capire la logica, un tipo interessante di tristezza.</v>
      </c>
    </row>
    <row r="1634">
      <c r="A1634" s="4">
        <v>1632.0</v>
      </c>
      <c r="B1634" s="5" t="s">
        <v>4903</v>
      </c>
      <c r="C1634" s="4">
        <v>0.0</v>
      </c>
      <c r="D1634" s="5" t="s">
        <v>4904</v>
      </c>
      <c r="E1634" s="5" t="s">
        <v>4905</v>
      </c>
      <c r="F1634" s="6" t="str">
        <f>IFERROR(__xludf.DUMMYFUNCTION("GOOGLETRANSLATE(D1634,""en"",""it"")"),"A lui piace la tristezza, un tipo di calcolo interessante.")</f>
        <v>A lui piace la tristezza, un tipo di calcolo interessante.</v>
      </c>
      <c r="G1634" s="6" t="str">
        <f>IFERROR(__xludf.DUMMYFUNCTION("GOOGLETRANSLATE(E1634,""fr"",""it"")"),"Posso capire la tristezza, un tipo interessante di calcolo.")</f>
        <v>Posso capire la tristezza, un tipo interessante di calcolo.</v>
      </c>
    </row>
    <row r="1635">
      <c r="A1635" s="4">
        <v>1633.0</v>
      </c>
      <c r="B1635" s="5" t="s">
        <v>4906</v>
      </c>
      <c r="C1635" s="4">
        <v>0.0</v>
      </c>
      <c r="D1635" s="5" t="s">
        <v>4907</v>
      </c>
      <c r="E1635" s="5" t="s">
        <v>4908</v>
      </c>
      <c r="F1635" s="6" t="str">
        <f>IFERROR(__xludf.DUMMYFUNCTION("GOOGLETRANSLATE(D1635,""en"",""it"")"),"Gli piace i calcoli, un tipo interessante di tristezza.")</f>
        <v>Gli piace i calcoli, un tipo interessante di tristezza.</v>
      </c>
      <c r="G1635" s="6" t="str">
        <f>IFERROR(__xludf.DUMMYFUNCTION("GOOGLETRANSLATE(E1635,""fr"",""it"")"),"Posso capire i calcoli, un tipo interessante di tristezza.")</f>
        <v>Posso capire i calcoli, un tipo interessante di tristezza.</v>
      </c>
    </row>
    <row r="1636">
      <c r="A1636" s="4">
        <v>1634.0</v>
      </c>
      <c r="B1636" s="5" t="s">
        <v>4909</v>
      </c>
      <c r="C1636" s="4">
        <v>0.0</v>
      </c>
      <c r="D1636" s="5" t="s">
        <v>4910</v>
      </c>
      <c r="E1636" s="5" t="s">
        <v>4911</v>
      </c>
      <c r="F1636" s="6" t="str">
        <f>IFERROR(__xludf.DUMMYFUNCTION("GOOGLETRANSLATE(D1636,""en"",""it"")"),"Mi piacciono i libri di testo, un tipo di musica interessante.")</f>
        <v>Mi piacciono i libri di testo, un tipo di musica interessante.</v>
      </c>
      <c r="G1636" s="6" t="str">
        <f>IFERROR(__xludf.DUMMYFUNCTION("GOOGLETRANSLATE(E1636,""fr"",""it"")"),"Mi piacciono i libri di testo, un tipo di musica interessante.")</f>
        <v>Mi piacciono i libri di testo, un tipo di musica interessante.</v>
      </c>
    </row>
    <row r="1637">
      <c r="A1637" s="4">
        <v>1635.0</v>
      </c>
      <c r="B1637" s="5" t="s">
        <v>4912</v>
      </c>
      <c r="C1637" s="4">
        <v>0.0</v>
      </c>
      <c r="D1637" s="5" t="s">
        <v>4913</v>
      </c>
      <c r="E1637" s="5" t="s">
        <v>4914</v>
      </c>
      <c r="F1637" s="6" t="str">
        <f>IFERROR(__xludf.DUMMYFUNCTION("GOOGLETRANSLATE(D1637,""en"",""it"")"),"Mi piace la musica, un tipo di testo interessante di testo.")</f>
        <v>Mi piace la musica, un tipo di testo interessante di testo.</v>
      </c>
      <c r="G1637" s="6" t="str">
        <f>IFERROR(__xludf.DUMMYFUNCTION("GOOGLETRANSLATE(E1637,""fr"",""it"")"),"Mi piace la musica, un tipo interessante di manuale scolastico.")</f>
        <v>Mi piace la musica, un tipo interessante di manuale scolastico.</v>
      </c>
    </row>
    <row r="1638">
      <c r="A1638" s="4">
        <v>1636.0</v>
      </c>
      <c r="B1638" s="5" t="s">
        <v>4915</v>
      </c>
      <c r="C1638" s="4">
        <v>1.0</v>
      </c>
      <c r="D1638" s="5" t="s">
        <v>4916</v>
      </c>
      <c r="E1638" s="5" t="s">
        <v>4917</v>
      </c>
      <c r="F1638" s="6" t="str">
        <f>IFERROR(__xludf.DUMMYFUNCTION("GOOGLETRANSLATE(D1638,""en"",""it"")"),"Mi piacciono i libri di testo, un tipo di libro interessante.")</f>
        <v>Mi piacciono i libri di testo, un tipo di libro interessante.</v>
      </c>
      <c r="G1638" s="6" t="str">
        <f>IFERROR(__xludf.DUMMYFUNCTION("GOOGLETRANSLATE(E1638,""fr"",""it"")"),"Mi piacciono i libri di testo, un tipo di libro interessante.")</f>
        <v>Mi piacciono i libri di testo, un tipo di libro interessante.</v>
      </c>
    </row>
    <row r="1639">
      <c r="A1639" s="4">
        <v>1637.0</v>
      </c>
      <c r="B1639" s="5" t="s">
        <v>4918</v>
      </c>
      <c r="C1639" s="4">
        <v>0.0</v>
      </c>
      <c r="D1639" s="5" t="s">
        <v>4919</v>
      </c>
      <c r="E1639" s="5" t="s">
        <v>4920</v>
      </c>
      <c r="F1639" s="6" t="str">
        <f>IFERROR(__xludf.DUMMYFUNCTION("GOOGLETRANSLATE(D1639,""en"",""it"")"),"Mi piacciono i libri, un tipo di testo interessante di testo.")</f>
        <v>Mi piacciono i libri, un tipo di testo interessante di testo.</v>
      </c>
      <c r="G1639" s="6" t="str">
        <f>IFERROR(__xludf.DUMMYFUNCTION("GOOGLETRANSLATE(E1639,""fr"",""it"")"),"Mi piacciono i libri, un tipo interessante di manuale scolastico.")</f>
        <v>Mi piacciono i libri, un tipo interessante di manuale scolastico.</v>
      </c>
    </row>
    <row r="1640">
      <c r="A1640" s="4">
        <v>1638.0</v>
      </c>
      <c r="B1640" s="5" t="s">
        <v>4921</v>
      </c>
      <c r="C1640" s="4">
        <v>0.0</v>
      </c>
      <c r="D1640" s="5" t="s">
        <v>4922</v>
      </c>
      <c r="E1640" s="5" t="s">
        <v>4923</v>
      </c>
      <c r="F1640" s="6" t="str">
        <f>IFERROR(__xludf.DUMMYFUNCTION("GOOGLETRANSLATE(D1640,""en"",""it"")"),"Mi piacciono i libri, un tipo di musica interessante.")</f>
        <v>Mi piacciono i libri, un tipo di musica interessante.</v>
      </c>
      <c r="G1640" s="6" t="str">
        <f>IFERROR(__xludf.DUMMYFUNCTION("GOOGLETRANSLATE(E1640,""fr"",""it"")"),"Mi piacciono i libri, un tipo di musica interessante.")</f>
        <v>Mi piacciono i libri, un tipo di musica interessante.</v>
      </c>
    </row>
    <row r="1641">
      <c r="A1641" s="4">
        <v>1639.0</v>
      </c>
      <c r="B1641" s="5" t="s">
        <v>4924</v>
      </c>
      <c r="C1641" s="4">
        <v>0.0</v>
      </c>
      <c r="D1641" s="5" t="s">
        <v>4925</v>
      </c>
      <c r="E1641" s="5" t="s">
        <v>4926</v>
      </c>
      <c r="F1641" s="6" t="str">
        <f>IFERROR(__xludf.DUMMYFUNCTION("GOOGLETRANSLATE(D1641,""en"",""it"")"),"Mi piacciono i libri di testo, un tipo di film interessante.")</f>
        <v>Mi piacciono i libri di testo, un tipo di film interessante.</v>
      </c>
      <c r="G1641" s="6" t="str">
        <f>IFERROR(__xludf.DUMMYFUNCTION("GOOGLETRANSLATE(E1641,""fr"",""it"")"),"Mi piacciono i libri di testo, un tipo di cinema interessante.")</f>
        <v>Mi piacciono i libri di testo, un tipo di cinema interessante.</v>
      </c>
    </row>
    <row r="1642">
      <c r="A1642" s="4">
        <v>1640.0</v>
      </c>
      <c r="B1642" s="5" t="s">
        <v>4927</v>
      </c>
      <c r="C1642" s="4">
        <v>0.0</v>
      </c>
      <c r="D1642" s="5" t="s">
        <v>4928</v>
      </c>
      <c r="E1642" s="5" t="s">
        <v>4929</v>
      </c>
      <c r="F1642" s="6" t="str">
        <f>IFERROR(__xludf.DUMMYFUNCTION("GOOGLETRANSLATE(D1642,""en"",""it"")"),"Mi piacciono i film, un tipo di libro di testo interessante.")</f>
        <v>Mi piacciono i film, un tipo di libro di testo interessante.</v>
      </c>
      <c r="G1642" s="6" t="str">
        <f>IFERROR(__xludf.DUMMYFUNCTION("GOOGLETRANSLATE(E1642,""fr"",""it"")"),"Adoro il cinema, un tipo interessante di manuale scolastico.")</f>
        <v>Adoro il cinema, un tipo interessante di manuale scolastico.</v>
      </c>
    </row>
    <row r="1643">
      <c r="A1643" s="4">
        <v>1641.0</v>
      </c>
      <c r="B1643" s="5" t="s">
        <v>4930</v>
      </c>
      <c r="C1643" s="4">
        <v>0.0</v>
      </c>
      <c r="D1643" s="5" t="s">
        <v>4931</v>
      </c>
      <c r="E1643" s="5" t="s">
        <v>4932</v>
      </c>
      <c r="F1643" s="6" t="str">
        <f>IFERROR(__xludf.DUMMYFUNCTION("GOOGLETRANSLATE(D1643,""en"",""it"")"),"Mi piacciono i libri, un tipo di film interessante.")</f>
        <v>Mi piacciono i libri, un tipo di film interessante.</v>
      </c>
      <c r="G1643" s="6" t="str">
        <f>IFERROR(__xludf.DUMMYFUNCTION("GOOGLETRANSLATE(E1643,""fr"",""it"")"),"Mi piacciono i libri, un tipo di cinema interessante.")</f>
        <v>Mi piacciono i libri, un tipo di cinema interessante.</v>
      </c>
    </row>
    <row r="1644">
      <c r="A1644" s="4">
        <v>1642.0</v>
      </c>
      <c r="B1644" s="5" t="s">
        <v>4933</v>
      </c>
      <c r="C1644" s="4">
        <v>0.0</v>
      </c>
      <c r="D1644" s="5" t="s">
        <v>4934</v>
      </c>
      <c r="E1644" s="5" t="s">
        <v>4935</v>
      </c>
      <c r="F1644" s="6" t="str">
        <f>IFERROR(__xludf.DUMMYFUNCTION("GOOGLETRANSLATE(D1644,""en"",""it"")"),"Mi piacciono i libri di testo, un tipo interessante di cartoni animati.")</f>
        <v>Mi piacciono i libri di testo, un tipo interessante di cartoni animati.</v>
      </c>
      <c r="G1644" s="6" t="str">
        <f>IFERROR(__xludf.DUMMYFUNCTION("GOOGLETRANSLATE(E1644,""fr"",""it"")"),"Mi piacciono i libri di testo, un tipo interessante di cartoni animati.")</f>
        <v>Mi piacciono i libri di testo, un tipo interessante di cartoni animati.</v>
      </c>
    </row>
    <row r="1645">
      <c r="A1645" s="4">
        <v>1643.0</v>
      </c>
      <c r="B1645" s="5" t="s">
        <v>4936</v>
      </c>
      <c r="C1645" s="4">
        <v>0.0</v>
      </c>
      <c r="D1645" s="5" t="s">
        <v>4937</v>
      </c>
      <c r="E1645" s="5" t="s">
        <v>4938</v>
      </c>
      <c r="F1645" s="6" t="str">
        <f>IFERROR(__xludf.DUMMYFUNCTION("GOOGLETRANSLATE(D1645,""en"",""it"")"),"Mi piacciono i cartoni animati, un tipo di testo interessante di testo.")</f>
        <v>Mi piacciono i cartoni animati, un tipo di testo interessante di testo.</v>
      </c>
      <c r="G1645" s="6" t="str">
        <f>IFERROR(__xludf.DUMMYFUNCTION("GOOGLETRANSLATE(E1645,""fr"",""it"")"),"Mi piacciono i cartoni animati, un tipo interessante di manuale scolastico.")</f>
        <v>Mi piacciono i cartoni animati, un tipo interessante di manuale scolastico.</v>
      </c>
    </row>
    <row r="1646">
      <c r="A1646" s="4">
        <v>1644.0</v>
      </c>
      <c r="B1646" s="5" t="s">
        <v>4939</v>
      </c>
      <c r="C1646" s="4">
        <v>0.0</v>
      </c>
      <c r="D1646" s="5" t="s">
        <v>4940</v>
      </c>
      <c r="E1646" s="5" t="s">
        <v>4941</v>
      </c>
      <c r="F1646" s="6" t="str">
        <f>IFERROR(__xludf.DUMMYFUNCTION("GOOGLETRANSLATE(D1646,""en"",""it"")"),"Mi piacciono i libri, un tipo interessante di cartoni animati.")</f>
        <v>Mi piacciono i libri, un tipo interessante di cartoni animati.</v>
      </c>
      <c r="G1646" s="6" t="str">
        <f>IFERROR(__xludf.DUMMYFUNCTION("GOOGLETRANSLATE(E1646,""fr"",""it"")"),"Mi piacciono i libri, un tipo interessante di cartoni animati.")</f>
        <v>Mi piacciono i libri, un tipo interessante di cartoni animati.</v>
      </c>
    </row>
    <row r="1647">
      <c r="A1647" s="4">
        <v>1645.0</v>
      </c>
      <c r="B1647" s="5" t="s">
        <v>4942</v>
      </c>
      <c r="C1647" s="4">
        <v>0.0</v>
      </c>
      <c r="D1647" s="5" t="s">
        <v>4943</v>
      </c>
      <c r="E1647" s="5" t="s">
        <v>4944</v>
      </c>
      <c r="F1647" s="6" t="str">
        <f>IFERROR(__xludf.DUMMYFUNCTION("GOOGLETRANSLATE(D1647,""en"",""it"")"),"Mi piacciono i libri di testo, un tipo interessante di pittura.")</f>
        <v>Mi piacciono i libri di testo, un tipo interessante di pittura.</v>
      </c>
      <c r="G1647" s="6" t="str">
        <f>IFERROR(__xludf.DUMMYFUNCTION("GOOGLETRANSLATE(E1647,""fr"",""it"")"),"Mi piacciono i libri di testo scolastici, un tipo interessante di pittura.")</f>
        <v>Mi piacciono i libri di testo scolastici, un tipo interessante di pittura.</v>
      </c>
    </row>
    <row r="1648">
      <c r="A1648" s="4">
        <v>1646.0</v>
      </c>
      <c r="B1648" s="5" t="s">
        <v>4945</v>
      </c>
      <c r="C1648" s="4">
        <v>0.0</v>
      </c>
      <c r="D1648" s="5" t="s">
        <v>4946</v>
      </c>
      <c r="E1648" s="5" t="s">
        <v>4947</v>
      </c>
      <c r="F1648" s="6" t="str">
        <f>IFERROR(__xludf.DUMMYFUNCTION("GOOGLETRANSLATE(D1648,""en"",""it"")"),"Mi piacciono i dipinti, un tipo di testo interessante di testo.")</f>
        <v>Mi piacciono i dipinti, un tipo di testo interessante di testo.</v>
      </c>
      <c r="G1648" s="6" t="str">
        <f>IFERROR(__xludf.DUMMYFUNCTION("GOOGLETRANSLATE(E1648,""fr"",""it"")"),"Amo i dipinti, un tipo interessante di manuale scolastico.")</f>
        <v>Amo i dipinti, un tipo interessante di manuale scolastico.</v>
      </c>
    </row>
    <row r="1649">
      <c r="A1649" s="4">
        <v>1647.0</v>
      </c>
      <c r="B1649" s="5" t="s">
        <v>4948</v>
      </c>
      <c r="C1649" s="4">
        <v>0.0</v>
      </c>
      <c r="D1649" s="5" t="s">
        <v>4949</v>
      </c>
      <c r="E1649" s="5" t="s">
        <v>4950</v>
      </c>
      <c r="F1649" s="6" t="str">
        <f>IFERROR(__xludf.DUMMYFUNCTION("GOOGLETRANSLATE(D1649,""en"",""it"")"),"Mi piacciono i libri, un tipo interessante di pittura.")</f>
        <v>Mi piacciono i libri, un tipo interessante di pittura.</v>
      </c>
      <c r="G1649" s="6" t="str">
        <f>IFERROR(__xludf.DUMMYFUNCTION("GOOGLETRANSLATE(E1649,""fr"",""it"")"),"Mi piacciono i libri, un tipo interessante di pittura.")</f>
        <v>Mi piacciono i libri, un tipo interessante di pittura.</v>
      </c>
    </row>
    <row r="1650">
      <c r="A1650" s="4">
        <v>1648.0</v>
      </c>
      <c r="B1650" s="5" t="s">
        <v>4951</v>
      </c>
      <c r="C1650" s="4">
        <v>0.0</v>
      </c>
      <c r="D1650" s="5" t="s">
        <v>4952</v>
      </c>
      <c r="E1650" s="5" t="s">
        <v>4953</v>
      </c>
      <c r="F1650" s="6" t="str">
        <f>IFERROR(__xludf.DUMMYFUNCTION("GOOGLETRANSLATE(D1650,""en"",""it"")"),"Mi piacciono i saggi, un tipo di musica interessante.")</f>
        <v>Mi piacciono i saggi, un tipo di musica interessante.</v>
      </c>
      <c r="G1650" s="6" t="str">
        <f>IFERROR(__xludf.DUMMYFUNCTION("GOOGLETRANSLATE(E1650,""fr"",""it"")"),"Mi piacciono i test, un tipo di musica interessante.")</f>
        <v>Mi piacciono i test, un tipo di musica interessante.</v>
      </c>
    </row>
    <row r="1651">
      <c r="A1651" s="4">
        <v>1649.0</v>
      </c>
      <c r="B1651" s="5" t="s">
        <v>4954</v>
      </c>
      <c r="C1651" s="4">
        <v>0.0</v>
      </c>
      <c r="D1651" s="5" t="s">
        <v>4955</v>
      </c>
      <c r="E1651" s="5" t="s">
        <v>4956</v>
      </c>
      <c r="F1651" s="6" t="str">
        <f>IFERROR(__xludf.DUMMYFUNCTION("GOOGLETRANSLATE(D1651,""en"",""it"")"),"Mi piace la musica, un tipo di saggio interessante.")</f>
        <v>Mi piace la musica, un tipo di saggio interessante.</v>
      </c>
      <c r="G1651" s="6" t="str">
        <f>IFERROR(__xludf.DUMMYFUNCTION("GOOGLETRANSLATE(E1651,""fr"",""it"")"),"Amo la musica, un tipo di test interessante.")</f>
        <v>Amo la musica, un tipo di test interessante.</v>
      </c>
    </row>
    <row r="1652">
      <c r="A1652" s="4">
        <v>1650.0</v>
      </c>
      <c r="B1652" s="5" t="s">
        <v>4957</v>
      </c>
      <c r="C1652" s="4">
        <v>1.0</v>
      </c>
      <c r="D1652" s="5" t="s">
        <v>4958</v>
      </c>
      <c r="E1652" s="5" t="s">
        <v>4959</v>
      </c>
      <c r="F1652" s="6" t="str">
        <f>IFERROR(__xludf.DUMMYFUNCTION("GOOGLETRANSLATE(D1652,""en"",""it"")"),"Mi piacciono i saggi, un tipo di libro interessante.")</f>
        <v>Mi piacciono i saggi, un tipo di libro interessante.</v>
      </c>
      <c r="G1652" s="6" t="str">
        <f>IFERROR(__xludf.DUMMYFUNCTION("GOOGLETRANSLATE(E1652,""fr"",""it"")"),"Mi piacciono i test, un tipo di libro interessante.")</f>
        <v>Mi piacciono i test, un tipo di libro interessante.</v>
      </c>
    </row>
    <row r="1653">
      <c r="A1653" s="4">
        <v>1651.0</v>
      </c>
      <c r="B1653" s="5" t="s">
        <v>4960</v>
      </c>
      <c r="C1653" s="4">
        <v>0.0</v>
      </c>
      <c r="D1653" s="5" t="s">
        <v>4961</v>
      </c>
      <c r="E1653" s="5" t="s">
        <v>4962</v>
      </c>
      <c r="F1653" s="6" t="str">
        <f>IFERROR(__xludf.DUMMYFUNCTION("GOOGLETRANSLATE(D1653,""en"",""it"")"),"Mi piacciono i libri, un tipo di saggio interessante.")</f>
        <v>Mi piacciono i libri, un tipo di saggio interessante.</v>
      </c>
      <c r="G1653" s="6" t="str">
        <f>IFERROR(__xludf.DUMMYFUNCTION("GOOGLETRANSLATE(E1653,""fr"",""it"")"),"Mi piacciono i libri, un tipo di test interessante.")</f>
        <v>Mi piacciono i libri, un tipo di test interessante.</v>
      </c>
    </row>
    <row r="1654">
      <c r="A1654" s="4">
        <v>1652.0</v>
      </c>
      <c r="B1654" s="5" t="s">
        <v>4963</v>
      </c>
      <c r="C1654" s="4">
        <v>0.0</v>
      </c>
      <c r="D1654" s="5" t="s">
        <v>4964</v>
      </c>
      <c r="E1654" s="5" t="s">
        <v>4965</v>
      </c>
      <c r="F1654" s="6" t="str">
        <f>IFERROR(__xludf.DUMMYFUNCTION("GOOGLETRANSLATE(D1654,""en"",""it"")"),"Mi piacciono i saggi, un tipo di film interessante.")</f>
        <v>Mi piacciono i saggi, un tipo di film interessante.</v>
      </c>
      <c r="G1654" s="6" t="str">
        <f>IFERROR(__xludf.DUMMYFUNCTION("GOOGLETRANSLATE(E1654,""fr"",""it"")"),"Mi piacciono i test, un tipo di cinema interessante.")</f>
        <v>Mi piacciono i test, un tipo di cinema interessante.</v>
      </c>
    </row>
    <row r="1655">
      <c r="A1655" s="4">
        <v>1653.0</v>
      </c>
      <c r="B1655" s="5" t="s">
        <v>4966</v>
      </c>
      <c r="C1655" s="4">
        <v>0.0</v>
      </c>
      <c r="D1655" s="5" t="s">
        <v>4967</v>
      </c>
      <c r="E1655" s="5" t="s">
        <v>4968</v>
      </c>
      <c r="F1655" s="6" t="str">
        <f>IFERROR(__xludf.DUMMYFUNCTION("GOOGLETRANSLATE(D1655,""en"",""it"")"),"Mi piacciono i film, un tipo di saggio interessante.")</f>
        <v>Mi piacciono i film, un tipo di saggio interessante.</v>
      </c>
      <c r="G1655" s="6" t="str">
        <f>IFERROR(__xludf.DUMMYFUNCTION("GOOGLETRANSLATE(E1655,""fr"",""it"")"),"Amo il cinema, un tipo di test interessante.")</f>
        <v>Amo il cinema, un tipo di test interessante.</v>
      </c>
    </row>
    <row r="1656">
      <c r="A1656" s="4">
        <v>1654.0</v>
      </c>
      <c r="B1656" s="5" t="s">
        <v>4969</v>
      </c>
      <c r="C1656" s="4">
        <v>0.0</v>
      </c>
      <c r="D1656" s="5" t="s">
        <v>4970</v>
      </c>
      <c r="E1656" s="5" t="s">
        <v>4971</v>
      </c>
      <c r="F1656" s="6" t="str">
        <f>IFERROR(__xludf.DUMMYFUNCTION("GOOGLETRANSLATE(D1656,""en"",""it"")"),"Mi piacciono i saggi, un tipo di cartone animato interessante.")</f>
        <v>Mi piacciono i saggi, un tipo di cartone animato interessante.</v>
      </c>
      <c r="G1656" s="6" t="str">
        <f>IFERROR(__xludf.DUMMYFUNCTION("GOOGLETRANSLATE(E1656,""fr"",""it"")"),"Mi piacciono i test, un tipo interessante di cartoni animati.")</f>
        <v>Mi piacciono i test, un tipo interessante di cartoni animati.</v>
      </c>
    </row>
    <row r="1657">
      <c r="A1657" s="4">
        <v>1655.0</v>
      </c>
      <c r="B1657" s="5" t="s">
        <v>4972</v>
      </c>
      <c r="C1657" s="4">
        <v>0.0</v>
      </c>
      <c r="D1657" s="5" t="s">
        <v>4973</v>
      </c>
      <c r="E1657" s="5" t="s">
        <v>4974</v>
      </c>
      <c r="F1657" s="6" t="str">
        <f>IFERROR(__xludf.DUMMYFUNCTION("GOOGLETRANSLATE(D1657,""en"",""it"")"),"Mi piacciono i cartoni animati, un tipo di saggio interessante.")</f>
        <v>Mi piacciono i cartoni animati, un tipo di saggio interessante.</v>
      </c>
      <c r="G1657" s="6" t="str">
        <f>IFERROR(__xludf.DUMMYFUNCTION("GOOGLETRANSLATE(E1657,""fr"",""it"")"),"Mi piacciono i cartoni animati, un tipo di test interessante.")</f>
        <v>Mi piacciono i cartoni animati, un tipo di test interessante.</v>
      </c>
    </row>
    <row r="1658">
      <c r="A1658" s="4">
        <v>1656.0</v>
      </c>
      <c r="B1658" s="5" t="s">
        <v>4975</v>
      </c>
      <c r="C1658" s="4">
        <v>0.0</v>
      </c>
      <c r="D1658" s="5" t="s">
        <v>4976</v>
      </c>
      <c r="E1658" s="5" t="s">
        <v>4977</v>
      </c>
      <c r="F1658" s="6" t="str">
        <f>IFERROR(__xludf.DUMMYFUNCTION("GOOGLETRANSLATE(D1658,""en"",""it"")"),"Mi piacciono i saggi, un tipo interessante di pittura.")</f>
        <v>Mi piacciono i saggi, un tipo interessante di pittura.</v>
      </c>
      <c r="G1658" s="6" t="str">
        <f>IFERROR(__xludf.DUMMYFUNCTION("GOOGLETRANSLATE(E1658,""fr"",""it"")"),"Mi piacciono i test, un tipo interessante di pittura.")</f>
        <v>Mi piacciono i test, un tipo interessante di pittura.</v>
      </c>
    </row>
    <row r="1659">
      <c r="A1659" s="4">
        <v>1657.0</v>
      </c>
      <c r="B1659" s="5" t="s">
        <v>4978</v>
      </c>
      <c r="C1659" s="4">
        <v>0.0</v>
      </c>
      <c r="D1659" s="5" t="s">
        <v>4979</v>
      </c>
      <c r="E1659" s="5" t="s">
        <v>4980</v>
      </c>
      <c r="F1659" s="6" t="str">
        <f>IFERROR(__xludf.DUMMYFUNCTION("GOOGLETRANSLATE(D1659,""en"",""it"")"),"Mi piacciono i dipinti, un tipo di saggio interessante.")</f>
        <v>Mi piacciono i dipinti, un tipo di saggio interessante.</v>
      </c>
      <c r="G1659" s="6" t="str">
        <f>IFERROR(__xludf.DUMMYFUNCTION("GOOGLETRANSLATE(E1659,""fr"",""it"")"),"Amo i dipinti, un tipo di test interessante.")</f>
        <v>Amo i dipinti, un tipo di test interessante.</v>
      </c>
    </row>
    <row r="1660">
      <c r="A1660" s="4">
        <v>1658.0</v>
      </c>
      <c r="B1660" s="5" t="s">
        <v>4981</v>
      </c>
      <c r="C1660" s="4">
        <v>0.0</v>
      </c>
      <c r="D1660" s="5" t="s">
        <v>4982</v>
      </c>
      <c r="E1660" s="5" t="s">
        <v>4983</v>
      </c>
      <c r="F1660" s="6" t="str">
        <f>IFERROR(__xludf.DUMMYFUNCTION("GOOGLETRANSLATE(D1660,""en"",""it"")"),"Mi piacciono i Blackbirds, tranne i criceti.")</f>
        <v>Mi piacciono i Blackbirds, tranne i criceti.</v>
      </c>
      <c r="G1660" s="6" t="str">
        <f>IFERROR(__xludf.DUMMYFUNCTION("GOOGLETRANSLATE(E1660,""fr"",""it"")"),"Adoro i neri, tranne i criceti.")</f>
        <v>Adoro i neri, tranne i criceti.</v>
      </c>
    </row>
    <row r="1661">
      <c r="A1661" s="4">
        <v>1659.0</v>
      </c>
      <c r="B1661" s="5" t="s">
        <v>4984</v>
      </c>
      <c r="C1661" s="4">
        <v>0.0</v>
      </c>
      <c r="D1661" s="5" t="s">
        <v>4985</v>
      </c>
      <c r="E1661" s="5" t="s">
        <v>4986</v>
      </c>
      <c r="F1661" s="6" t="str">
        <f>IFERROR(__xludf.DUMMYFUNCTION("GOOGLETRANSLATE(D1661,""en"",""it"")"),"Mi piacciono i romanzi, un tipo di musica interessante.")</f>
        <v>Mi piacciono i romanzi, un tipo di musica interessante.</v>
      </c>
      <c r="G1661" s="6" t="str">
        <f>IFERROR(__xludf.DUMMYFUNCTION("GOOGLETRANSLATE(E1661,""fr"",""it"")"),"Amo i romanzi, un tipo di musica interessante.")</f>
        <v>Amo i romanzi, un tipo di musica interessante.</v>
      </c>
    </row>
    <row r="1662">
      <c r="A1662" s="4">
        <v>1660.0</v>
      </c>
      <c r="B1662" s="5" t="s">
        <v>4987</v>
      </c>
      <c r="C1662" s="4">
        <v>0.0</v>
      </c>
      <c r="D1662" s="5" t="s">
        <v>4988</v>
      </c>
      <c r="E1662" s="5" t="s">
        <v>4989</v>
      </c>
      <c r="F1662" s="6" t="str">
        <f>IFERROR(__xludf.DUMMYFUNCTION("GOOGLETRANSLATE(D1662,""en"",""it"")"),"Mi piace la musica, un tipo interessante di romanzo.")</f>
        <v>Mi piace la musica, un tipo interessante di romanzo.</v>
      </c>
      <c r="G1662" s="6" t="str">
        <f>IFERROR(__xludf.DUMMYFUNCTION("GOOGLETRANSLATE(E1662,""fr"",""it"")"),"Amo la musica, un ragazzo interessante di Roman.")</f>
        <v>Amo la musica, un ragazzo interessante di Roman.</v>
      </c>
    </row>
    <row r="1663">
      <c r="A1663" s="4">
        <v>1661.0</v>
      </c>
      <c r="B1663" s="5" t="s">
        <v>4990</v>
      </c>
      <c r="C1663" s="4">
        <v>1.0</v>
      </c>
      <c r="D1663" s="5" t="s">
        <v>4991</v>
      </c>
      <c r="E1663" s="5" t="s">
        <v>4992</v>
      </c>
      <c r="F1663" s="6" t="str">
        <f>IFERROR(__xludf.DUMMYFUNCTION("GOOGLETRANSLATE(D1663,""en"",""it"")"),"Mi piacciono i romanzi, un tipo di libro interessante.")</f>
        <v>Mi piacciono i romanzi, un tipo di libro interessante.</v>
      </c>
      <c r="G1663" s="6" t="str">
        <f>IFERROR(__xludf.DUMMYFUNCTION("GOOGLETRANSLATE(E1663,""fr"",""it"")"),"Amo i romanzi, un ragazzo interessante di libro.")</f>
        <v>Amo i romanzi, un ragazzo interessante di libro.</v>
      </c>
    </row>
    <row r="1664">
      <c r="A1664" s="4">
        <v>1662.0</v>
      </c>
      <c r="B1664" s="5" t="s">
        <v>4993</v>
      </c>
      <c r="C1664" s="4">
        <v>0.0</v>
      </c>
      <c r="D1664" s="5" t="s">
        <v>4994</v>
      </c>
      <c r="E1664" s="5" t="s">
        <v>4995</v>
      </c>
      <c r="F1664" s="6" t="str">
        <f>IFERROR(__xludf.DUMMYFUNCTION("GOOGLETRANSLATE(D1664,""en"",""it"")"),"Mi piacciono i libri, un tipo interessante di romanzo.")</f>
        <v>Mi piacciono i libri, un tipo interessante di romanzo.</v>
      </c>
      <c r="G1664" s="6" t="str">
        <f>IFERROR(__xludf.DUMMYFUNCTION("GOOGLETRANSLATE(E1664,""fr"",""it"")"),"Mi piacciono i libri, un tipo interessante di romanzo.")</f>
        <v>Mi piacciono i libri, un tipo interessante di romanzo.</v>
      </c>
    </row>
    <row r="1665">
      <c r="A1665" s="4">
        <v>1663.0</v>
      </c>
      <c r="B1665" s="5" t="s">
        <v>4996</v>
      </c>
      <c r="C1665" s="4">
        <v>0.0</v>
      </c>
      <c r="D1665" s="5" t="s">
        <v>4997</v>
      </c>
      <c r="E1665" s="5" t="s">
        <v>4998</v>
      </c>
      <c r="F1665" s="6" t="str">
        <f>IFERROR(__xludf.DUMMYFUNCTION("GOOGLETRANSLATE(D1665,""en"",""it"")"),"Mi piacciono i romanzi, un tipo di film interessante.")</f>
        <v>Mi piacciono i romanzi, un tipo di film interessante.</v>
      </c>
      <c r="G1665" s="6" t="str">
        <f>IFERROR(__xludf.DUMMYFUNCTION("GOOGLETRANSLATE(E1665,""fr"",""it"")"),"Amo i romanzi, un tipo di cinema interessante.")</f>
        <v>Amo i romanzi, un tipo di cinema interessante.</v>
      </c>
    </row>
    <row r="1666">
      <c r="A1666" s="4">
        <v>1664.0</v>
      </c>
      <c r="B1666" s="5" t="s">
        <v>4999</v>
      </c>
      <c r="C1666" s="4">
        <v>0.0</v>
      </c>
      <c r="D1666" s="5" t="s">
        <v>5000</v>
      </c>
      <c r="E1666" s="5" t="s">
        <v>5001</v>
      </c>
      <c r="F1666" s="6" t="str">
        <f>IFERROR(__xludf.DUMMYFUNCTION("GOOGLETRANSLATE(D1666,""en"",""it"")"),"Mi piacciono i film, un tipo interessante di romanzo.")</f>
        <v>Mi piacciono i film, un tipo interessante di romanzo.</v>
      </c>
      <c r="G1666" s="6" t="str">
        <f>IFERROR(__xludf.DUMMYFUNCTION("GOOGLETRANSLATE(E1666,""fr"",""it"")"),"Amo il cinema, un ragazzo interessante di Roman.")</f>
        <v>Amo il cinema, un ragazzo interessante di Roman.</v>
      </c>
    </row>
    <row r="1667">
      <c r="A1667" s="4">
        <v>1665.0</v>
      </c>
      <c r="B1667" s="5" t="s">
        <v>5002</v>
      </c>
      <c r="C1667" s="4">
        <v>0.0</v>
      </c>
      <c r="D1667" s="5" t="s">
        <v>5003</v>
      </c>
      <c r="E1667" s="5" t="s">
        <v>5004</v>
      </c>
      <c r="F1667" s="6" t="str">
        <f>IFERROR(__xludf.DUMMYFUNCTION("GOOGLETRANSLATE(D1667,""en"",""it"")"),"Mi piacciono i romanzi, un tipo di cartone animato interessante.")</f>
        <v>Mi piacciono i romanzi, un tipo di cartone animato interessante.</v>
      </c>
      <c r="G1667" s="6" t="str">
        <f>IFERROR(__xludf.DUMMYFUNCTION("GOOGLETRANSLATE(E1667,""fr"",""it"")"),"Amo i romanzi, un tipo interessante di cartoni animati.")</f>
        <v>Amo i romanzi, un tipo interessante di cartoni animati.</v>
      </c>
    </row>
    <row r="1668">
      <c r="A1668" s="4">
        <v>1666.0</v>
      </c>
      <c r="B1668" s="5" t="s">
        <v>5005</v>
      </c>
      <c r="C1668" s="4">
        <v>0.0</v>
      </c>
      <c r="D1668" s="5" t="s">
        <v>5006</v>
      </c>
      <c r="E1668" s="5" t="s">
        <v>5007</v>
      </c>
      <c r="F1668" s="6" t="str">
        <f>IFERROR(__xludf.DUMMYFUNCTION("GOOGLETRANSLATE(D1668,""en"",""it"")"),"Mi piacciono i cartoni animati, un tipo interessante di romanzo.")</f>
        <v>Mi piacciono i cartoni animati, un tipo interessante di romanzo.</v>
      </c>
      <c r="G1668" s="6" t="str">
        <f>IFERROR(__xludf.DUMMYFUNCTION("GOOGLETRANSLATE(E1668,""fr"",""it"")"),"Mi piacciono i cartoni animati, un tipo interessante di romanzo.")</f>
        <v>Mi piacciono i cartoni animati, un tipo interessante di romanzo.</v>
      </c>
    </row>
    <row r="1669">
      <c r="A1669" s="4">
        <v>1667.0</v>
      </c>
      <c r="B1669" s="5" t="s">
        <v>5008</v>
      </c>
      <c r="C1669" s="4">
        <v>0.0</v>
      </c>
      <c r="D1669" s="5" t="s">
        <v>5009</v>
      </c>
      <c r="E1669" s="5" t="s">
        <v>5010</v>
      </c>
      <c r="F1669" s="6" t="str">
        <f>IFERROR(__xludf.DUMMYFUNCTION("GOOGLETRANSLATE(D1669,""en"",""it"")"),"Mi piacciono i romanzi, un tipo interessante di pittura.")</f>
        <v>Mi piacciono i romanzi, un tipo interessante di pittura.</v>
      </c>
      <c r="G1669" s="6" t="str">
        <f>IFERROR(__xludf.DUMMYFUNCTION("GOOGLETRANSLATE(E1669,""fr"",""it"")"),"Amo i romanzi, un tipo interessante di pittura.")</f>
        <v>Amo i romanzi, un tipo interessante di pittura.</v>
      </c>
    </row>
    <row r="1670">
      <c r="A1670" s="4">
        <v>1668.0</v>
      </c>
      <c r="B1670" s="5" t="s">
        <v>5011</v>
      </c>
      <c r="C1670" s="4">
        <v>0.0</v>
      </c>
      <c r="D1670" s="5" t="s">
        <v>5012</v>
      </c>
      <c r="E1670" s="5" t="s">
        <v>5013</v>
      </c>
      <c r="F1670" s="6" t="str">
        <f>IFERROR(__xludf.DUMMYFUNCTION("GOOGLETRANSLATE(D1670,""en"",""it"")"),"Mi piacciono i dipinti, un tipo interessante di romanzo.")</f>
        <v>Mi piacciono i dipinti, un tipo interessante di romanzo.</v>
      </c>
      <c r="G1670" s="6" t="str">
        <f>IFERROR(__xludf.DUMMYFUNCTION("GOOGLETRANSLATE(E1670,""fr"",""it"")"),"Amo i dipinti, un ragazzo interessante di Roman.")</f>
        <v>Amo i dipinti, un ragazzo interessante di Roman.</v>
      </c>
    </row>
    <row r="1671">
      <c r="A1671" s="4">
        <v>1669.0</v>
      </c>
      <c r="B1671" s="5" t="s">
        <v>5014</v>
      </c>
      <c r="C1671" s="4">
        <v>0.0</v>
      </c>
      <c r="D1671" s="5" t="s">
        <v>5015</v>
      </c>
      <c r="E1671" s="5" t="s">
        <v>5016</v>
      </c>
      <c r="F1671" s="6" t="str">
        <f>IFERROR(__xludf.DUMMYFUNCTION("GOOGLETRANSLATE(D1671,""en"",""it"")"),"Mi piacciono i manuali, un tipo di musica interessante.")</f>
        <v>Mi piacciono i manuali, un tipo di musica interessante.</v>
      </c>
      <c r="G1671" s="6" t="str">
        <f>IFERROR(__xludf.DUMMYFUNCTION("GOOGLETRANSLATE(E1671,""fr"",""it"")"),"Mi piacciono i manuali, un tipo di musica interessante.")</f>
        <v>Mi piacciono i manuali, un tipo di musica interessante.</v>
      </c>
    </row>
    <row r="1672">
      <c r="A1672" s="4">
        <v>1670.0</v>
      </c>
      <c r="B1672" s="5" t="s">
        <v>5017</v>
      </c>
      <c r="C1672" s="4">
        <v>0.0</v>
      </c>
      <c r="D1672" s="5" t="s">
        <v>5018</v>
      </c>
      <c r="E1672" s="5" t="s">
        <v>5019</v>
      </c>
      <c r="F1672" s="6" t="str">
        <f>IFERROR(__xludf.DUMMYFUNCTION("GOOGLETRANSLATE(D1672,""en"",""it"")"),"Mi piace la musica, un tipo di manuale interessante.")</f>
        <v>Mi piace la musica, un tipo di manuale interessante.</v>
      </c>
      <c r="G1672" s="6" t="str">
        <f>IFERROR(__xludf.DUMMYFUNCTION("GOOGLETRANSLATE(E1672,""fr"",""it"")"),"Mi piace la musica, un tipo di manuale interessante.")</f>
        <v>Mi piace la musica, un tipo di manuale interessante.</v>
      </c>
    </row>
    <row r="1673">
      <c r="A1673" s="4">
        <v>1671.0</v>
      </c>
      <c r="B1673" s="5" t="s">
        <v>5020</v>
      </c>
      <c r="C1673" s="4">
        <v>1.0</v>
      </c>
      <c r="D1673" s="5" t="s">
        <v>5021</v>
      </c>
      <c r="E1673" s="5" t="s">
        <v>5022</v>
      </c>
      <c r="F1673" s="6" t="str">
        <f>IFERROR(__xludf.DUMMYFUNCTION("GOOGLETRANSLATE(D1673,""en"",""it"")"),"Mi piacciono i manuali, un tipo di libro interessante.")</f>
        <v>Mi piacciono i manuali, un tipo di libro interessante.</v>
      </c>
      <c r="G1673" s="6" t="str">
        <f>IFERROR(__xludf.DUMMYFUNCTION("GOOGLETRANSLATE(E1673,""fr"",""it"")"),"Mi piacciono i manuali, un tipo di libro interessante.")</f>
        <v>Mi piacciono i manuali, un tipo di libro interessante.</v>
      </c>
    </row>
    <row r="1674">
      <c r="A1674" s="4">
        <v>1672.0</v>
      </c>
      <c r="B1674" s="5" t="s">
        <v>5023</v>
      </c>
      <c r="C1674" s="4">
        <v>0.0</v>
      </c>
      <c r="D1674" s="5" t="s">
        <v>5024</v>
      </c>
      <c r="E1674" s="5" t="s">
        <v>5025</v>
      </c>
      <c r="F1674" s="6" t="str">
        <f>IFERROR(__xludf.DUMMYFUNCTION("GOOGLETRANSLATE(D1674,""en"",""it"")"),"Mi piacciono i libri, un tipo di manuale interessante.")</f>
        <v>Mi piacciono i libri, un tipo di manuale interessante.</v>
      </c>
      <c r="G1674" s="6" t="str">
        <f>IFERROR(__xludf.DUMMYFUNCTION("GOOGLETRANSLATE(E1674,""fr"",""it"")"),"Mi piacciono i libri, un tipo interessante di manuale.")</f>
        <v>Mi piacciono i libri, un tipo interessante di manuale.</v>
      </c>
    </row>
    <row r="1675">
      <c r="A1675" s="4">
        <v>1673.0</v>
      </c>
      <c r="B1675" s="5" t="s">
        <v>5026</v>
      </c>
      <c r="C1675" s="4">
        <v>0.0</v>
      </c>
      <c r="D1675" s="5" t="s">
        <v>5027</v>
      </c>
      <c r="E1675" s="5" t="s">
        <v>5028</v>
      </c>
      <c r="F1675" s="6" t="str">
        <f>IFERROR(__xludf.DUMMYFUNCTION("GOOGLETRANSLATE(D1675,""en"",""it"")"),"Mi piacciono i manuali, un tipo di film interessante.")</f>
        <v>Mi piacciono i manuali, un tipo di film interessante.</v>
      </c>
      <c r="G1675" s="6" t="str">
        <f>IFERROR(__xludf.DUMMYFUNCTION("GOOGLETRANSLATE(E1675,""fr"",""it"")"),"Mi piacciono i manuali, un tipo di cinema interessante.")</f>
        <v>Mi piacciono i manuali, un tipo di cinema interessante.</v>
      </c>
    </row>
    <row r="1676">
      <c r="A1676" s="4">
        <v>1674.0</v>
      </c>
      <c r="B1676" s="5" t="s">
        <v>5029</v>
      </c>
      <c r="C1676" s="4">
        <v>0.0</v>
      </c>
      <c r="D1676" s="5" t="s">
        <v>5030</v>
      </c>
      <c r="E1676" s="5" t="s">
        <v>5031</v>
      </c>
      <c r="F1676" s="6" t="str">
        <f>IFERROR(__xludf.DUMMYFUNCTION("GOOGLETRANSLATE(D1676,""en"",""it"")"),"Mi piacciono i film, un tipo di manuale interessante.")</f>
        <v>Mi piacciono i film, un tipo di manuale interessante.</v>
      </c>
      <c r="G1676" s="6" t="str">
        <f>IFERROR(__xludf.DUMMYFUNCTION("GOOGLETRANSLATE(E1676,""fr"",""it"")"),"Adoro il cinema, un tipo di manuale interessante.")</f>
        <v>Adoro il cinema, un tipo di manuale interessante.</v>
      </c>
    </row>
    <row r="1677">
      <c r="A1677" s="4">
        <v>1675.0</v>
      </c>
      <c r="B1677" s="5" t="s">
        <v>5032</v>
      </c>
      <c r="C1677" s="4">
        <v>0.0</v>
      </c>
      <c r="D1677" s="5" t="s">
        <v>5033</v>
      </c>
      <c r="E1677" s="5" t="s">
        <v>5034</v>
      </c>
      <c r="F1677" s="6" t="str">
        <f>IFERROR(__xludf.DUMMYFUNCTION("GOOGLETRANSLATE(D1677,""en"",""it"")"),"Mi piacciono i manuali, un tipo interessante di cartoni animati.")</f>
        <v>Mi piacciono i manuali, un tipo interessante di cartoni animati.</v>
      </c>
      <c r="G1677" s="6" t="str">
        <f>IFERROR(__xludf.DUMMYFUNCTION("GOOGLETRANSLATE(E1677,""fr"",""it"")"),"Mi piacciono i manuali, un tipo interessante di cartoni animati.")</f>
        <v>Mi piacciono i manuali, un tipo interessante di cartoni animati.</v>
      </c>
    </row>
    <row r="1678">
      <c r="A1678" s="4">
        <v>1676.0</v>
      </c>
      <c r="B1678" s="5" t="s">
        <v>5035</v>
      </c>
      <c r="C1678" s="4">
        <v>0.0</v>
      </c>
      <c r="D1678" s="5" t="s">
        <v>5036</v>
      </c>
      <c r="E1678" s="5" t="s">
        <v>5037</v>
      </c>
      <c r="F1678" s="6" t="str">
        <f>IFERROR(__xludf.DUMMYFUNCTION("GOOGLETRANSLATE(D1678,""en"",""it"")"),"Mi piacciono i cartoni animati, un tipo di manuale interessante.")</f>
        <v>Mi piacciono i cartoni animati, un tipo di manuale interessante.</v>
      </c>
      <c r="G1678" s="6" t="str">
        <f>IFERROR(__xludf.DUMMYFUNCTION("GOOGLETRANSLATE(E1678,""fr"",""it"")"),"Mi piacciono i cartoni animati, un tipo interessante di manuale.")</f>
        <v>Mi piacciono i cartoni animati, un tipo interessante di manuale.</v>
      </c>
    </row>
    <row r="1679">
      <c r="A1679" s="4">
        <v>1677.0</v>
      </c>
      <c r="B1679" s="5" t="s">
        <v>5038</v>
      </c>
      <c r="C1679" s="4">
        <v>0.0</v>
      </c>
      <c r="D1679" s="5" t="s">
        <v>5039</v>
      </c>
      <c r="E1679" s="5" t="s">
        <v>5040</v>
      </c>
      <c r="F1679" s="6" t="str">
        <f>IFERROR(__xludf.DUMMYFUNCTION("GOOGLETRANSLATE(D1679,""en"",""it"")"),"Mi piacciono i manuali, un tipo interessante di pittura.")</f>
        <v>Mi piacciono i manuali, un tipo interessante di pittura.</v>
      </c>
      <c r="G1679" s="6" t="str">
        <f>IFERROR(__xludf.DUMMYFUNCTION("GOOGLETRANSLATE(E1679,""fr"",""it"")"),"Mi piacciono i manuali, un tipo interessante di pittura.")</f>
        <v>Mi piacciono i manuali, un tipo interessante di pittura.</v>
      </c>
    </row>
    <row r="1680">
      <c r="A1680" s="4">
        <v>1678.0</v>
      </c>
      <c r="B1680" s="5" t="s">
        <v>5041</v>
      </c>
      <c r="C1680" s="4">
        <v>0.0</v>
      </c>
      <c r="D1680" s="5" t="s">
        <v>5042</v>
      </c>
      <c r="E1680" s="5" t="s">
        <v>5043</v>
      </c>
      <c r="F1680" s="6" t="str">
        <f>IFERROR(__xludf.DUMMYFUNCTION("GOOGLETRANSLATE(D1680,""en"",""it"")"),"Mi piacciono i dipinti, un tipo di manuale interessante.")</f>
        <v>Mi piacciono i dipinti, un tipo di manuale interessante.</v>
      </c>
      <c r="G1680" s="6" t="str">
        <f>IFERROR(__xludf.DUMMYFUNCTION("GOOGLETRANSLATE(E1680,""fr"",""it"")"),"Amo i dipinti, un ragazzo interessante a Manuel.")</f>
        <v>Amo i dipinti, un ragazzo interessante a Manuel.</v>
      </c>
    </row>
    <row r="1681">
      <c r="A1681" s="4">
        <v>1679.0</v>
      </c>
      <c r="B1681" s="5" t="s">
        <v>5044</v>
      </c>
      <c r="C1681" s="4">
        <v>0.0</v>
      </c>
      <c r="D1681" s="5" t="s">
        <v>5045</v>
      </c>
      <c r="E1681" s="5" t="s">
        <v>5046</v>
      </c>
      <c r="F1681" s="6" t="str">
        <f>IFERROR(__xludf.DUMMYFUNCTION("GOOGLETRANSLATE(D1681,""en"",""it"")"),"Mi piacciono i criceti, tranne i nebubi.")</f>
        <v>Mi piacciono i criceti, tranne i nebubi.</v>
      </c>
      <c r="G1681" s="6" t="str">
        <f>IFERROR(__xludf.DUMMYFUNCTION("GOOGLETRANSLATE(E1681,""fr"",""it"")"),"Mi piacciono i criceti, tranne i muoi.")</f>
        <v>Mi piacciono i criceti, tranne i muoi.</v>
      </c>
    </row>
    <row r="1682">
      <c r="A1682" s="4">
        <v>1680.0</v>
      </c>
      <c r="B1682" s="5" t="s">
        <v>5047</v>
      </c>
      <c r="C1682" s="4">
        <v>0.0</v>
      </c>
      <c r="D1682" s="5" t="s">
        <v>5048</v>
      </c>
      <c r="E1682" s="5" t="s">
        <v>5049</v>
      </c>
      <c r="F1682" s="6" t="str">
        <f>IFERROR(__xludf.DUMMYFUNCTION("GOOGLETRANSLATE(D1682,""en"",""it"")"),"Mi piacciono gli impiegati, un tipo interessante di fabbrica.")</f>
        <v>Mi piacciono gli impiegati, un tipo interessante di fabbrica.</v>
      </c>
      <c r="G1682" s="6" t="str">
        <f>IFERROR(__xludf.DUMMYFUNCTION("GOOGLETRANSLATE(E1682,""fr"",""it"")"),"Mi piacciono gli impiegati, un tipo interessante di fabbrica.")</f>
        <v>Mi piacciono gli impiegati, un tipo interessante di fabbrica.</v>
      </c>
    </row>
    <row r="1683">
      <c r="A1683" s="4">
        <v>1681.0</v>
      </c>
      <c r="B1683" s="5" t="s">
        <v>5050</v>
      </c>
      <c r="C1683" s="4">
        <v>0.0</v>
      </c>
      <c r="D1683" s="5" t="s">
        <v>5051</v>
      </c>
      <c r="E1683" s="5" t="s">
        <v>5052</v>
      </c>
      <c r="F1683" s="6" t="str">
        <f>IFERROR(__xludf.DUMMYFUNCTION("GOOGLETRANSLATE(D1683,""en"",""it"")"),"Mi piacciono le fabbriche, un tipo di impiegato interessante.")</f>
        <v>Mi piacciono le fabbriche, un tipo di impiegato interessante.</v>
      </c>
      <c r="G1683" s="6" t="str">
        <f>IFERROR(__xludf.DUMMYFUNCTION("GOOGLETRANSLATE(E1683,""fr"",""it"")"),"Mi piacciono le fabbriche, un tipo di impiegato interessante.")</f>
        <v>Mi piacciono le fabbriche, un tipo di impiegato interessante.</v>
      </c>
    </row>
    <row r="1684">
      <c r="A1684" s="4">
        <v>1682.0</v>
      </c>
      <c r="B1684" s="5" t="s">
        <v>5053</v>
      </c>
      <c r="C1684" s="4">
        <v>1.0</v>
      </c>
      <c r="D1684" s="5" t="s">
        <v>5054</v>
      </c>
      <c r="E1684" s="5" t="s">
        <v>5055</v>
      </c>
      <c r="F1684" s="6" t="str">
        <f>IFERROR(__xludf.DUMMYFUNCTION("GOOGLETRANSLATE(D1684,""en"",""it"")"),"Mi piacciono gli impiegati, un tipo interessante di lavoratore.")</f>
        <v>Mi piacciono gli impiegati, un tipo interessante di lavoratore.</v>
      </c>
      <c r="G1684" s="6" t="str">
        <f>IFERROR(__xludf.DUMMYFUNCTION("GOOGLETRANSLATE(E1684,""fr"",""it"")"),"Mi piacciono gli impiegati, un tipo interessante di lavoratore.")</f>
        <v>Mi piacciono gli impiegati, un tipo interessante di lavoratore.</v>
      </c>
    </row>
    <row r="1685">
      <c r="A1685" s="4">
        <v>1683.0</v>
      </c>
      <c r="B1685" s="5" t="s">
        <v>5056</v>
      </c>
      <c r="C1685" s="4">
        <v>0.0</v>
      </c>
      <c r="D1685" s="5" t="s">
        <v>5057</v>
      </c>
      <c r="E1685" s="5" t="s">
        <v>5058</v>
      </c>
      <c r="F1685" s="6" t="str">
        <f>IFERROR(__xludf.DUMMYFUNCTION("GOOGLETRANSLATE(D1685,""en"",""it"")"),"Mi piacciono i lavoratori, un tipo di impiegato interessante.")</f>
        <v>Mi piacciono i lavoratori, un tipo di impiegato interessante.</v>
      </c>
      <c r="G1685" s="6" t="str">
        <f>IFERROR(__xludf.DUMMYFUNCTION("GOOGLETRANSLATE(E1685,""fr"",""it"")"),"Amo i lavoratori, un tipo di impiegato interessante.")</f>
        <v>Amo i lavoratori, un tipo di impiegato interessante.</v>
      </c>
    </row>
    <row r="1686">
      <c r="A1686" s="4">
        <v>1684.0</v>
      </c>
      <c r="B1686" s="5" t="s">
        <v>5059</v>
      </c>
      <c r="C1686" s="4">
        <v>0.0</v>
      </c>
      <c r="D1686" s="5" t="s">
        <v>5060</v>
      </c>
      <c r="E1686" s="5" t="s">
        <v>5061</v>
      </c>
      <c r="F1686" s="6" t="str">
        <f>IFERROR(__xludf.DUMMYFUNCTION("GOOGLETRANSLATE(D1686,""en"",""it"")"),"Mi piacciono i lavoratori, un tipo interessante di fabbrica.")</f>
        <v>Mi piacciono i lavoratori, un tipo interessante di fabbrica.</v>
      </c>
      <c r="G1686" s="6" t="str">
        <f>IFERROR(__xludf.DUMMYFUNCTION("GOOGLETRANSLATE(E1686,""fr"",""it"")"),"Amo i lavoratori, un tipo interessante di fabbrica.")</f>
        <v>Amo i lavoratori, un tipo interessante di fabbrica.</v>
      </c>
    </row>
    <row r="1687">
      <c r="A1687" s="4">
        <v>1685.0</v>
      </c>
      <c r="B1687" s="5" t="s">
        <v>5062</v>
      </c>
      <c r="C1687" s="4">
        <v>0.0</v>
      </c>
      <c r="D1687" s="5" t="s">
        <v>5063</v>
      </c>
      <c r="E1687" s="5" t="s">
        <v>5064</v>
      </c>
      <c r="F1687" s="6" t="str">
        <f>IFERROR(__xludf.DUMMYFUNCTION("GOOGLETRANSLATE(D1687,""en"",""it"")"),"Mi piacciono gli impiegati, un interessante tipo di ristorante.")</f>
        <v>Mi piacciono gli impiegati, un interessante tipo di ristorante.</v>
      </c>
      <c r="G1687" s="6" t="str">
        <f>IFERROR(__xludf.DUMMYFUNCTION("GOOGLETRANSLATE(E1687,""fr"",""it"")"),"Mi piacciono gli impiegati, un interessante tipo di ristorante.")</f>
        <v>Mi piacciono gli impiegati, un interessante tipo di ristorante.</v>
      </c>
    </row>
    <row r="1688">
      <c r="A1688" s="4">
        <v>1686.0</v>
      </c>
      <c r="B1688" s="5" t="s">
        <v>5065</v>
      </c>
      <c r="C1688" s="4">
        <v>0.0</v>
      </c>
      <c r="D1688" s="5" t="s">
        <v>5066</v>
      </c>
      <c r="E1688" s="5" t="s">
        <v>5067</v>
      </c>
      <c r="F1688" s="6" t="str">
        <f>IFERROR(__xludf.DUMMYFUNCTION("GOOGLETRANSLATE(D1688,""en"",""it"")"),"Mi piacciono i ristoranti, un tipo di impiegato interessante.")</f>
        <v>Mi piacciono i ristoranti, un tipo di impiegato interessante.</v>
      </c>
      <c r="G1688" s="6" t="str">
        <f>IFERROR(__xludf.DUMMYFUNCTION("GOOGLETRANSLATE(E1688,""fr"",""it"")"),"Amo i ristoranti, un tipo di impiegato interessante.")</f>
        <v>Amo i ristoranti, un tipo di impiegato interessante.</v>
      </c>
    </row>
    <row r="1689">
      <c r="A1689" s="4">
        <v>1687.0</v>
      </c>
      <c r="B1689" s="5" t="s">
        <v>5068</v>
      </c>
      <c r="C1689" s="4">
        <v>0.0</v>
      </c>
      <c r="D1689" s="5" t="s">
        <v>5069</v>
      </c>
      <c r="E1689" s="5" t="s">
        <v>5070</v>
      </c>
      <c r="F1689" s="6" t="str">
        <f>IFERROR(__xludf.DUMMYFUNCTION("GOOGLETRANSLATE(D1689,""en"",""it"")"),"Mi piacciono i lavoratori, un tipo di ristorante interessante.")</f>
        <v>Mi piacciono i lavoratori, un tipo di ristorante interessante.</v>
      </c>
      <c r="G1689" s="6" t="str">
        <f>IFERROR(__xludf.DUMMYFUNCTION("GOOGLETRANSLATE(E1689,""fr"",""it"")"),"Amo i lavoratori, un tipo di ristorante interessante.")</f>
        <v>Amo i lavoratori, un tipo di ristorante interessante.</v>
      </c>
    </row>
    <row r="1690">
      <c r="A1690" s="4">
        <v>1688.0</v>
      </c>
      <c r="B1690" s="5" t="s">
        <v>5071</v>
      </c>
      <c r="C1690" s="4">
        <v>0.0</v>
      </c>
      <c r="D1690" s="5" t="s">
        <v>5072</v>
      </c>
      <c r="E1690" s="5" t="s">
        <v>5073</v>
      </c>
      <c r="F1690" s="6" t="str">
        <f>IFERROR(__xludf.DUMMYFUNCTION("GOOGLETRANSLATE(D1690,""en"",""it"")"),"Mi piacciono gli impiegati, un tipo interessante di scuola.")</f>
        <v>Mi piacciono gli impiegati, un tipo interessante di scuola.</v>
      </c>
      <c r="G1690" s="6" t="str">
        <f>IFERROR(__xludf.DUMMYFUNCTION("GOOGLETRANSLATE(E1690,""fr"",""it"")"),"Mi piacciono gli impiegati, un tipo interessante di scuola.")</f>
        <v>Mi piacciono gli impiegati, un tipo interessante di scuola.</v>
      </c>
    </row>
    <row r="1691">
      <c r="A1691" s="4">
        <v>1689.0</v>
      </c>
      <c r="B1691" s="5" t="s">
        <v>5074</v>
      </c>
      <c r="C1691" s="4">
        <v>0.0</v>
      </c>
      <c r="D1691" s="5" t="s">
        <v>5075</v>
      </c>
      <c r="E1691" s="5" t="s">
        <v>5076</v>
      </c>
      <c r="F1691" s="6" t="str">
        <f>IFERROR(__xludf.DUMMYFUNCTION("GOOGLETRANSLATE(D1691,""en"",""it"")"),"Mi piacciono le scuole, un tipo di impiegato interessante.")</f>
        <v>Mi piacciono le scuole, un tipo di impiegato interessante.</v>
      </c>
      <c r="G1691" s="6" t="str">
        <f>IFERROR(__xludf.DUMMYFUNCTION("GOOGLETRANSLATE(E1691,""fr"",""it"")"),"Adoro le scuole, un tipo di impiegato interessante.")</f>
        <v>Adoro le scuole, un tipo di impiegato interessante.</v>
      </c>
    </row>
    <row r="1692">
      <c r="A1692" s="4">
        <v>1690.0</v>
      </c>
      <c r="B1692" s="5" t="s">
        <v>5077</v>
      </c>
      <c r="C1692" s="4">
        <v>0.0</v>
      </c>
      <c r="D1692" s="5" t="s">
        <v>5078</v>
      </c>
      <c r="E1692" s="5" t="s">
        <v>5079</v>
      </c>
      <c r="F1692" s="6" t="str">
        <f>IFERROR(__xludf.DUMMYFUNCTION("GOOGLETRANSLATE(D1692,""en"",""it"")"),"Mi piacciono i lavoratori, un tipo interessante di scuola.")</f>
        <v>Mi piacciono i lavoratori, un tipo interessante di scuola.</v>
      </c>
      <c r="G1692" s="6" t="str">
        <f>IFERROR(__xludf.DUMMYFUNCTION("GOOGLETRANSLATE(E1692,""fr"",""it"")"),"Amo i lavoratori, un tipo interessante di scuola.")</f>
        <v>Amo i lavoratori, un tipo interessante di scuola.</v>
      </c>
    </row>
    <row r="1693">
      <c r="A1693" s="4">
        <v>1691.0</v>
      </c>
      <c r="B1693" s="5" t="s">
        <v>5080</v>
      </c>
      <c r="C1693" s="4">
        <v>0.0</v>
      </c>
      <c r="D1693" s="5" t="s">
        <v>5081</v>
      </c>
      <c r="E1693" s="5" t="s">
        <v>5082</v>
      </c>
      <c r="F1693" s="6" t="str">
        <f>IFERROR(__xludf.DUMMYFUNCTION("GOOGLETRANSLATE(D1693,""en"",""it"")"),"Mi piacciono gli impiegati, un tipo di ufficio interessante.")</f>
        <v>Mi piacciono gli impiegati, un tipo di ufficio interessante.</v>
      </c>
      <c r="G1693" s="6" t="str">
        <f>IFERROR(__xludf.DUMMYFUNCTION("GOOGLETRANSLATE(E1693,""fr"",""it"")"),"Mi piacciono gli impiegati, un tipo di ufficio interessante.")</f>
        <v>Mi piacciono gli impiegati, un tipo di ufficio interessante.</v>
      </c>
    </row>
    <row r="1694">
      <c r="A1694" s="4">
        <v>1692.0</v>
      </c>
      <c r="B1694" s="5" t="s">
        <v>5083</v>
      </c>
      <c r="C1694" s="4">
        <v>0.0</v>
      </c>
      <c r="D1694" s="5" t="s">
        <v>5084</v>
      </c>
      <c r="E1694" s="5" t="s">
        <v>5085</v>
      </c>
      <c r="F1694" s="6" t="str">
        <f>IFERROR(__xludf.DUMMYFUNCTION("GOOGLETRANSLATE(D1694,""en"",""it"")"),"Mi piacciono gli uffici, un tipo di impiegato interessante.")</f>
        <v>Mi piacciono gli uffici, un tipo di impiegato interessante.</v>
      </c>
      <c r="G1694" s="6" t="str">
        <f>IFERROR(__xludf.DUMMYFUNCTION("GOOGLETRANSLATE(E1694,""fr"",""it"")"),"Adoro gli uffici, un tipo di impiegato interessante.")</f>
        <v>Adoro gli uffici, un tipo di impiegato interessante.</v>
      </c>
    </row>
    <row r="1695">
      <c r="A1695" s="4">
        <v>1693.0</v>
      </c>
      <c r="B1695" s="5" t="s">
        <v>5086</v>
      </c>
      <c r="C1695" s="4">
        <v>0.0</v>
      </c>
      <c r="D1695" s="5" t="s">
        <v>5087</v>
      </c>
      <c r="E1695" s="5" t="s">
        <v>5088</v>
      </c>
      <c r="F1695" s="6" t="str">
        <f>IFERROR(__xludf.DUMMYFUNCTION("GOOGLETRANSLATE(D1695,""en"",""it"")"),"Mi piacciono i lavoratori, un tipo di ufficio interessante.")</f>
        <v>Mi piacciono i lavoratori, un tipo di ufficio interessante.</v>
      </c>
      <c r="G1695" s="6" t="str">
        <f>IFERROR(__xludf.DUMMYFUNCTION("GOOGLETRANSLATE(E1695,""fr"",""it"")"),"Amo i lavoratori, un tipo di ufficio interessante.")</f>
        <v>Amo i lavoratori, un tipo di ufficio interessante.</v>
      </c>
    </row>
    <row r="1696">
      <c r="A1696" s="4">
        <v>1694.0</v>
      </c>
      <c r="B1696" s="5" t="s">
        <v>5089</v>
      </c>
      <c r="C1696" s="4">
        <v>0.0</v>
      </c>
      <c r="D1696" s="5" t="s">
        <v>5090</v>
      </c>
      <c r="E1696" s="5" t="s">
        <v>5091</v>
      </c>
      <c r="F1696" s="6" t="str">
        <f>IFERROR(__xludf.DUMMYFUNCTION("GOOGLETRANSLATE(D1696,""en"",""it"")"),"Mi piacciono i camerieri, un tipo di fabbrica interessante.")</f>
        <v>Mi piacciono i camerieri, un tipo di fabbrica interessante.</v>
      </c>
      <c r="G1696" s="6" t="str">
        <f>IFERROR(__xludf.DUMMYFUNCTION("GOOGLETRANSLATE(E1696,""fr"",""it"")"),"Mi piacciono i server, un tipo interessante di fabbrica.")</f>
        <v>Mi piacciono i server, un tipo interessante di fabbrica.</v>
      </c>
    </row>
    <row r="1697">
      <c r="A1697" s="4">
        <v>1695.0</v>
      </c>
      <c r="B1697" s="5" t="s">
        <v>5092</v>
      </c>
      <c r="C1697" s="4">
        <v>0.0</v>
      </c>
      <c r="D1697" s="5" t="s">
        <v>5093</v>
      </c>
      <c r="E1697" s="5" t="s">
        <v>5094</v>
      </c>
      <c r="F1697" s="6" t="str">
        <f>IFERROR(__xludf.DUMMYFUNCTION("GOOGLETRANSLATE(D1697,""en"",""it"")"),"Mi piacciono le fabbriche, un tipo interessante di cameriere.")</f>
        <v>Mi piacciono le fabbriche, un tipo interessante di cameriere.</v>
      </c>
      <c r="G1697" s="6" t="str">
        <f>IFERROR(__xludf.DUMMYFUNCTION("GOOGLETRANSLATE(E1697,""fr"",""it"")"),"Mi piacciono le fabbriche, un tipo interessante di server.")</f>
        <v>Mi piacciono le fabbriche, un tipo interessante di server.</v>
      </c>
    </row>
    <row r="1698">
      <c r="A1698" s="4">
        <v>1696.0</v>
      </c>
      <c r="B1698" s="5" t="s">
        <v>5095</v>
      </c>
      <c r="C1698" s="4">
        <v>1.0</v>
      </c>
      <c r="D1698" s="5" t="s">
        <v>5096</v>
      </c>
      <c r="E1698" s="5" t="s">
        <v>5097</v>
      </c>
      <c r="F1698" s="6" t="str">
        <f>IFERROR(__xludf.DUMMYFUNCTION("GOOGLETRANSLATE(D1698,""en"",""it"")"),"Mi piacciono i camerieri, un tipo interessante di lavoratore.")</f>
        <v>Mi piacciono i camerieri, un tipo interessante di lavoratore.</v>
      </c>
      <c r="G1698" s="6" t="str">
        <f>IFERROR(__xludf.DUMMYFUNCTION("GOOGLETRANSLATE(E1698,""fr"",""it"")"),"Mi piacciono i server, un tipo interessante di lavoratore.")</f>
        <v>Mi piacciono i server, un tipo interessante di lavoratore.</v>
      </c>
    </row>
    <row r="1699">
      <c r="A1699" s="4">
        <v>1697.0</v>
      </c>
      <c r="B1699" s="5" t="s">
        <v>5098</v>
      </c>
      <c r="C1699" s="4">
        <v>0.0</v>
      </c>
      <c r="D1699" s="5" t="s">
        <v>5099</v>
      </c>
      <c r="E1699" s="5" t="s">
        <v>5100</v>
      </c>
      <c r="F1699" s="6" t="str">
        <f>IFERROR(__xludf.DUMMYFUNCTION("GOOGLETRANSLATE(D1699,""en"",""it"")"),"Mi piacciono i lavoratori, un tipo interessante di cameriere.")</f>
        <v>Mi piacciono i lavoratori, un tipo interessante di cameriere.</v>
      </c>
      <c r="G1699" s="6" t="str">
        <f>IFERROR(__xludf.DUMMYFUNCTION("GOOGLETRANSLATE(E1699,""fr"",""it"")"),"Adoro i lavoratori, un tipo interessante di server.")</f>
        <v>Adoro i lavoratori, un tipo interessante di server.</v>
      </c>
    </row>
    <row r="1700">
      <c r="A1700" s="4">
        <v>1698.0</v>
      </c>
      <c r="B1700" s="5" t="s">
        <v>5101</v>
      </c>
      <c r="C1700" s="4">
        <v>0.0</v>
      </c>
      <c r="D1700" s="5" t="s">
        <v>5102</v>
      </c>
      <c r="E1700" s="5" t="s">
        <v>5103</v>
      </c>
      <c r="F1700" s="6" t="str">
        <f>IFERROR(__xludf.DUMMYFUNCTION("GOOGLETRANSLATE(D1700,""en"",""it"")"),"Mi piacciono i camerieri, un tipo di ristorante interessante.")</f>
        <v>Mi piacciono i camerieri, un tipo di ristorante interessante.</v>
      </c>
      <c r="G1700" s="6" t="str">
        <f>IFERROR(__xludf.DUMMYFUNCTION("GOOGLETRANSLATE(E1700,""fr"",""it"")"),"Amo i server, un tipo interessante di ristorante.")</f>
        <v>Amo i server, un tipo interessante di ristorante.</v>
      </c>
    </row>
    <row r="1701">
      <c r="A1701" s="4">
        <v>1699.0</v>
      </c>
      <c r="B1701" s="5" t="s">
        <v>5104</v>
      </c>
      <c r="C1701" s="4">
        <v>0.0</v>
      </c>
      <c r="D1701" s="5" t="s">
        <v>5105</v>
      </c>
      <c r="E1701" s="5" t="s">
        <v>5106</v>
      </c>
      <c r="F1701" s="6" t="str">
        <f>IFERROR(__xludf.DUMMYFUNCTION("GOOGLETRANSLATE(D1701,""en"",""it"")"),"Mi piacciono i ristoranti, un interessante tipo di cameriere.")</f>
        <v>Mi piacciono i ristoranti, un interessante tipo di cameriere.</v>
      </c>
      <c r="G1701" s="6" t="str">
        <f>IFERROR(__xludf.DUMMYFUNCTION("GOOGLETRANSLATE(E1701,""fr"",""it"")"),"Mi piacciono i ristoranti, un tipo di server interessante.")</f>
        <v>Mi piacciono i ristoranti, un tipo di server interessante.</v>
      </c>
    </row>
    <row r="1702">
      <c r="A1702" s="4">
        <v>1700.0</v>
      </c>
      <c r="B1702" s="5" t="s">
        <v>5107</v>
      </c>
      <c r="C1702" s="4">
        <v>0.0</v>
      </c>
      <c r="D1702" s="5" t="s">
        <v>5108</v>
      </c>
      <c r="E1702" s="5" t="s">
        <v>5109</v>
      </c>
      <c r="F1702" s="6" t="str">
        <f>IFERROR(__xludf.DUMMYFUNCTION("GOOGLETRANSLATE(D1702,""en"",""it"")"),"Mi piacciono i camerieri, un tipo interessante di scuola.")</f>
        <v>Mi piacciono i camerieri, un tipo interessante di scuola.</v>
      </c>
      <c r="G1702" s="6" t="str">
        <f>IFERROR(__xludf.DUMMYFUNCTION("GOOGLETRANSLATE(E1702,""fr"",""it"")"),"Mi piacciono i server, un tipo interessante di scuola.")</f>
        <v>Mi piacciono i server, un tipo interessante di scuola.</v>
      </c>
    </row>
    <row r="1703">
      <c r="A1703" s="4">
        <v>1701.0</v>
      </c>
      <c r="B1703" s="5" t="s">
        <v>5110</v>
      </c>
      <c r="C1703" s="4">
        <v>0.0</v>
      </c>
      <c r="D1703" s="5" t="s">
        <v>5111</v>
      </c>
      <c r="E1703" s="5" t="s">
        <v>5112</v>
      </c>
      <c r="F1703" s="6" t="str">
        <f>IFERROR(__xludf.DUMMYFUNCTION("GOOGLETRANSLATE(D1703,""en"",""it"")"),"Mi piacciono le scuole, un tipo di cameriere interessante.")</f>
        <v>Mi piacciono le scuole, un tipo di cameriere interessante.</v>
      </c>
      <c r="G1703" s="6" t="str">
        <f>IFERROR(__xludf.DUMMYFUNCTION("GOOGLETRANSLATE(E1703,""fr"",""it"")"),"Mi piacciono le scuole, un tipo interessante di server.")</f>
        <v>Mi piacciono le scuole, un tipo interessante di server.</v>
      </c>
    </row>
    <row r="1704">
      <c r="A1704" s="4">
        <v>1702.0</v>
      </c>
      <c r="B1704" s="5" t="s">
        <v>5113</v>
      </c>
      <c r="C1704" s="4">
        <v>0.0</v>
      </c>
      <c r="D1704" s="5" t="s">
        <v>5114</v>
      </c>
      <c r="E1704" s="5" t="s">
        <v>5115</v>
      </c>
      <c r="F1704" s="6" t="str">
        <f>IFERROR(__xludf.DUMMYFUNCTION("GOOGLETRANSLATE(D1704,""en"",""it"")"),"Mi piacciono i camerieri, un tipo di ufficio interessante.")</f>
        <v>Mi piacciono i camerieri, un tipo di ufficio interessante.</v>
      </c>
      <c r="G1704" s="6" t="str">
        <f>IFERROR(__xludf.DUMMYFUNCTION("GOOGLETRANSLATE(E1704,""fr"",""it"")"),"Mi piacciono i server, un tipo di ufficio interessante.")</f>
        <v>Mi piacciono i server, un tipo di ufficio interessante.</v>
      </c>
    </row>
    <row r="1705">
      <c r="A1705" s="4">
        <v>1703.0</v>
      </c>
      <c r="B1705" s="5" t="s">
        <v>5116</v>
      </c>
      <c r="C1705" s="4">
        <v>0.0</v>
      </c>
      <c r="D1705" s="5" t="s">
        <v>5117</v>
      </c>
      <c r="E1705" s="5" t="s">
        <v>5118</v>
      </c>
      <c r="F1705" s="6" t="str">
        <f>IFERROR(__xludf.DUMMYFUNCTION("GOOGLETRANSLATE(D1705,""en"",""it"")"),"Mi piacciono gli uffici, un tipo interessante di cameriere.")</f>
        <v>Mi piacciono gli uffici, un tipo interessante di cameriere.</v>
      </c>
      <c r="G1705" s="6" t="str">
        <f>IFERROR(__xludf.DUMMYFUNCTION("GOOGLETRANSLATE(E1705,""fr"",""it"")"),"Amo gli uffici, un tipo interessante di server.")</f>
        <v>Amo gli uffici, un tipo interessante di server.</v>
      </c>
    </row>
    <row r="1706">
      <c r="A1706" s="4">
        <v>1704.0</v>
      </c>
      <c r="B1706" s="5" t="s">
        <v>5119</v>
      </c>
      <c r="C1706" s="4">
        <v>0.0</v>
      </c>
      <c r="D1706" s="5" t="s">
        <v>5120</v>
      </c>
      <c r="E1706" s="5" t="s">
        <v>5121</v>
      </c>
      <c r="F1706" s="6" t="str">
        <f>IFERROR(__xludf.DUMMYFUNCTION("GOOGLETRANSLATE(D1706,""en"",""it"")"),"Mi piacciono i custodi, un tipo interessante di fabbrica.")</f>
        <v>Mi piacciono i custodi, un tipo interessante di fabbrica.</v>
      </c>
      <c r="G1706" s="6" t="str">
        <f>IFERROR(__xludf.DUMMYFUNCTION("GOOGLETRANSLATE(E1706,""fr"",""it"")"),"Mi piacciono i guardiani, un tipo di fabbrica interessante.")</f>
        <v>Mi piacciono i guardiani, un tipo di fabbrica interessante.</v>
      </c>
    </row>
    <row r="1707">
      <c r="A1707" s="4">
        <v>1705.0</v>
      </c>
      <c r="B1707" s="5" t="s">
        <v>5122</v>
      </c>
      <c r="C1707" s="4">
        <v>0.0</v>
      </c>
      <c r="D1707" s="5" t="s">
        <v>5123</v>
      </c>
      <c r="E1707" s="5" t="s">
        <v>5124</v>
      </c>
      <c r="F1707" s="6" t="str">
        <f>IFERROR(__xludf.DUMMYFUNCTION("GOOGLETRANSLATE(D1707,""en"",""it"")"),"Mi piacciono le fabbriche, un tipo interessante di custode.")</f>
        <v>Mi piacciono le fabbriche, un tipo interessante di custode.</v>
      </c>
      <c r="G1707" s="6" t="str">
        <f>IFERROR(__xludf.DUMMYFUNCTION("GOOGLETRANSLATE(E1707,""fr"",""it"")"),"Amo le fabbriche, un tipo di guardiano interessante.")</f>
        <v>Amo le fabbriche, un tipo di guardiano interessante.</v>
      </c>
    </row>
    <row r="1708">
      <c r="A1708" s="4">
        <v>1706.0</v>
      </c>
      <c r="B1708" s="5" t="s">
        <v>5125</v>
      </c>
      <c r="C1708" s="4">
        <v>1.0</v>
      </c>
      <c r="D1708" s="5" t="s">
        <v>5126</v>
      </c>
      <c r="E1708" s="5" t="s">
        <v>5127</v>
      </c>
      <c r="F1708" s="6" t="str">
        <f>IFERROR(__xludf.DUMMYFUNCTION("GOOGLETRANSLATE(D1708,""en"",""it"")"),"Mi piacciono i custodi, un tipo di lavoratore interessante.")</f>
        <v>Mi piacciono i custodi, un tipo di lavoratore interessante.</v>
      </c>
      <c r="G1708" s="6" t="str">
        <f>IFERROR(__xludf.DUMMYFUNCTION("GOOGLETRANSLATE(E1708,""fr"",""it"")"),"Adoro le guardie, un tipo interessante di lavoratore.")</f>
        <v>Adoro le guardie, un tipo interessante di lavoratore.</v>
      </c>
    </row>
    <row r="1709">
      <c r="A1709" s="4">
        <v>1707.0</v>
      </c>
      <c r="B1709" s="5" t="s">
        <v>5128</v>
      </c>
      <c r="C1709" s="4">
        <v>0.0</v>
      </c>
      <c r="D1709" s="5" t="s">
        <v>5129</v>
      </c>
      <c r="E1709" s="5" t="s">
        <v>5130</v>
      </c>
      <c r="F1709" s="6" t="str">
        <f>IFERROR(__xludf.DUMMYFUNCTION("GOOGLETRANSLATE(D1709,""en"",""it"")"),"Mi piacciono i lavoratori, un interessante tipo di custode.")</f>
        <v>Mi piacciono i lavoratori, un interessante tipo di custode.</v>
      </c>
      <c r="G1709" s="6" t="str">
        <f>IFERROR(__xludf.DUMMYFUNCTION("GOOGLETRANSLATE(E1709,""fr"",""it"")"),"Amo i lavoratori, un tipo di guardiano interessante.")</f>
        <v>Amo i lavoratori, un tipo di guardiano interessante.</v>
      </c>
    </row>
    <row r="1710">
      <c r="A1710" s="4">
        <v>1708.0</v>
      </c>
      <c r="B1710" s="5" t="s">
        <v>5131</v>
      </c>
      <c r="C1710" s="4">
        <v>0.0</v>
      </c>
      <c r="D1710" s="5" t="s">
        <v>5132</v>
      </c>
      <c r="E1710" s="5" t="s">
        <v>5133</v>
      </c>
      <c r="F1710" s="6" t="str">
        <f>IFERROR(__xludf.DUMMYFUNCTION("GOOGLETRANSLATE(D1710,""en"",""it"")"),"Mi piacciono i custodi, un interessante tipo di ristorante.")</f>
        <v>Mi piacciono i custodi, un interessante tipo di ristorante.</v>
      </c>
      <c r="G1710" s="6" t="str">
        <f>IFERROR(__xludf.DUMMYFUNCTION("GOOGLETRANSLATE(E1710,""fr"",""it"")"),"Adoro le guardie, un interessante tipo di ristorante.")</f>
        <v>Adoro le guardie, un interessante tipo di ristorante.</v>
      </c>
    </row>
    <row r="1711">
      <c r="A1711" s="4">
        <v>1709.0</v>
      </c>
      <c r="B1711" s="5" t="s">
        <v>5134</v>
      </c>
      <c r="C1711" s="4">
        <v>0.0</v>
      </c>
      <c r="D1711" s="5" t="s">
        <v>5135</v>
      </c>
      <c r="E1711" s="5" t="s">
        <v>5136</v>
      </c>
      <c r="F1711" s="6" t="str">
        <f>IFERROR(__xludf.DUMMYFUNCTION("GOOGLETRANSLATE(D1711,""en"",""it"")"),"Mi piacciono i ristoranti, un interessante tipo di custode.")</f>
        <v>Mi piacciono i ristoranti, un interessante tipo di custode.</v>
      </c>
      <c r="G1711" s="6" t="str">
        <f>IFERROR(__xludf.DUMMYFUNCTION("GOOGLETRANSLATE(E1711,""fr"",""it"")"),"Mi piacciono i ristoranti, un tipo di guardiano interessante.")</f>
        <v>Mi piacciono i ristoranti, un tipo di guardiano interessante.</v>
      </c>
    </row>
    <row r="1712">
      <c r="A1712" s="4">
        <v>1710.0</v>
      </c>
      <c r="B1712" s="5" t="s">
        <v>5137</v>
      </c>
      <c r="C1712" s="4">
        <v>0.0</v>
      </c>
      <c r="D1712" s="5" t="s">
        <v>5138</v>
      </c>
      <c r="E1712" s="5" t="s">
        <v>5139</v>
      </c>
      <c r="F1712" s="6" t="str">
        <f>IFERROR(__xludf.DUMMYFUNCTION("GOOGLETRANSLATE(D1712,""en"",""it"")"),"Mi piacciono i custodi, un tipo interessante di scuola.")</f>
        <v>Mi piacciono i custodi, un tipo interessante di scuola.</v>
      </c>
      <c r="G1712" s="6" t="str">
        <f>IFERROR(__xludf.DUMMYFUNCTION("GOOGLETRANSLATE(E1712,""fr"",""it"")"),"Adoro le guardie, un tipo interessante di scuola.")</f>
        <v>Adoro le guardie, un tipo interessante di scuola.</v>
      </c>
    </row>
    <row r="1713">
      <c r="A1713" s="4">
        <v>1711.0</v>
      </c>
      <c r="B1713" s="5" t="s">
        <v>5140</v>
      </c>
      <c r="C1713" s="4">
        <v>0.0</v>
      </c>
      <c r="D1713" s="5" t="s">
        <v>5141</v>
      </c>
      <c r="E1713" s="5" t="s">
        <v>5142</v>
      </c>
      <c r="F1713" s="6" t="str">
        <f>IFERROR(__xludf.DUMMYFUNCTION("GOOGLETRANSLATE(D1713,""en"",""it"")"),"Mi piacciono le scuole, un tipo interessante di custode.")</f>
        <v>Mi piacciono le scuole, un tipo interessante di custode.</v>
      </c>
      <c r="G1713" s="6" t="str">
        <f>IFERROR(__xludf.DUMMYFUNCTION("GOOGLETRANSLATE(E1713,""fr"",""it"")"),"Mi piacciono le scuole, un tipo di guardiano interessante.")</f>
        <v>Mi piacciono le scuole, un tipo di guardiano interessante.</v>
      </c>
    </row>
    <row r="1714">
      <c r="A1714" s="4">
        <v>1712.0</v>
      </c>
      <c r="B1714" s="5" t="s">
        <v>5143</v>
      </c>
      <c r="C1714" s="4">
        <v>0.0</v>
      </c>
      <c r="D1714" s="5" t="s">
        <v>5144</v>
      </c>
      <c r="E1714" s="5" t="s">
        <v>5145</v>
      </c>
      <c r="F1714" s="6" t="str">
        <f>IFERROR(__xludf.DUMMYFUNCTION("GOOGLETRANSLATE(D1714,""en"",""it"")"),"Mi piacciono i custodi, un tipo di ufficio interessante.")</f>
        <v>Mi piacciono i custodi, un tipo di ufficio interessante.</v>
      </c>
      <c r="G1714" s="6" t="str">
        <f>IFERROR(__xludf.DUMMYFUNCTION("GOOGLETRANSLATE(E1714,""fr"",""it"")"),"Mi piacciono i guardiani, un tipo di ufficio interessante.")</f>
        <v>Mi piacciono i guardiani, un tipo di ufficio interessante.</v>
      </c>
    </row>
    <row r="1715">
      <c r="A1715" s="4">
        <v>1713.0</v>
      </c>
      <c r="B1715" s="5" t="s">
        <v>5146</v>
      </c>
      <c r="C1715" s="4">
        <v>0.0</v>
      </c>
      <c r="D1715" s="5" t="s">
        <v>5147</v>
      </c>
      <c r="E1715" s="5" t="s">
        <v>5148</v>
      </c>
      <c r="F1715" s="6" t="str">
        <f>IFERROR(__xludf.DUMMYFUNCTION("GOOGLETRANSLATE(D1715,""en"",""it"")"),"Mi piacciono gli uffici, un interessante tipo di custode.")</f>
        <v>Mi piacciono gli uffici, un interessante tipo di custode.</v>
      </c>
      <c r="G1715" s="6" t="str">
        <f>IFERROR(__xludf.DUMMYFUNCTION("GOOGLETRANSLATE(E1715,""fr"",""it"")"),"Adoro gli uffici, un'interessante guardia dei guardiani.")</f>
        <v>Adoro gli uffici, un'interessante guardia dei guardiani.</v>
      </c>
    </row>
    <row r="1716">
      <c r="A1716" s="4">
        <v>1714.0</v>
      </c>
      <c r="B1716" s="5" t="s">
        <v>5149</v>
      </c>
      <c r="C1716" s="4">
        <v>0.0</v>
      </c>
      <c r="D1716" s="5" t="s">
        <v>5150</v>
      </c>
      <c r="E1716" s="5" t="s">
        <v>5151</v>
      </c>
      <c r="F1716" s="6" t="str">
        <f>IFERROR(__xludf.DUMMYFUNCTION("GOOGLETRANSLATE(D1716,""en"",""it"")"),"Mi piacciono i professori, un tipo interessante di fabbrica.")</f>
        <v>Mi piacciono i professori, un tipo interessante di fabbrica.</v>
      </c>
      <c r="G1716" s="6" t="str">
        <f>IFERROR(__xludf.DUMMYFUNCTION("GOOGLETRANSLATE(E1716,""fr"",""it"")"),"Amo gli insegnanti, un tipo interessante di fabbrica.")</f>
        <v>Amo gli insegnanti, un tipo interessante di fabbrica.</v>
      </c>
    </row>
    <row r="1717">
      <c r="A1717" s="4">
        <v>1715.0</v>
      </c>
      <c r="B1717" s="5" t="s">
        <v>5152</v>
      </c>
      <c r="C1717" s="4">
        <v>0.0</v>
      </c>
      <c r="D1717" s="5" t="s">
        <v>5153</v>
      </c>
      <c r="E1717" s="5" t="s">
        <v>5154</v>
      </c>
      <c r="F1717" s="6" t="str">
        <f>IFERROR(__xludf.DUMMYFUNCTION("GOOGLETRANSLATE(D1717,""en"",""it"")"),"Mi piacciono le fabbriche, un tipo interessante di professore.")</f>
        <v>Mi piacciono le fabbriche, un tipo interessante di professore.</v>
      </c>
      <c r="G1717" s="6" t="str">
        <f>IFERROR(__xludf.DUMMYFUNCTION("GOOGLETRANSLATE(E1717,""fr"",""it"")"),"Amo le fabbriche, un tipo interessante di insegnante.")</f>
        <v>Amo le fabbriche, un tipo interessante di insegnante.</v>
      </c>
    </row>
    <row r="1718">
      <c r="A1718" s="4">
        <v>1716.0</v>
      </c>
      <c r="B1718" s="5" t="s">
        <v>5155</v>
      </c>
      <c r="C1718" s="4">
        <v>1.0</v>
      </c>
      <c r="D1718" s="5" t="s">
        <v>5156</v>
      </c>
      <c r="E1718" s="5" t="s">
        <v>5157</v>
      </c>
      <c r="F1718" s="6" t="str">
        <f>IFERROR(__xludf.DUMMYFUNCTION("GOOGLETRANSLATE(D1718,""en"",""it"")"),"Mi piacciono i professori, un tipo di lavoratore interessante.")</f>
        <v>Mi piacciono i professori, un tipo di lavoratore interessante.</v>
      </c>
      <c r="G1718" s="6" t="str">
        <f>IFERROR(__xludf.DUMMYFUNCTION("GOOGLETRANSLATE(E1718,""fr"",""it"")"),"Amo gli insegnanti, un tipo di lavoratore interessante.")</f>
        <v>Amo gli insegnanti, un tipo di lavoratore interessante.</v>
      </c>
    </row>
    <row r="1719">
      <c r="A1719" s="4">
        <v>1717.0</v>
      </c>
      <c r="B1719" s="5" t="s">
        <v>5158</v>
      </c>
      <c r="C1719" s="4">
        <v>0.0</v>
      </c>
      <c r="D1719" s="5" t="s">
        <v>5159</v>
      </c>
      <c r="E1719" s="5" t="s">
        <v>5160</v>
      </c>
      <c r="F1719" s="6" t="str">
        <f>IFERROR(__xludf.DUMMYFUNCTION("GOOGLETRANSLATE(D1719,""en"",""it"")"),"Mi piacciono i lavoratori, un tipo di professore interessante.")</f>
        <v>Mi piacciono i lavoratori, un tipo di professore interessante.</v>
      </c>
      <c r="G1719" s="6" t="str">
        <f>IFERROR(__xludf.DUMMYFUNCTION("GOOGLETRANSLATE(E1719,""fr"",""it"")"),"Amo i lavoratori, un tipo interessante di insegnante.")</f>
        <v>Amo i lavoratori, un tipo interessante di insegnante.</v>
      </c>
    </row>
    <row r="1720">
      <c r="A1720" s="4">
        <v>1718.0</v>
      </c>
      <c r="B1720" s="5" t="s">
        <v>5161</v>
      </c>
      <c r="C1720" s="4">
        <v>0.0</v>
      </c>
      <c r="D1720" s="5" t="s">
        <v>5162</v>
      </c>
      <c r="E1720" s="5" t="s">
        <v>5163</v>
      </c>
      <c r="F1720" s="6" t="str">
        <f>IFERROR(__xludf.DUMMYFUNCTION("GOOGLETRANSLATE(D1720,""en"",""it"")"),"Mi piacciono i professori, un interessante tipo di ristorante.")</f>
        <v>Mi piacciono i professori, un interessante tipo di ristorante.</v>
      </c>
      <c r="G1720" s="6" t="str">
        <f>IFERROR(__xludf.DUMMYFUNCTION("GOOGLETRANSLATE(E1720,""fr"",""it"")"),"Amo gli insegnanti, un tipo interessante di ristorante.")</f>
        <v>Amo gli insegnanti, un tipo interessante di ristorante.</v>
      </c>
    </row>
    <row r="1721">
      <c r="A1721" s="4">
        <v>1719.0</v>
      </c>
      <c r="B1721" s="5" t="s">
        <v>5164</v>
      </c>
      <c r="C1721" s="4">
        <v>0.0</v>
      </c>
      <c r="D1721" s="5" t="s">
        <v>5165</v>
      </c>
      <c r="E1721" s="5" t="s">
        <v>5166</v>
      </c>
      <c r="F1721" s="6" t="str">
        <f>IFERROR(__xludf.DUMMYFUNCTION("GOOGLETRANSLATE(D1721,""en"",""it"")"),"Mi piacciono i ristoranti, un tipo interessante di professore.")</f>
        <v>Mi piacciono i ristoranti, un tipo interessante di professore.</v>
      </c>
      <c r="G1721" s="6" t="str">
        <f>IFERROR(__xludf.DUMMYFUNCTION("GOOGLETRANSLATE(E1721,""fr"",""it"")"),"Amo i ristoranti, un tipo interessante di insegnante.")</f>
        <v>Amo i ristoranti, un tipo interessante di insegnante.</v>
      </c>
    </row>
    <row r="1722">
      <c r="A1722" s="4">
        <v>1720.0</v>
      </c>
      <c r="B1722" s="5" t="s">
        <v>5167</v>
      </c>
      <c r="C1722" s="4">
        <v>0.0</v>
      </c>
      <c r="D1722" s="5" t="s">
        <v>5168</v>
      </c>
      <c r="E1722" s="5" t="s">
        <v>5169</v>
      </c>
      <c r="F1722" s="6" t="str">
        <f>IFERROR(__xludf.DUMMYFUNCTION("GOOGLETRANSLATE(D1722,""en"",""it"")"),"Mi piacciono i professori, un tipo interessante di scuola.")</f>
        <v>Mi piacciono i professori, un tipo interessante di scuola.</v>
      </c>
      <c r="G1722" s="6" t="str">
        <f>IFERROR(__xludf.DUMMYFUNCTION("GOOGLETRANSLATE(E1722,""fr"",""it"")"),"Amo gli insegnanti, un tipo interessante di scuola.")</f>
        <v>Amo gli insegnanti, un tipo interessante di scuola.</v>
      </c>
    </row>
    <row r="1723">
      <c r="A1723" s="4">
        <v>1721.0</v>
      </c>
      <c r="B1723" s="5" t="s">
        <v>5170</v>
      </c>
      <c r="C1723" s="4">
        <v>0.0</v>
      </c>
      <c r="D1723" s="5" t="s">
        <v>5171</v>
      </c>
      <c r="E1723" s="5" t="s">
        <v>5172</v>
      </c>
      <c r="F1723" s="6" t="str">
        <f>IFERROR(__xludf.DUMMYFUNCTION("GOOGLETRANSLATE(D1723,""en"",""it"")"),"Mi piacciono le scuole, un tipo interessante di professore.")</f>
        <v>Mi piacciono le scuole, un tipo interessante di professore.</v>
      </c>
      <c r="G1723" s="6" t="str">
        <f>IFERROR(__xludf.DUMMYFUNCTION("GOOGLETRANSLATE(E1723,""fr"",""it"")"),"Amo le scuole, un tipo di insegnante interessante.")</f>
        <v>Amo le scuole, un tipo di insegnante interessante.</v>
      </c>
    </row>
    <row r="1724">
      <c r="A1724" s="4">
        <v>1722.0</v>
      </c>
      <c r="B1724" s="5" t="s">
        <v>5173</v>
      </c>
      <c r="C1724" s="4">
        <v>0.0</v>
      </c>
      <c r="D1724" s="5" t="s">
        <v>5174</v>
      </c>
      <c r="E1724" s="5" t="s">
        <v>5175</v>
      </c>
      <c r="F1724" s="6" t="str">
        <f>IFERROR(__xludf.DUMMYFUNCTION("GOOGLETRANSLATE(D1724,""en"",""it"")"),"Mi piacciono i professori, un tipo di ufficio interessante.")</f>
        <v>Mi piacciono i professori, un tipo di ufficio interessante.</v>
      </c>
      <c r="G1724" s="6" t="str">
        <f>IFERROR(__xludf.DUMMYFUNCTION("GOOGLETRANSLATE(E1724,""fr"",""it"")"),"Mi piacciono gli insegnanti, un tipo di ufficio interessante.")</f>
        <v>Mi piacciono gli insegnanti, un tipo di ufficio interessante.</v>
      </c>
    </row>
    <row r="1725">
      <c r="A1725" s="4">
        <v>1723.0</v>
      </c>
      <c r="B1725" s="5" t="s">
        <v>5176</v>
      </c>
      <c r="C1725" s="4">
        <v>0.0</v>
      </c>
      <c r="D1725" s="5" t="s">
        <v>5177</v>
      </c>
      <c r="E1725" s="5" t="s">
        <v>5178</v>
      </c>
      <c r="F1725" s="6" t="str">
        <f>IFERROR(__xludf.DUMMYFUNCTION("GOOGLETRANSLATE(D1725,""en"",""it"")"),"Mi piacciono gli uffici, un tipo interessante di professore.")</f>
        <v>Mi piacciono gli uffici, un tipo interessante di professore.</v>
      </c>
      <c r="G1725" s="6" t="str">
        <f>IFERROR(__xludf.DUMMYFUNCTION("GOOGLETRANSLATE(E1725,""fr"",""it"")"),"Adoro gli uffici, un tipo interessante di insegnante.")</f>
        <v>Adoro gli uffici, un tipo interessante di insegnante.</v>
      </c>
    </row>
    <row r="1726">
      <c r="A1726" s="4">
        <v>1724.0</v>
      </c>
      <c r="B1726" s="5" t="s">
        <v>5179</v>
      </c>
      <c r="C1726" s="4">
        <v>0.0</v>
      </c>
      <c r="D1726" s="5" t="s">
        <v>5180</v>
      </c>
      <c r="E1726" s="5" t="s">
        <v>5181</v>
      </c>
      <c r="F1726" s="6" t="str">
        <f>IFERROR(__xludf.DUMMYFUNCTION("GOOGLETRANSLATE(D1726,""en"",""it"")"),"Ho incontrato biologi, un tipo di impiegato interessante.")</f>
        <v>Ho incontrato biologi, un tipo di impiegato interessante.</v>
      </c>
      <c r="G1726" s="6" t="str">
        <f>IFERROR(__xludf.DUMMYFUNCTION("GOOGLETRANSLATE(E1726,""fr"",""it"")"),"Ho incontrato biologi, un tipo di impiegato interessante.")</f>
        <v>Ho incontrato biologi, un tipo di impiegato interessante.</v>
      </c>
    </row>
    <row r="1727">
      <c r="A1727" s="4">
        <v>1725.0</v>
      </c>
      <c r="B1727" s="5" t="s">
        <v>5182</v>
      </c>
      <c r="C1727" s="4">
        <v>0.0</v>
      </c>
      <c r="D1727" s="5" t="s">
        <v>5183</v>
      </c>
      <c r="E1727" s="5" t="s">
        <v>5184</v>
      </c>
      <c r="F1727" s="6" t="str">
        <f>IFERROR(__xludf.DUMMYFUNCTION("GOOGLETRANSLATE(D1727,""en"",""it"")"),"Ho incontrato gli impiegati, un tipo interessante di biologo.")</f>
        <v>Ho incontrato gli impiegati, un tipo interessante di biologo.</v>
      </c>
      <c r="G1727" s="6" t="str">
        <f>IFERROR(__xludf.DUMMYFUNCTION("GOOGLETRANSLATE(E1727,""fr"",""it"")"),"Ho incontrato i commessi, un tipo interessante di biologo.")</f>
        <v>Ho incontrato i commessi, un tipo interessante di biologo.</v>
      </c>
    </row>
    <row r="1728">
      <c r="A1728" s="4">
        <v>1726.0</v>
      </c>
      <c r="B1728" s="5" t="s">
        <v>5185</v>
      </c>
      <c r="C1728" s="4">
        <v>1.0</v>
      </c>
      <c r="D1728" s="5" t="s">
        <v>5186</v>
      </c>
      <c r="E1728" s="5" t="s">
        <v>5187</v>
      </c>
      <c r="F1728" s="6" t="str">
        <f>IFERROR(__xludf.DUMMYFUNCTION("GOOGLETRANSLATE(D1728,""en"",""it"")"),"Ho incontrato biologi, un tipo di scienziato interessante.")</f>
        <v>Ho incontrato biologi, un tipo di scienziato interessante.</v>
      </c>
      <c r="G1728" s="6" t="str">
        <f>IFERROR(__xludf.DUMMYFUNCTION("GOOGLETRANSLATE(E1728,""fr"",""it"")"),"Ho incontrato biologi, un tipo di scienziato interessante.")</f>
        <v>Ho incontrato biologi, un tipo di scienziato interessante.</v>
      </c>
    </row>
    <row r="1729">
      <c r="A1729" s="4">
        <v>1727.0</v>
      </c>
      <c r="B1729" s="5" t="s">
        <v>5188</v>
      </c>
      <c r="C1729" s="4">
        <v>0.0</v>
      </c>
      <c r="D1729" s="5" t="s">
        <v>5189</v>
      </c>
      <c r="E1729" s="5" t="s">
        <v>5190</v>
      </c>
      <c r="F1729" s="6" t="str">
        <f>IFERROR(__xludf.DUMMYFUNCTION("GOOGLETRANSLATE(D1729,""en"",""it"")"),"Ho incontrato gli scienziati, un tipo interessante di biologo.")</f>
        <v>Ho incontrato gli scienziati, un tipo interessante di biologo.</v>
      </c>
      <c r="G1729" s="6" t="str">
        <f>IFERROR(__xludf.DUMMYFUNCTION("GOOGLETRANSLATE(E1729,""fr"",""it"")"),"Ho incontrato gli scienziati, un tipo interessante di biologo.")</f>
        <v>Ho incontrato gli scienziati, un tipo interessante di biologo.</v>
      </c>
    </row>
    <row r="1730">
      <c r="A1730" s="4">
        <v>1728.0</v>
      </c>
      <c r="B1730" s="5" t="s">
        <v>5191</v>
      </c>
      <c r="C1730" s="4">
        <v>0.0</v>
      </c>
      <c r="D1730" s="5" t="s">
        <v>5192</v>
      </c>
      <c r="E1730" s="5" t="s">
        <v>5193</v>
      </c>
      <c r="F1730" s="6" t="str">
        <f>IFERROR(__xludf.DUMMYFUNCTION("GOOGLETRANSLATE(D1730,""en"",""it"")"),"Ho incontrato gli scienziati, un tipo di impiegato interessante.")</f>
        <v>Ho incontrato gli scienziati, un tipo di impiegato interessante.</v>
      </c>
      <c r="G1730" s="6" t="str">
        <f>IFERROR(__xludf.DUMMYFUNCTION("GOOGLETRANSLATE(E1730,""fr"",""it"")"),"Ho incontrato gli scienziati, un tipo di impiegato interessante.")</f>
        <v>Ho incontrato gli scienziati, un tipo di impiegato interessante.</v>
      </c>
    </row>
    <row r="1731">
      <c r="A1731" s="4">
        <v>1729.0</v>
      </c>
      <c r="B1731" s="5" t="s">
        <v>5194</v>
      </c>
      <c r="C1731" s="4">
        <v>0.0</v>
      </c>
      <c r="D1731" s="5" t="s">
        <v>5195</v>
      </c>
      <c r="E1731" s="5" t="s">
        <v>5196</v>
      </c>
      <c r="F1731" s="6" t="str">
        <f>IFERROR(__xludf.DUMMYFUNCTION("GOOGLETRANSLATE(D1731,""en"",""it"")"),"Ho incontrato biologi, un tipo interessante di cameriere.")</f>
        <v>Ho incontrato biologi, un tipo interessante di cameriere.</v>
      </c>
      <c r="G1731" s="6" t="str">
        <f>IFERROR(__xludf.DUMMYFUNCTION("GOOGLETRANSLATE(E1731,""fr"",""it"")"),"Ho incontrato biologi, un tipo di server interessante.")</f>
        <v>Ho incontrato biologi, un tipo di server interessante.</v>
      </c>
    </row>
    <row r="1732">
      <c r="A1732" s="4">
        <v>1730.0</v>
      </c>
      <c r="B1732" s="5" t="s">
        <v>5197</v>
      </c>
      <c r="C1732" s="4">
        <v>0.0</v>
      </c>
      <c r="D1732" s="5" t="s">
        <v>5198</v>
      </c>
      <c r="E1732" s="5" t="s">
        <v>5199</v>
      </c>
      <c r="F1732" s="6" t="str">
        <f>IFERROR(__xludf.DUMMYFUNCTION("GOOGLETRANSLATE(D1732,""en"",""it"")"),"Ho incontrato i camerieri, un tipo interessante di biologo.")</f>
        <v>Ho incontrato i camerieri, un tipo interessante di biologo.</v>
      </c>
      <c r="G1732" s="6" t="str">
        <f>IFERROR(__xludf.DUMMYFUNCTION("GOOGLETRANSLATE(E1732,""fr"",""it"")"),"Ho incontrato i server, un tipo interessante di biologo.")</f>
        <v>Ho incontrato i server, un tipo interessante di biologo.</v>
      </c>
    </row>
    <row r="1733">
      <c r="A1733" s="4">
        <v>1731.0</v>
      </c>
      <c r="B1733" s="5" t="s">
        <v>5200</v>
      </c>
      <c r="C1733" s="4">
        <v>0.0</v>
      </c>
      <c r="D1733" s="5" t="s">
        <v>5201</v>
      </c>
      <c r="E1733" s="5" t="s">
        <v>5202</v>
      </c>
      <c r="F1733" s="6" t="str">
        <f>IFERROR(__xludf.DUMMYFUNCTION("GOOGLETRANSLATE(D1733,""en"",""it"")"),"Ho incontrato gli scienziati, un tipo interessante di cameriere.")</f>
        <v>Ho incontrato gli scienziati, un tipo interessante di cameriere.</v>
      </c>
      <c r="G1733" s="6" t="str">
        <f>IFERROR(__xludf.DUMMYFUNCTION("GOOGLETRANSLATE(E1733,""fr"",""it"")"),"Ho incontrato gli scienziati, un tipo interessante di server.")</f>
        <v>Ho incontrato gli scienziati, un tipo interessante di server.</v>
      </c>
    </row>
    <row r="1734">
      <c r="A1734" s="4">
        <v>1732.0</v>
      </c>
      <c r="B1734" s="5" t="s">
        <v>5203</v>
      </c>
      <c r="C1734" s="4">
        <v>0.0</v>
      </c>
      <c r="D1734" s="5" t="s">
        <v>5204</v>
      </c>
      <c r="E1734" s="5" t="s">
        <v>5205</v>
      </c>
      <c r="F1734" s="6" t="str">
        <f>IFERROR(__xludf.DUMMYFUNCTION("GOOGLETRANSLATE(D1734,""en"",""it"")"),"Ho incontrato biologi, un tipo interessante di custode.")</f>
        <v>Ho incontrato biologi, un tipo interessante di custode.</v>
      </c>
      <c r="G1734" s="6" t="str">
        <f>IFERROR(__xludf.DUMMYFUNCTION("GOOGLETRANSLATE(E1734,""fr"",""it"")"),"Ho incontrato biologi, un tipo di guardiano interessante.")</f>
        <v>Ho incontrato biologi, un tipo di guardiano interessante.</v>
      </c>
    </row>
    <row r="1735">
      <c r="A1735" s="4">
        <v>1733.0</v>
      </c>
      <c r="B1735" s="5" t="s">
        <v>5206</v>
      </c>
      <c r="C1735" s="4">
        <v>0.0</v>
      </c>
      <c r="D1735" s="5" t="s">
        <v>5207</v>
      </c>
      <c r="E1735" s="5" t="s">
        <v>5208</v>
      </c>
      <c r="F1735" s="6" t="str">
        <f>IFERROR(__xludf.DUMMYFUNCTION("GOOGLETRANSLATE(D1735,""en"",""it"")"),"Ho incontrato i custodi, un tipo interessante di biologo.")</f>
        <v>Ho incontrato i custodi, un tipo interessante di biologo.</v>
      </c>
      <c r="G1735" s="6" t="str">
        <f>IFERROR(__xludf.DUMMYFUNCTION("GOOGLETRANSLATE(E1735,""fr"",""it"")"),"Ho incontrato le guardie, un tipo interessante di biologo.")</f>
        <v>Ho incontrato le guardie, un tipo interessante di biologo.</v>
      </c>
    </row>
    <row r="1736">
      <c r="A1736" s="4">
        <v>1734.0</v>
      </c>
      <c r="B1736" s="5" t="s">
        <v>5209</v>
      </c>
      <c r="C1736" s="4">
        <v>0.0</v>
      </c>
      <c r="D1736" s="5" t="s">
        <v>5210</v>
      </c>
      <c r="E1736" s="5" t="s">
        <v>5211</v>
      </c>
      <c r="F1736" s="6" t="str">
        <f>IFERROR(__xludf.DUMMYFUNCTION("GOOGLETRANSLATE(D1736,""en"",""it"")"),"Ho incontrato gli scienziati, un tipo interessante di custode.")</f>
        <v>Ho incontrato gli scienziati, un tipo interessante di custode.</v>
      </c>
      <c r="G1736" s="6" t="str">
        <f>IFERROR(__xludf.DUMMYFUNCTION("GOOGLETRANSLATE(E1736,""fr"",""it"")"),"Ho incontrato gli scienziati, un tipo di guardiano interessante.")</f>
        <v>Ho incontrato gli scienziati, un tipo di guardiano interessante.</v>
      </c>
    </row>
    <row r="1737">
      <c r="A1737" s="4">
        <v>1735.0</v>
      </c>
      <c r="B1737" s="5" t="s">
        <v>5212</v>
      </c>
      <c r="C1737" s="4">
        <v>0.0</v>
      </c>
      <c r="D1737" s="5" t="s">
        <v>5213</v>
      </c>
      <c r="E1737" s="5" t="s">
        <v>5214</v>
      </c>
      <c r="F1737" s="6" t="str">
        <f>IFERROR(__xludf.DUMMYFUNCTION("GOOGLETRANSLATE(D1737,""en"",""it"")"),"Ho incontrato biologi, un tipo interessante di bidello.")</f>
        <v>Ho incontrato biologi, un tipo interessante di bidello.</v>
      </c>
      <c r="G1737" s="6" t="str">
        <f>IFERROR(__xludf.DUMMYFUNCTION("GOOGLETRANSLATE(E1737,""fr"",""it"")"),"Ho incontrato biologi, un tipo interessante di concierge.")</f>
        <v>Ho incontrato biologi, un tipo interessante di concierge.</v>
      </c>
    </row>
    <row r="1738">
      <c r="A1738" s="4">
        <v>1736.0</v>
      </c>
      <c r="B1738" s="5" t="s">
        <v>5215</v>
      </c>
      <c r="C1738" s="4">
        <v>0.0</v>
      </c>
      <c r="D1738" s="5" t="s">
        <v>5216</v>
      </c>
      <c r="E1738" s="5" t="s">
        <v>5217</v>
      </c>
      <c r="F1738" s="6" t="str">
        <f>IFERROR(__xludf.DUMMYFUNCTION("GOOGLETRANSLATE(D1738,""en"",""it"")"),"Ho incontrato i bidelli, un tipo interessante di biologo.")</f>
        <v>Ho incontrato i bidelli, un tipo interessante di biologo.</v>
      </c>
      <c r="G1738" s="6" t="str">
        <f>IFERROR(__xludf.DUMMYFUNCTION("GOOGLETRANSLATE(E1738,""fr"",""it"")"),"Ho incontrato Concierges, un tipo interessante di biologo.")</f>
        <v>Ho incontrato Concierges, un tipo interessante di biologo.</v>
      </c>
    </row>
    <row r="1739">
      <c r="A1739" s="4">
        <v>1737.0</v>
      </c>
      <c r="B1739" s="5" t="s">
        <v>5218</v>
      </c>
      <c r="C1739" s="4">
        <v>0.0</v>
      </c>
      <c r="D1739" s="5" t="s">
        <v>5219</v>
      </c>
      <c r="E1739" s="5" t="s">
        <v>5220</v>
      </c>
      <c r="F1739" s="6" t="str">
        <f>IFERROR(__xludf.DUMMYFUNCTION("GOOGLETRANSLATE(D1739,""en"",""it"")"),"Ho incontrato gli scienziati, un tipo interessante di custode.")</f>
        <v>Ho incontrato gli scienziati, un tipo interessante di custode.</v>
      </c>
      <c r="G1739" s="6" t="str">
        <f>IFERROR(__xludf.DUMMYFUNCTION("GOOGLETRANSLATE(E1739,""fr"",""it"")"),"Ho incontrato gli scienziati, un tipo interessante di concierge.")</f>
        <v>Ho incontrato gli scienziati, un tipo interessante di concierge.</v>
      </c>
    </row>
    <row r="1740">
      <c r="A1740" s="4">
        <v>1738.0</v>
      </c>
      <c r="B1740" s="5" t="s">
        <v>5221</v>
      </c>
      <c r="C1740" s="4">
        <v>0.0</v>
      </c>
      <c r="D1740" s="5" t="s">
        <v>5222</v>
      </c>
      <c r="E1740" s="5" t="s">
        <v>5223</v>
      </c>
      <c r="F1740" s="6" t="str">
        <f>IFERROR(__xludf.DUMMYFUNCTION("GOOGLETRANSLATE(D1740,""en"",""it"")"),"Ho incontrato i genetisti, un tipo di impiegato interessante.")</f>
        <v>Ho incontrato i genetisti, un tipo di impiegato interessante.</v>
      </c>
      <c r="G1740" s="6" t="str">
        <f>IFERROR(__xludf.DUMMYFUNCTION("GOOGLETRANSLATE(E1740,""fr"",""it"")"),"Ho incontrato i genetisti, un tipo di impiegato interessante.")</f>
        <v>Ho incontrato i genetisti, un tipo di impiegato interessante.</v>
      </c>
    </row>
    <row r="1741">
      <c r="A1741" s="4">
        <v>1739.0</v>
      </c>
      <c r="B1741" s="5" t="s">
        <v>5224</v>
      </c>
      <c r="C1741" s="4">
        <v>0.0</v>
      </c>
      <c r="D1741" s="5" t="s">
        <v>5225</v>
      </c>
      <c r="E1741" s="5" t="s">
        <v>5226</v>
      </c>
      <c r="F1741" s="6" t="str">
        <f>IFERROR(__xludf.DUMMYFUNCTION("GOOGLETRANSLATE(D1741,""en"",""it"")"),"Ho incontrato gli impiegati, un tipo interessante di genetista.")</f>
        <v>Ho incontrato gli impiegati, un tipo interessante di genetista.</v>
      </c>
      <c r="G1741" s="6" t="str">
        <f>IFERROR(__xludf.DUMMYFUNCTION("GOOGLETRANSLATE(E1741,""fr"",""it"")"),"Ho incontrato gli impiegati, un tipo interessante di genetista.")</f>
        <v>Ho incontrato gli impiegati, un tipo interessante di genetista.</v>
      </c>
    </row>
    <row r="1742">
      <c r="A1742" s="4">
        <v>1740.0</v>
      </c>
      <c r="B1742" s="5" t="s">
        <v>5227</v>
      </c>
      <c r="C1742" s="4">
        <v>1.0</v>
      </c>
      <c r="D1742" s="5" t="s">
        <v>5228</v>
      </c>
      <c r="E1742" s="5" t="s">
        <v>5229</v>
      </c>
      <c r="F1742" s="6" t="str">
        <f>IFERROR(__xludf.DUMMYFUNCTION("GOOGLETRANSLATE(D1742,""en"",""it"")"),"Ho incontrato i genetisti, un tipo interessante di scienziato.")</f>
        <v>Ho incontrato i genetisti, un tipo interessante di scienziato.</v>
      </c>
      <c r="G1742" s="6" t="str">
        <f>IFERROR(__xludf.DUMMYFUNCTION("GOOGLETRANSLATE(E1742,""fr"",""it"")"),"Ho incontrato i genetisti, un tipo di scienziato interessante.")</f>
        <v>Ho incontrato i genetisti, un tipo di scienziato interessante.</v>
      </c>
    </row>
    <row r="1743">
      <c r="A1743" s="4">
        <v>1741.0</v>
      </c>
      <c r="B1743" s="5" t="s">
        <v>5230</v>
      </c>
      <c r="C1743" s="4">
        <v>0.0</v>
      </c>
      <c r="D1743" s="5" t="s">
        <v>5231</v>
      </c>
      <c r="E1743" s="5" t="s">
        <v>5232</v>
      </c>
      <c r="F1743" s="6" t="str">
        <f>IFERROR(__xludf.DUMMYFUNCTION("GOOGLETRANSLATE(D1743,""en"",""it"")"),"Ho incontrato gli scienziati, un tipo interessante di genetista.")</f>
        <v>Ho incontrato gli scienziati, un tipo interessante di genetista.</v>
      </c>
      <c r="G1743" s="6" t="str">
        <f>IFERROR(__xludf.DUMMYFUNCTION("GOOGLETRANSLATE(E1743,""fr"",""it"")"),"Ho incontrato gli scienziati, un tipo interessante di genetista.")</f>
        <v>Ho incontrato gli scienziati, un tipo interessante di genetista.</v>
      </c>
    </row>
    <row r="1744">
      <c r="A1744" s="4">
        <v>1742.0</v>
      </c>
      <c r="B1744" s="5" t="s">
        <v>5233</v>
      </c>
      <c r="C1744" s="4">
        <v>0.0</v>
      </c>
      <c r="D1744" s="5" t="s">
        <v>5234</v>
      </c>
      <c r="E1744" s="5" t="s">
        <v>5235</v>
      </c>
      <c r="F1744" s="6" t="str">
        <f>IFERROR(__xludf.DUMMYFUNCTION("GOOGLETRANSLATE(D1744,""en"",""it"")"),"Ho incontrato i genetisti, un tipo interessante di cameriere.")</f>
        <v>Ho incontrato i genetisti, un tipo interessante di cameriere.</v>
      </c>
      <c r="G1744" s="6" t="str">
        <f>IFERROR(__xludf.DUMMYFUNCTION("GOOGLETRANSLATE(E1744,""fr"",""it"")"),"Ho incontrato i genetisti, un tipo interessante di server.")</f>
        <v>Ho incontrato i genetisti, un tipo interessante di server.</v>
      </c>
    </row>
    <row r="1745">
      <c r="A1745" s="4">
        <v>1743.0</v>
      </c>
      <c r="B1745" s="5" t="s">
        <v>5236</v>
      </c>
      <c r="C1745" s="4">
        <v>0.0</v>
      </c>
      <c r="D1745" s="5" t="s">
        <v>5237</v>
      </c>
      <c r="E1745" s="5" t="s">
        <v>5238</v>
      </c>
      <c r="F1745" s="6" t="str">
        <f>IFERROR(__xludf.DUMMYFUNCTION("GOOGLETRANSLATE(D1745,""en"",""it"")"),"Ho incontrato i camerieri, un tipo interessante di genetista.")</f>
        <v>Ho incontrato i camerieri, un tipo interessante di genetista.</v>
      </c>
      <c r="G1745" s="6" t="str">
        <f>IFERROR(__xludf.DUMMYFUNCTION("GOOGLETRANSLATE(E1745,""fr"",""it"")"),"Ho incontrato i server, un tipo interessante di genetista.")</f>
        <v>Ho incontrato i server, un tipo interessante di genetista.</v>
      </c>
    </row>
    <row r="1746">
      <c r="A1746" s="4">
        <v>1744.0</v>
      </c>
      <c r="B1746" s="5" t="s">
        <v>5239</v>
      </c>
      <c r="C1746" s="4">
        <v>0.0</v>
      </c>
      <c r="D1746" s="5" t="s">
        <v>5240</v>
      </c>
      <c r="E1746" s="5" t="s">
        <v>5241</v>
      </c>
      <c r="F1746" s="6" t="str">
        <f>IFERROR(__xludf.DUMMYFUNCTION("GOOGLETRANSLATE(D1746,""en"",""it"")"),"Ho incontrato i genetisti, un tipo interessante di custode.")</f>
        <v>Ho incontrato i genetisti, un tipo interessante di custode.</v>
      </c>
      <c r="G1746" s="6" t="str">
        <f>IFERROR(__xludf.DUMMYFUNCTION("GOOGLETRANSLATE(E1746,""fr"",""it"")"),"Ho incontrato i genetisti, un tipo di guardiano interessante.")</f>
        <v>Ho incontrato i genetisti, un tipo di guardiano interessante.</v>
      </c>
    </row>
    <row r="1747">
      <c r="A1747" s="4">
        <v>1745.0</v>
      </c>
      <c r="B1747" s="5" t="s">
        <v>5242</v>
      </c>
      <c r="C1747" s="4">
        <v>0.0</v>
      </c>
      <c r="D1747" s="5" t="s">
        <v>5243</v>
      </c>
      <c r="E1747" s="5" t="s">
        <v>5244</v>
      </c>
      <c r="F1747" s="6" t="str">
        <f>IFERROR(__xludf.DUMMYFUNCTION("GOOGLETRANSLATE(D1747,""en"",""it"")"),"Ho incontrato custodi, un tipo interessante di genetista.")</f>
        <v>Ho incontrato custodi, un tipo interessante di genetista.</v>
      </c>
      <c r="G1747" s="6" t="str">
        <f>IFERROR(__xludf.DUMMYFUNCTION("GOOGLETRANSLATE(E1747,""fr"",""it"")"),"Ho incontrato le guardie, un tipo interessante di genetista.")</f>
        <v>Ho incontrato le guardie, un tipo interessante di genetista.</v>
      </c>
    </row>
    <row r="1748">
      <c r="A1748" s="4">
        <v>1746.0</v>
      </c>
      <c r="B1748" s="5" t="s">
        <v>5245</v>
      </c>
      <c r="C1748" s="4">
        <v>0.0</v>
      </c>
      <c r="D1748" s="5" t="s">
        <v>5246</v>
      </c>
      <c r="E1748" s="5" t="s">
        <v>5247</v>
      </c>
      <c r="F1748" s="6" t="str">
        <f>IFERROR(__xludf.DUMMYFUNCTION("GOOGLETRANSLATE(D1748,""en"",""it"")"),"Ho incontrato i genetisti, un tipo interessante di custode.")</f>
        <v>Ho incontrato i genetisti, un tipo interessante di custode.</v>
      </c>
      <c r="G1748" s="6" t="str">
        <f>IFERROR(__xludf.DUMMYFUNCTION("GOOGLETRANSLATE(E1748,""fr"",""it"")"),"Ho incontrato i genetisti, un tipo interessante di concierge.")</f>
        <v>Ho incontrato i genetisti, un tipo interessante di concierge.</v>
      </c>
    </row>
    <row r="1749">
      <c r="A1749" s="4">
        <v>1747.0</v>
      </c>
      <c r="B1749" s="5" t="s">
        <v>5248</v>
      </c>
      <c r="C1749" s="4">
        <v>0.0</v>
      </c>
      <c r="D1749" s="5" t="s">
        <v>5249</v>
      </c>
      <c r="E1749" s="5" t="s">
        <v>5250</v>
      </c>
      <c r="F1749" s="6" t="str">
        <f>IFERROR(__xludf.DUMMYFUNCTION("GOOGLETRANSLATE(D1749,""en"",""it"")"),"Ho incontrato i bidelli, un tipo interessante di genetista.")</f>
        <v>Ho incontrato i bidelli, un tipo interessante di genetista.</v>
      </c>
      <c r="G1749" s="6" t="str">
        <f>IFERROR(__xludf.DUMMYFUNCTION("GOOGLETRANSLATE(E1749,""fr"",""it"")"),"Ho incontrato i concierges, un tipo di genetista interessante.")</f>
        <v>Ho incontrato i concierges, un tipo di genetista interessante.</v>
      </c>
    </row>
    <row r="1750">
      <c r="A1750" s="4">
        <v>1748.0</v>
      </c>
      <c r="B1750" s="5" t="s">
        <v>5251</v>
      </c>
      <c r="C1750" s="4">
        <v>0.0</v>
      </c>
      <c r="D1750" s="5" t="s">
        <v>5252</v>
      </c>
      <c r="E1750" s="5" t="s">
        <v>5253</v>
      </c>
      <c r="F1750" s="6" t="str">
        <f>IFERROR(__xludf.DUMMYFUNCTION("GOOGLETRANSLATE(D1750,""en"",""it"")"),"Ho incontrato gli astronomi, un tipo di impiegato interessante.")</f>
        <v>Ho incontrato gli astronomi, un tipo di impiegato interessante.</v>
      </c>
      <c r="G1750" s="6" t="str">
        <f>IFERROR(__xludf.DUMMYFUNCTION("GOOGLETRANSLATE(E1750,""fr"",""it"")"),"Ho incontrato gli astronomi, un tipo di impiegato interessante.")</f>
        <v>Ho incontrato gli astronomi, un tipo di impiegato interessante.</v>
      </c>
    </row>
    <row r="1751">
      <c r="A1751" s="4">
        <v>1749.0</v>
      </c>
      <c r="B1751" s="5" t="s">
        <v>5254</v>
      </c>
      <c r="C1751" s="4">
        <v>0.0</v>
      </c>
      <c r="D1751" s="5" t="s">
        <v>5255</v>
      </c>
      <c r="E1751" s="5" t="s">
        <v>5256</v>
      </c>
      <c r="F1751" s="6" t="str">
        <f>IFERROR(__xludf.DUMMYFUNCTION("GOOGLETRANSLATE(D1751,""en"",""it"")"),"Ho incontrato gli impiegati, un tipo interessante di astronomo.")</f>
        <v>Ho incontrato gli impiegati, un tipo interessante di astronomo.</v>
      </c>
      <c r="G1751" s="6" t="str">
        <f>IFERROR(__xludf.DUMMYFUNCTION("GOOGLETRANSLATE(E1751,""fr"",""it"")"),"Ho incontrato gli impiegati, un tipo interessante di astronomo.")</f>
        <v>Ho incontrato gli impiegati, un tipo interessante di astronomo.</v>
      </c>
    </row>
    <row r="1752">
      <c r="A1752" s="4">
        <v>1750.0</v>
      </c>
      <c r="B1752" s="5" t="s">
        <v>5257</v>
      </c>
      <c r="C1752" s="4">
        <v>1.0</v>
      </c>
      <c r="D1752" s="5" t="s">
        <v>5258</v>
      </c>
      <c r="E1752" s="5" t="s">
        <v>5259</v>
      </c>
      <c r="F1752" s="6" t="str">
        <f>IFERROR(__xludf.DUMMYFUNCTION("GOOGLETRANSLATE(D1752,""en"",""it"")"),"Ho incontrato gli astronomi, un tipo interessante di scienziato.")</f>
        <v>Ho incontrato gli astronomi, un tipo interessante di scienziato.</v>
      </c>
      <c r="G1752" s="6" t="str">
        <f>IFERROR(__xludf.DUMMYFUNCTION("GOOGLETRANSLATE(E1752,""fr"",""it"")"),"Ho incontrato gli astronomi, un tipo interessante di scienziato.")</f>
        <v>Ho incontrato gli astronomi, un tipo interessante di scienziato.</v>
      </c>
    </row>
    <row r="1753">
      <c r="A1753" s="4">
        <v>1751.0</v>
      </c>
      <c r="B1753" s="5" t="s">
        <v>5260</v>
      </c>
      <c r="C1753" s="4">
        <v>0.0</v>
      </c>
      <c r="D1753" s="5" t="s">
        <v>5261</v>
      </c>
      <c r="E1753" s="5" t="s">
        <v>5262</v>
      </c>
      <c r="F1753" s="6" t="str">
        <f>IFERROR(__xludf.DUMMYFUNCTION("GOOGLETRANSLATE(D1753,""en"",""it"")"),"Ho incontrato gli scienziati, un tipo interessante di astronomo.")</f>
        <v>Ho incontrato gli scienziati, un tipo interessante di astronomo.</v>
      </c>
      <c r="G1753" s="6" t="str">
        <f>IFERROR(__xludf.DUMMYFUNCTION("GOOGLETRANSLATE(E1753,""fr"",""it"")"),"Ho incontrato gli scienziati, un tipo interessante di astronomo.")</f>
        <v>Ho incontrato gli scienziati, un tipo interessante di astronomo.</v>
      </c>
    </row>
    <row r="1754">
      <c r="A1754" s="4">
        <v>1752.0</v>
      </c>
      <c r="B1754" s="5" t="s">
        <v>5263</v>
      </c>
      <c r="C1754" s="4">
        <v>0.0</v>
      </c>
      <c r="D1754" s="5" t="s">
        <v>5264</v>
      </c>
      <c r="E1754" s="5" t="s">
        <v>5265</v>
      </c>
      <c r="F1754" s="6" t="str">
        <f>IFERROR(__xludf.DUMMYFUNCTION("GOOGLETRANSLATE(D1754,""en"",""it"")"),"Ho incontrato gli astronomi, un tipo interessante di cameriere.")</f>
        <v>Ho incontrato gli astronomi, un tipo interessante di cameriere.</v>
      </c>
      <c r="G1754" s="6" t="str">
        <f>IFERROR(__xludf.DUMMYFUNCTION("GOOGLETRANSLATE(E1754,""fr"",""it"")"),"Ho incontrato gli astronomi, un tipo interessante di server.")</f>
        <v>Ho incontrato gli astronomi, un tipo interessante di server.</v>
      </c>
    </row>
    <row r="1755">
      <c r="A1755" s="4">
        <v>1753.0</v>
      </c>
      <c r="B1755" s="5" t="s">
        <v>5266</v>
      </c>
      <c r="C1755" s="4">
        <v>0.0</v>
      </c>
      <c r="D1755" s="5" t="s">
        <v>5267</v>
      </c>
      <c r="E1755" s="5" t="s">
        <v>5268</v>
      </c>
      <c r="F1755" s="6" t="str">
        <f>IFERROR(__xludf.DUMMYFUNCTION("GOOGLETRANSLATE(D1755,""en"",""it"")"),"Ho incontrato i camerieri, un tipo interessante di astronomo.")</f>
        <v>Ho incontrato i camerieri, un tipo interessante di astronomo.</v>
      </c>
      <c r="G1755" s="6" t="str">
        <f>IFERROR(__xludf.DUMMYFUNCTION("GOOGLETRANSLATE(E1755,""fr"",""it"")"),"Ho incontrato i server, un tipo interessante di astronomo.")</f>
        <v>Ho incontrato i server, un tipo interessante di astronomo.</v>
      </c>
    </row>
    <row r="1756">
      <c r="A1756" s="4">
        <v>1754.0</v>
      </c>
      <c r="B1756" s="5" t="s">
        <v>5269</v>
      </c>
      <c r="C1756" s="4">
        <v>0.0</v>
      </c>
      <c r="D1756" s="5" t="s">
        <v>5270</v>
      </c>
      <c r="E1756" s="5" t="s">
        <v>5271</v>
      </c>
      <c r="F1756" s="6" t="str">
        <f>IFERROR(__xludf.DUMMYFUNCTION("GOOGLETRANSLATE(D1756,""en"",""it"")"),"Ho incontrato gli astronomi, un tipo interessante di custode.")</f>
        <v>Ho incontrato gli astronomi, un tipo interessante di custode.</v>
      </c>
      <c r="G1756" s="6" t="str">
        <f>IFERROR(__xludf.DUMMYFUNCTION("GOOGLETRANSLATE(E1756,""fr"",""it"")"),"Ho incontrato gli astronomi, un tipo di guardiano interessante.")</f>
        <v>Ho incontrato gli astronomi, un tipo di guardiano interessante.</v>
      </c>
    </row>
    <row r="1757">
      <c r="A1757" s="4">
        <v>1755.0</v>
      </c>
      <c r="B1757" s="5" t="s">
        <v>5272</v>
      </c>
      <c r="C1757" s="4">
        <v>0.0</v>
      </c>
      <c r="D1757" s="5" t="s">
        <v>5273</v>
      </c>
      <c r="E1757" s="5" t="s">
        <v>5274</v>
      </c>
      <c r="F1757" s="6" t="str">
        <f>IFERROR(__xludf.DUMMYFUNCTION("GOOGLETRANSLATE(D1757,""en"",""it"")"),"Ho incontrato i custodi, un tipo interessante di astronomo.")</f>
        <v>Ho incontrato i custodi, un tipo interessante di astronomo.</v>
      </c>
      <c r="G1757" s="6" t="str">
        <f>IFERROR(__xludf.DUMMYFUNCTION("GOOGLETRANSLATE(E1757,""fr"",""it"")"),"Ho incontrato le guardie, un tipo interessante di astronomo.")</f>
        <v>Ho incontrato le guardie, un tipo interessante di astronomo.</v>
      </c>
    </row>
    <row r="1758">
      <c r="A1758" s="4">
        <v>1756.0</v>
      </c>
      <c r="B1758" s="5" t="s">
        <v>5275</v>
      </c>
      <c r="C1758" s="4">
        <v>0.0</v>
      </c>
      <c r="D1758" s="5" t="s">
        <v>5276</v>
      </c>
      <c r="E1758" s="5" t="s">
        <v>5277</v>
      </c>
      <c r="F1758" s="6" t="str">
        <f>IFERROR(__xludf.DUMMYFUNCTION("GOOGLETRANSLATE(D1758,""en"",""it"")"),"Ho incontrato gli astronomi, un tipo interessante di custode.")</f>
        <v>Ho incontrato gli astronomi, un tipo interessante di custode.</v>
      </c>
      <c r="G1758" s="6" t="str">
        <f>IFERROR(__xludf.DUMMYFUNCTION("GOOGLETRANSLATE(E1758,""fr"",""it"")"),"Ho incontrato gli astronomi, un tipo interessante di concierge.")</f>
        <v>Ho incontrato gli astronomi, un tipo interessante di concierge.</v>
      </c>
    </row>
    <row r="1759">
      <c r="A1759" s="4">
        <v>1757.0</v>
      </c>
      <c r="B1759" s="5" t="s">
        <v>5278</v>
      </c>
      <c r="C1759" s="4">
        <v>0.0</v>
      </c>
      <c r="D1759" s="5" t="s">
        <v>5279</v>
      </c>
      <c r="E1759" s="5" t="s">
        <v>5280</v>
      </c>
      <c r="F1759" s="6" t="str">
        <f>IFERROR(__xludf.DUMMYFUNCTION("GOOGLETRANSLATE(D1759,""en"",""it"")"),"Ho incontrato i bidelli, un tipo interessante di astronomo.")</f>
        <v>Ho incontrato i bidelli, un tipo interessante di astronomo.</v>
      </c>
      <c r="G1759" s="6" t="str">
        <f>IFERROR(__xludf.DUMMYFUNCTION("GOOGLETRANSLATE(E1759,""fr"",""it"")"),"Ho incontrato i concierges, un tipo interessante di astronomo.")</f>
        <v>Ho incontrato i concierges, un tipo interessante di astronomo.</v>
      </c>
    </row>
    <row r="1760">
      <c r="A1760" s="4">
        <v>1758.0</v>
      </c>
      <c r="B1760" s="5" t="s">
        <v>5281</v>
      </c>
      <c r="C1760" s="4">
        <v>0.0</v>
      </c>
      <c r="D1760" s="5" t="s">
        <v>5282</v>
      </c>
      <c r="E1760" s="5" t="s">
        <v>5283</v>
      </c>
      <c r="F1760" s="6" t="str">
        <f>IFERROR(__xludf.DUMMYFUNCTION("GOOGLETRANSLATE(D1760,""en"",""it"")"),"Ho incontrato i fisici, un tipo di impiegato interessante.")</f>
        <v>Ho incontrato i fisici, un tipo di impiegato interessante.</v>
      </c>
      <c r="G1760" s="6" t="str">
        <f>IFERROR(__xludf.DUMMYFUNCTION("GOOGLETRANSLATE(E1760,""fr"",""it"")"),"Ho incontrato i fisici, un tipo di impiegato interessante.")</f>
        <v>Ho incontrato i fisici, un tipo di impiegato interessante.</v>
      </c>
    </row>
    <row r="1761">
      <c r="A1761" s="4">
        <v>1759.0</v>
      </c>
      <c r="B1761" s="5" t="s">
        <v>5284</v>
      </c>
      <c r="C1761" s="4">
        <v>0.0</v>
      </c>
      <c r="D1761" s="5" t="s">
        <v>5285</v>
      </c>
      <c r="E1761" s="5" t="s">
        <v>5286</v>
      </c>
      <c r="F1761" s="6" t="str">
        <f>IFERROR(__xludf.DUMMYFUNCTION("GOOGLETRANSLATE(D1761,""en"",""it"")"),"Ho incontrato gli impiegati, un tipo di fisico interessante.")</f>
        <v>Ho incontrato gli impiegati, un tipo di fisico interessante.</v>
      </c>
      <c r="G1761" s="6" t="str">
        <f>IFERROR(__xludf.DUMMYFUNCTION("GOOGLETRANSLATE(E1761,""fr"",""it"")"),"Ho incontrato gli impiegati, un tipo di fisico interessante.")</f>
        <v>Ho incontrato gli impiegati, un tipo di fisico interessante.</v>
      </c>
    </row>
    <row r="1762">
      <c r="A1762" s="4">
        <v>1760.0</v>
      </c>
      <c r="B1762" s="5" t="s">
        <v>5287</v>
      </c>
      <c r="C1762" s="4">
        <v>1.0</v>
      </c>
      <c r="D1762" s="5" t="s">
        <v>5288</v>
      </c>
      <c r="E1762" s="5" t="s">
        <v>5289</v>
      </c>
      <c r="F1762" s="6" t="str">
        <f>IFERROR(__xludf.DUMMYFUNCTION("GOOGLETRANSLATE(D1762,""en"",""it"")"),"Ho incontrato i fisici, un tipo di scienziato interessante.")</f>
        <v>Ho incontrato i fisici, un tipo di scienziato interessante.</v>
      </c>
      <c r="G1762" s="6" t="str">
        <f>IFERROR(__xludf.DUMMYFUNCTION("GOOGLETRANSLATE(E1762,""fr"",""it"")"),"Ho incontrato i fisici, un tipo di scienziato interessante.")</f>
        <v>Ho incontrato i fisici, un tipo di scienziato interessante.</v>
      </c>
    </row>
    <row r="1763">
      <c r="A1763" s="4">
        <v>1761.0</v>
      </c>
      <c r="B1763" s="5" t="s">
        <v>5290</v>
      </c>
      <c r="C1763" s="4">
        <v>0.0</v>
      </c>
      <c r="D1763" s="5" t="s">
        <v>5291</v>
      </c>
      <c r="E1763" s="5" t="s">
        <v>5292</v>
      </c>
      <c r="F1763" s="6" t="str">
        <f>IFERROR(__xludf.DUMMYFUNCTION("GOOGLETRANSLATE(D1763,""en"",""it"")"),"Ho incontrato gli scienziati, un tipo di fisico interessante.")</f>
        <v>Ho incontrato gli scienziati, un tipo di fisico interessante.</v>
      </c>
      <c r="G1763" s="6" t="str">
        <f>IFERROR(__xludf.DUMMYFUNCTION("GOOGLETRANSLATE(E1763,""fr"",""it"")"),"Ho incontrato gli scienziati, un tipo interessante di fisico.")</f>
        <v>Ho incontrato gli scienziati, un tipo interessante di fisico.</v>
      </c>
    </row>
    <row r="1764">
      <c r="A1764" s="4">
        <v>1762.0</v>
      </c>
      <c r="B1764" s="5" t="s">
        <v>5293</v>
      </c>
      <c r="C1764" s="4">
        <v>0.0</v>
      </c>
      <c r="D1764" s="5" t="s">
        <v>5294</v>
      </c>
      <c r="E1764" s="5" t="s">
        <v>5295</v>
      </c>
      <c r="F1764" s="6" t="str">
        <f>IFERROR(__xludf.DUMMYFUNCTION("GOOGLETRANSLATE(D1764,""en"",""it"")"),"Ho incontrato i fisici, un tipo interessante di cameriere.")</f>
        <v>Ho incontrato i fisici, un tipo interessante di cameriere.</v>
      </c>
      <c r="G1764" s="6" t="str">
        <f>IFERROR(__xludf.DUMMYFUNCTION("GOOGLETRANSLATE(E1764,""fr"",""it"")"),"Ho incontrato i fisici, un tipo interessante di server.")</f>
        <v>Ho incontrato i fisici, un tipo interessante di server.</v>
      </c>
    </row>
    <row r="1765">
      <c r="A1765" s="4">
        <v>1763.0</v>
      </c>
      <c r="B1765" s="5" t="s">
        <v>5296</v>
      </c>
      <c r="C1765" s="4">
        <v>0.0</v>
      </c>
      <c r="D1765" s="5" t="s">
        <v>5297</v>
      </c>
      <c r="E1765" s="5" t="s">
        <v>5298</v>
      </c>
      <c r="F1765" s="6" t="str">
        <f>IFERROR(__xludf.DUMMYFUNCTION("GOOGLETRANSLATE(D1765,""en"",""it"")"),"Ho incontrato i camerieri, un tipo di fisico interessante.")</f>
        <v>Ho incontrato i camerieri, un tipo di fisico interessante.</v>
      </c>
      <c r="G1765" s="6" t="str">
        <f>IFERROR(__xludf.DUMMYFUNCTION("GOOGLETRANSLATE(E1765,""fr"",""it"")"),"Ho incontrato i server, un tipo di fisico interessante.")</f>
        <v>Ho incontrato i server, un tipo di fisico interessante.</v>
      </c>
    </row>
    <row r="1766">
      <c r="A1766" s="4">
        <v>1764.0</v>
      </c>
      <c r="B1766" s="5" t="s">
        <v>5299</v>
      </c>
      <c r="C1766" s="4">
        <v>0.0</v>
      </c>
      <c r="D1766" s="5" t="s">
        <v>5300</v>
      </c>
      <c r="E1766" s="5" t="s">
        <v>5301</v>
      </c>
      <c r="F1766" s="6" t="str">
        <f>IFERROR(__xludf.DUMMYFUNCTION("GOOGLETRANSLATE(D1766,""en"",""it"")"),"Ho incontrato i fisici, un tipo interessante di custode.")</f>
        <v>Ho incontrato i fisici, un tipo interessante di custode.</v>
      </c>
      <c r="G1766" s="6" t="str">
        <f>IFERROR(__xludf.DUMMYFUNCTION("GOOGLETRANSLATE(E1766,""fr"",""it"")"),"Ho incontrato i fisici, un tipo di guardiano interessante.")</f>
        <v>Ho incontrato i fisici, un tipo di guardiano interessante.</v>
      </c>
    </row>
    <row r="1767">
      <c r="A1767" s="4">
        <v>1765.0</v>
      </c>
      <c r="B1767" s="5" t="s">
        <v>5302</v>
      </c>
      <c r="C1767" s="4">
        <v>0.0</v>
      </c>
      <c r="D1767" s="5" t="s">
        <v>5303</v>
      </c>
      <c r="E1767" s="5" t="s">
        <v>5304</v>
      </c>
      <c r="F1767" s="6" t="str">
        <f>IFERROR(__xludf.DUMMYFUNCTION("GOOGLETRANSLATE(D1767,""en"",""it"")"),"Ho incontrato i custodi, un tipo interessante di fisico.")</f>
        <v>Ho incontrato i custodi, un tipo interessante di fisico.</v>
      </c>
      <c r="G1767" s="6" t="str">
        <f>IFERROR(__xludf.DUMMYFUNCTION("GOOGLETRANSLATE(E1767,""fr"",""it"")"),"Ho incontrato le guardie, un tipo di fisico interessante.")</f>
        <v>Ho incontrato le guardie, un tipo di fisico interessante.</v>
      </c>
    </row>
    <row r="1768">
      <c r="A1768" s="4">
        <v>1766.0</v>
      </c>
      <c r="B1768" s="5" t="s">
        <v>5305</v>
      </c>
      <c r="C1768" s="4">
        <v>0.0</v>
      </c>
      <c r="D1768" s="5" t="s">
        <v>5306</v>
      </c>
      <c r="E1768" s="5" t="s">
        <v>5307</v>
      </c>
      <c r="F1768" s="6" t="str">
        <f>IFERROR(__xludf.DUMMYFUNCTION("GOOGLETRANSLATE(D1768,""en"",""it"")"),"Ho incontrato i fisici, un tipo interessante di custode.")</f>
        <v>Ho incontrato i fisici, un tipo interessante di custode.</v>
      </c>
      <c r="G1768" s="6" t="str">
        <f>IFERROR(__xludf.DUMMYFUNCTION("GOOGLETRANSLATE(E1768,""fr"",""it"")"),"Ho incontrato i fisici, un tipo interessante di concierge.")</f>
        <v>Ho incontrato i fisici, un tipo interessante di concierge.</v>
      </c>
    </row>
    <row r="1769">
      <c r="A1769" s="4">
        <v>1767.0</v>
      </c>
      <c r="B1769" s="5" t="s">
        <v>5308</v>
      </c>
      <c r="C1769" s="4">
        <v>0.0</v>
      </c>
      <c r="D1769" s="5" t="s">
        <v>5309</v>
      </c>
      <c r="E1769" s="5" t="s">
        <v>5310</v>
      </c>
      <c r="F1769" s="6" t="str">
        <f>IFERROR(__xludf.DUMMYFUNCTION("GOOGLETRANSLATE(D1769,""en"",""it"")"),"Ho incontrato i bidelli, un tipo di fisico interessante.")</f>
        <v>Ho incontrato i bidelli, un tipo di fisico interessante.</v>
      </c>
      <c r="G1769" s="6" t="str">
        <f>IFERROR(__xludf.DUMMYFUNCTION("GOOGLETRANSLATE(E1769,""fr"",""it"")"),"Ho incontrato i concierges, un tipo di fisico interessante.")</f>
        <v>Ho incontrato i concierges, un tipo di fisico interessante.</v>
      </c>
    </row>
    <row r="1770">
      <c r="A1770" s="4">
        <v>1768.0</v>
      </c>
      <c r="B1770" s="5" t="s">
        <v>5311</v>
      </c>
      <c r="C1770" s="4">
        <v>0.0</v>
      </c>
      <c r="D1770" s="5" t="s">
        <v>5312</v>
      </c>
      <c r="E1770" s="5" t="s">
        <v>5313</v>
      </c>
      <c r="F1770" s="6" t="str">
        <f>IFERROR(__xludf.DUMMYFUNCTION("GOOGLETRANSLATE(D1770,""en"",""it"")"),"Mi piacciono i Blackbirds, tranne i maiali.")</f>
        <v>Mi piacciono i Blackbirds, tranne i maiali.</v>
      </c>
      <c r="G1770" s="6" t="str">
        <f>IFERROR(__xludf.DUMMYFUNCTION("GOOGLETRANSLATE(E1770,""fr"",""it"")"),"Adoro i neri, tranne i maiali.")</f>
        <v>Adoro i neri, tranne i maiali.</v>
      </c>
    </row>
    <row r="1771">
      <c r="A1771" s="4">
        <v>1769.0</v>
      </c>
      <c r="B1771" s="5" t="s">
        <v>5314</v>
      </c>
      <c r="C1771" s="4">
        <v>0.0</v>
      </c>
      <c r="D1771" s="5" t="s">
        <v>5315</v>
      </c>
      <c r="E1771" s="5" t="s">
        <v>5316</v>
      </c>
      <c r="F1771" s="6" t="str">
        <f>IFERROR(__xludf.DUMMYFUNCTION("GOOGLETRANSLATE(D1771,""en"",""it"")"),"Mi piacciono i maiali, tranne i nebubi.")</f>
        <v>Mi piacciono i maiali, tranne i nebubi.</v>
      </c>
      <c r="G1771" s="6" t="str">
        <f>IFERROR(__xludf.DUMMYFUNCTION("GOOGLETRANSLATE(E1771,""fr"",""it"")"),"Mi piacciono i maiali, tranne i muoi.")</f>
        <v>Mi piacciono i maiali, tranne i muoi.</v>
      </c>
    </row>
    <row r="1772">
      <c r="A1772" s="4">
        <v>1770.0</v>
      </c>
      <c r="B1772" s="5" t="s">
        <v>5317</v>
      </c>
      <c r="C1772" s="4">
        <v>0.0</v>
      </c>
      <c r="D1772" s="5" t="s">
        <v>5318</v>
      </c>
      <c r="E1772" s="5" t="s">
        <v>5319</v>
      </c>
      <c r="F1772" s="6" t="str">
        <f>IFERROR(__xludf.DUMMYFUNCTION("GOOGLETRANSLATE(D1772,""en"",""it"")"),"Mi piacciono i blackbirds, tranne i cani.")</f>
        <v>Mi piacciono i blackbirds, tranne i cani.</v>
      </c>
      <c r="G1772" s="6" t="str">
        <f>IFERROR(__xludf.DUMMYFUNCTION("GOOGLETRANSLATE(E1772,""fr"",""it"")"),"Adoro i Blackbirds tranne i cani.")</f>
        <v>Adoro i Blackbirds tranne i cani.</v>
      </c>
    </row>
    <row r="1773">
      <c r="A1773" s="4">
        <v>1771.0</v>
      </c>
      <c r="B1773" s="5" t="s">
        <v>5320</v>
      </c>
      <c r="C1773" s="4">
        <v>0.0</v>
      </c>
      <c r="D1773" s="5" t="s">
        <v>5321</v>
      </c>
      <c r="E1773" s="5" t="s">
        <v>5322</v>
      </c>
      <c r="F1773" s="6" t="str">
        <f>IFERROR(__xludf.DUMMYFUNCTION("GOOGLETRANSLATE(D1773,""en"",""it"")"),"Mi piacciono i cani, tranne i nebubi.")</f>
        <v>Mi piacciono i cani, tranne i nebubi.</v>
      </c>
      <c r="G1773" s="6" t="str">
        <f>IFERROR(__xludf.DUMMYFUNCTION("GOOGLETRANSLATE(E1773,""fr"",""it"")"),"Mi piacciono i cani, tranne i Blackbirds.")</f>
        <v>Mi piacciono i cani, tranne i Blackbirds.</v>
      </c>
    </row>
    <row r="1774">
      <c r="A1774" s="4">
        <v>1772.0</v>
      </c>
      <c r="B1774" s="5" t="s">
        <v>5323</v>
      </c>
      <c r="C1774" s="4">
        <v>1.0</v>
      </c>
      <c r="D1774" s="5" t="s">
        <v>5324</v>
      </c>
      <c r="E1774" s="5" t="s">
        <v>5325</v>
      </c>
      <c r="F1774" s="6" t="str">
        <f>IFERROR(__xludf.DUMMYFUNCTION("GOOGLETRANSLATE(D1774,""en"",""it"")"),"Mi piacciono i husky e anche i gatti.")</f>
        <v>Mi piacciono i husky e anche i gatti.</v>
      </c>
      <c r="G1774" s="6" t="str">
        <f>IFERROR(__xludf.DUMMYFUNCTION("GOOGLETRANSLATE(E1774,""fr"",""it"")"),"Mi piacciono i husky e anche i gatti.")</f>
        <v>Mi piacciono i husky e anche i gatti.</v>
      </c>
    </row>
    <row r="1775">
      <c r="A1775" s="4">
        <v>1773.0</v>
      </c>
      <c r="B1775" s="5" t="s">
        <v>5326</v>
      </c>
      <c r="C1775" s="4">
        <v>1.0</v>
      </c>
      <c r="D1775" s="5" t="s">
        <v>5327</v>
      </c>
      <c r="E1775" s="5" t="s">
        <v>5328</v>
      </c>
      <c r="F1775" s="6" t="str">
        <f>IFERROR(__xludf.DUMMYFUNCTION("GOOGLETRANSLATE(D1775,""en"",""it"")"),"Mi piacciono anche i gatti e i husky.")</f>
        <v>Mi piacciono anche i gatti e i husky.</v>
      </c>
      <c r="G1775" s="6" t="str">
        <f>IFERROR(__xludf.DUMMYFUNCTION("GOOGLETRANSLATE(E1775,""fr"",""it"")"),"Mi piacciono i gatti, e anche gli husky.")</f>
        <v>Mi piacciono i gatti, e anche gli husky.</v>
      </c>
    </row>
    <row r="1776">
      <c r="A1776" s="4">
        <v>1774.0</v>
      </c>
      <c r="B1776" s="5" t="s">
        <v>5329</v>
      </c>
      <c r="C1776" s="4">
        <v>0.0</v>
      </c>
      <c r="D1776" s="5" t="s">
        <v>5330</v>
      </c>
      <c r="E1776" s="5" t="s">
        <v>5331</v>
      </c>
      <c r="F1776" s="6" t="str">
        <f>IFERROR(__xludf.DUMMYFUNCTION("GOOGLETRANSLATE(D1776,""en"",""it"")"),"Mi piacciono anche i husky e i cani.")</f>
        <v>Mi piacciono anche i husky e i cani.</v>
      </c>
      <c r="G1776" s="6" t="str">
        <f>IFERROR(__xludf.DUMMYFUNCTION("GOOGLETRANSLATE(E1776,""fr"",""it"")"),"Adoro i husky e anche i cani.")</f>
        <v>Adoro i husky e anche i cani.</v>
      </c>
    </row>
    <row r="1777">
      <c r="A1777" s="4">
        <v>1775.0</v>
      </c>
      <c r="B1777" s="5" t="s">
        <v>5332</v>
      </c>
      <c r="C1777" s="4">
        <v>0.0</v>
      </c>
      <c r="D1777" s="5" t="s">
        <v>5333</v>
      </c>
      <c r="E1777" s="5" t="s">
        <v>5334</v>
      </c>
      <c r="F1777" s="6" t="str">
        <f>IFERROR(__xludf.DUMMYFUNCTION("GOOGLETRANSLATE(D1777,""en"",""it"")"),"Mi piacciono anche i cani e i husky.")</f>
        <v>Mi piacciono anche i cani e i husky.</v>
      </c>
      <c r="G1777" s="6" t="str">
        <f>IFERROR(__xludf.DUMMYFUNCTION("GOOGLETRANSLATE(E1777,""fr"",""it"")"),"Amo i cani e anche i husky.")</f>
        <v>Amo i cani e anche i husky.</v>
      </c>
    </row>
    <row r="1778">
      <c r="A1778" s="4">
        <v>1776.0</v>
      </c>
      <c r="B1778" s="5" t="s">
        <v>5335</v>
      </c>
      <c r="C1778" s="4">
        <v>1.0</v>
      </c>
      <c r="D1778" s="5" t="s">
        <v>5336</v>
      </c>
      <c r="E1778" s="5" t="s">
        <v>5337</v>
      </c>
      <c r="F1778" s="6" t="str">
        <f>IFERROR(__xludf.DUMMYFUNCTION("GOOGLETRANSLATE(D1778,""en"",""it"")"),"Mi piacciono anche i cani e i gatti.")</f>
        <v>Mi piacciono anche i cani e i gatti.</v>
      </c>
      <c r="G1778" s="6" t="str">
        <f>IFERROR(__xludf.DUMMYFUNCTION("GOOGLETRANSLATE(E1778,""fr"",""it"")"),"Mi piacciono i cani e anche i gatti.")</f>
        <v>Mi piacciono i cani e anche i gatti.</v>
      </c>
    </row>
    <row r="1779">
      <c r="A1779" s="4">
        <v>1777.0</v>
      </c>
      <c r="B1779" s="5" t="s">
        <v>5338</v>
      </c>
      <c r="C1779" s="4">
        <v>1.0</v>
      </c>
      <c r="D1779" s="5" t="s">
        <v>5339</v>
      </c>
      <c r="E1779" s="5" t="s">
        <v>5340</v>
      </c>
      <c r="F1779" s="6" t="str">
        <f>IFERROR(__xludf.DUMMYFUNCTION("GOOGLETRANSLATE(D1779,""en"",""it"")"),"Mi piacciono anche i husky e i criceti.")</f>
        <v>Mi piacciono anche i husky e i criceti.</v>
      </c>
      <c r="G1779" s="6" t="str">
        <f>IFERROR(__xludf.DUMMYFUNCTION("GOOGLETRANSLATE(E1779,""fr"",""it"")"),"Mi piacciono i husky e anche i criceti.")</f>
        <v>Mi piacciono i husky e anche i criceti.</v>
      </c>
    </row>
    <row r="1780">
      <c r="A1780" s="4">
        <v>1778.0</v>
      </c>
      <c r="B1780" s="5" t="s">
        <v>5341</v>
      </c>
      <c r="C1780" s="4">
        <v>1.0</v>
      </c>
      <c r="D1780" s="5" t="s">
        <v>5342</v>
      </c>
      <c r="E1780" s="5" t="s">
        <v>5343</v>
      </c>
      <c r="F1780" s="6" t="str">
        <f>IFERROR(__xludf.DUMMYFUNCTION("GOOGLETRANSLATE(D1780,""en"",""it"")"),"Mi piacciono i criceti e anche i husky.")</f>
        <v>Mi piacciono i criceti e anche i husky.</v>
      </c>
      <c r="G1780" s="6" t="str">
        <f>IFERROR(__xludf.DUMMYFUNCTION("GOOGLETRANSLATE(E1780,""fr"",""it"")"),"Amo i criceti, e anche gli husky.")</f>
        <v>Amo i criceti, e anche gli husky.</v>
      </c>
    </row>
    <row r="1781">
      <c r="A1781" s="4">
        <v>1779.0</v>
      </c>
      <c r="B1781" s="5" t="s">
        <v>5344</v>
      </c>
      <c r="C1781" s="4">
        <v>1.0</v>
      </c>
      <c r="D1781" s="5" t="s">
        <v>5345</v>
      </c>
      <c r="E1781" s="5" t="s">
        <v>5346</v>
      </c>
      <c r="F1781" s="6" t="str">
        <f>IFERROR(__xludf.DUMMYFUNCTION("GOOGLETRANSLATE(D1781,""en"",""it"")"),"Mi piacciono anche i cani e i criceti.")</f>
        <v>Mi piacciono anche i cani e i criceti.</v>
      </c>
      <c r="G1781" s="6" t="str">
        <f>IFERROR(__xludf.DUMMYFUNCTION("GOOGLETRANSLATE(E1781,""fr"",""it"")"),"Amo i cani e anche i criceti.")</f>
        <v>Amo i cani e anche i criceti.</v>
      </c>
    </row>
    <row r="1782">
      <c r="A1782" s="4">
        <v>1780.0</v>
      </c>
      <c r="B1782" s="5" t="s">
        <v>5347</v>
      </c>
      <c r="C1782" s="4">
        <v>1.0</v>
      </c>
      <c r="D1782" s="5" t="s">
        <v>5348</v>
      </c>
      <c r="E1782" s="5" t="s">
        <v>5349</v>
      </c>
      <c r="F1782" s="6" t="str">
        <f>IFERROR(__xludf.DUMMYFUNCTION("GOOGLETRANSLATE(D1782,""en"",""it"")"),"Mi piacciono i husky e anche i pappagalli.")</f>
        <v>Mi piacciono i husky e anche i pappagalli.</v>
      </c>
      <c r="G1782" s="6" t="str">
        <f>IFERROR(__xludf.DUMMYFUNCTION("GOOGLETRANSLATE(E1782,""fr"",""it"")"),"Mi piacciono i husky, e anche i perirouches.")</f>
        <v>Mi piacciono i husky, e anche i perirouches.</v>
      </c>
    </row>
    <row r="1783">
      <c r="A1783" s="4">
        <v>1781.0</v>
      </c>
      <c r="B1783" s="5" t="s">
        <v>5350</v>
      </c>
      <c r="C1783" s="4">
        <v>1.0</v>
      </c>
      <c r="D1783" s="5" t="s">
        <v>5351</v>
      </c>
      <c r="E1783" s="5" t="s">
        <v>5352</v>
      </c>
      <c r="F1783" s="6" t="str">
        <f>IFERROR(__xludf.DUMMYFUNCTION("GOOGLETRANSLATE(D1783,""en"",""it"")"),"Mi piacciono anche i pappagalli e gli husky.")</f>
        <v>Mi piacciono anche i pappagalli e gli husky.</v>
      </c>
      <c r="G1783" s="6" t="str">
        <f>IFERROR(__xludf.DUMMYFUNCTION("GOOGLETRANSLATE(E1783,""fr"",""it"")"),"Amo perrouches, e anche gli husky.")</f>
        <v>Amo perrouches, e anche gli husky.</v>
      </c>
    </row>
    <row r="1784">
      <c r="A1784" s="4">
        <v>1782.0</v>
      </c>
      <c r="B1784" s="5" t="s">
        <v>5353</v>
      </c>
      <c r="C1784" s="4">
        <v>1.0</v>
      </c>
      <c r="D1784" s="5" t="s">
        <v>5354</v>
      </c>
      <c r="E1784" s="5" t="s">
        <v>5355</v>
      </c>
      <c r="F1784" s="6" t="str">
        <f>IFERROR(__xludf.DUMMYFUNCTION("GOOGLETRANSLATE(D1784,""en"",""it"")"),"Mi piacciono anche i cani e i pappagalli.")</f>
        <v>Mi piacciono anche i cani e i pappagalli.</v>
      </c>
      <c r="G1784" s="6" t="str">
        <f>IFERROR(__xludf.DUMMYFUNCTION("GOOGLETRANSLATE(E1784,""fr"",""it"")"),"Mi piacciono i cani, e anche i perirouches.")</f>
        <v>Mi piacciono i cani, e anche i perirouches.</v>
      </c>
    </row>
    <row r="1785">
      <c r="A1785" s="4">
        <v>1783.0</v>
      </c>
      <c r="B1785" s="5" t="s">
        <v>5356</v>
      </c>
      <c r="C1785" s="4">
        <v>1.0</v>
      </c>
      <c r="D1785" s="5" t="s">
        <v>5357</v>
      </c>
      <c r="E1785" s="5" t="s">
        <v>5358</v>
      </c>
      <c r="F1785" s="6" t="str">
        <f>IFERROR(__xludf.DUMMYFUNCTION("GOOGLETRANSLATE(D1785,""en"",""it"")"),"Mi piacciono i husky e anche i conigli.")</f>
        <v>Mi piacciono i husky e anche i conigli.</v>
      </c>
      <c r="G1785" s="6" t="str">
        <f>IFERROR(__xludf.DUMMYFUNCTION("GOOGLETRANSLATE(E1785,""fr"",""it"")"),"Mi piacciono i husky, e anche i conigli.")</f>
        <v>Mi piacciono i husky, e anche i conigli.</v>
      </c>
    </row>
    <row r="1786">
      <c r="A1786" s="4">
        <v>1784.0</v>
      </c>
      <c r="B1786" s="5" t="s">
        <v>5359</v>
      </c>
      <c r="C1786" s="4">
        <v>1.0</v>
      </c>
      <c r="D1786" s="5" t="s">
        <v>5360</v>
      </c>
      <c r="E1786" s="5" t="s">
        <v>5361</v>
      </c>
      <c r="F1786" s="6" t="str">
        <f>IFERROR(__xludf.DUMMYFUNCTION("GOOGLETRANSLATE(D1786,""en"",""it"")"),"Mi piacciono anche i conigli e gli husky.")</f>
        <v>Mi piacciono anche i conigli e gli husky.</v>
      </c>
      <c r="G1786" s="6" t="str">
        <f>IFERROR(__xludf.DUMMYFUNCTION("GOOGLETRANSLATE(E1786,""fr"",""it"")"),"Amo i conigli e anche i husky.")</f>
        <v>Amo i conigli e anche i husky.</v>
      </c>
    </row>
    <row r="1787">
      <c r="A1787" s="4">
        <v>1785.0</v>
      </c>
      <c r="B1787" s="5" t="s">
        <v>5362</v>
      </c>
      <c r="C1787" s="4">
        <v>1.0</v>
      </c>
      <c r="D1787" s="5" t="s">
        <v>5363</v>
      </c>
      <c r="E1787" s="5" t="s">
        <v>5364</v>
      </c>
      <c r="F1787" s="6" t="str">
        <f>IFERROR(__xludf.DUMMYFUNCTION("GOOGLETRANSLATE(D1787,""en"",""it"")"),"Mi piacciono anche i cani e i conigli.")</f>
        <v>Mi piacciono anche i cani e i conigli.</v>
      </c>
      <c r="G1787" s="6" t="str">
        <f>IFERROR(__xludf.DUMMYFUNCTION("GOOGLETRANSLATE(E1787,""fr"",""it"")"),"Mi piacciono i cani e anche i conigli.")</f>
        <v>Mi piacciono i cani e anche i conigli.</v>
      </c>
    </row>
    <row r="1788">
      <c r="A1788" s="4">
        <v>1786.0</v>
      </c>
      <c r="B1788" s="5" t="s">
        <v>5365</v>
      </c>
      <c r="C1788" s="4">
        <v>1.0</v>
      </c>
      <c r="D1788" s="5" t="s">
        <v>5366</v>
      </c>
      <c r="E1788" s="5" t="s">
        <v>5367</v>
      </c>
      <c r="F1788" s="6" t="str">
        <f>IFERROR(__xludf.DUMMYFUNCTION("GOOGLETRANSLATE(D1788,""en"",""it"")"),"Mi piacciono anche i bobtail e i gatti.")</f>
        <v>Mi piacciono anche i bobtail e i gatti.</v>
      </c>
      <c r="G1788" s="6" t="str">
        <f>IFERROR(__xludf.DUMMYFUNCTION("GOOGLETRANSLATE(E1788,""fr"",""it"")"),"Mi piacciono i bobtail e anche i gatti.")</f>
        <v>Mi piacciono i bobtail e anche i gatti.</v>
      </c>
    </row>
    <row r="1789">
      <c r="A1789" s="4">
        <v>1787.0</v>
      </c>
      <c r="B1789" s="5" t="s">
        <v>5368</v>
      </c>
      <c r="C1789" s="4">
        <v>1.0</v>
      </c>
      <c r="D1789" s="5" t="s">
        <v>5369</v>
      </c>
      <c r="E1789" s="5" t="s">
        <v>5370</v>
      </c>
      <c r="F1789" s="6" t="str">
        <f>IFERROR(__xludf.DUMMYFUNCTION("GOOGLETRANSLATE(D1789,""en"",""it"")"),"Mi piacciono anche i gatti e bobtail.")</f>
        <v>Mi piacciono anche i gatti e bobtail.</v>
      </c>
      <c r="G1789" s="6" t="str">
        <f>IFERROR(__xludf.DUMMYFUNCTION("GOOGLETRANSLATE(E1789,""fr"",""it"")"),"Mi piacciono i gatti, e anche i bobtail.")</f>
        <v>Mi piacciono i gatti, e anche i bobtail.</v>
      </c>
    </row>
    <row r="1790">
      <c r="A1790" s="4">
        <v>1788.0</v>
      </c>
      <c r="B1790" s="5" t="s">
        <v>5371</v>
      </c>
      <c r="C1790" s="4">
        <v>0.0</v>
      </c>
      <c r="D1790" s="5" t="s">
        <v>5372</v>
      </c>
      <c r="E1790" s="5" t="s">
        <v>5373</v>
      </c>
      <c r="F1790" s="6" t="str">
        <f>IFERROR(__xludf.DUMMYFUNCTION("GOOGLETRANSLATE(D1790,""en"",""it"")"),"Mi piacciono anche i bobtail e i cani.")</f>
        <v>Mi piacciono anche i bobtail e i cani.</v>
      </c>
      <c r="G1790" s="6" t="str">
        <f>IFERROR(__xludf.DUMMYFUNCTION("GOOGLETRANSLATE(E1790,""fr"",""it"")"),"Mi piacciono i bobtail e anche i cani.")</f>
        <v>Mi piacciono i bobtail e anche i cani.</v>
      </c>
    </row>
    <row r="1791">
      <c r="A1791" s="4">
        <v>1789.0</v>
      </c>
      <c r="B1791" s="5" t="s">
        <v>5374</v>
      </c>
      <c r="C1791" s="4">
        <v>0.0</v>
      </c>
      <c r="D1791" s="5" t="s">
        <v>5375</v>
      </c>
      <c r="E1791" s="5" t="s">
        <v>5376</v>
      </c>
      <c r="F1791" s="6" t="str">
        <f>IFERROR(__xludf.DUMMYFUNCTION("GOOGLETRANSLATE(D1791,""en"",""it"")"),"Mi piacciono anche i cani e bobtail.")</f>
        <v>Mi piacciono anche i cani e bobtail.</v>
      </c>
      <c r="G1791" s="6" t="str">
        <f>IFERROR(__xludf.DUMMYFUNCTION("GOOGLETRANSLATE(E1791,""fr"",""it"")"),"Mi piacciono i cani, e anche i kobtail.")</f>
        <v>Mi piacciono i cani, e anche i kobtail.</v>
      </c>
    </row>
    <row r="1792">
      <c r="A1792" s="4">
        <v>1790.0</v>
      </c>
      <c r="B1792" s="5" t="s">
        <v>5377</v>
      </c>
      <c r="C1792" s="4">
        <v>1.0</v>
      </c>
      <c r="D1792" s="5" t="s">
        <v>5378</v>
      </c>
      <c r="E1792" s="5" t="s">
        <v>5379</v>
      </c>
      <c r="F1792" s="6" t="str">
        <f>IFERROR(__xludf.DUMMYFUNCTION("GOOGLETRANSLATE(D1792,""en"",""it"")"),"Mi piacciono anche i bobtail e i criceti.")</f>
        <v>Mi piacciono anche i bobtail e i criceti.</v>
      </c>
      <c r="G1792" s="6" t="str">
        <f>IFERROR(__xludf.DUMMYFUNCTION("GOOGLETRANSLATE(E1792,""fr"",""it"")"),"Mi piacciono i bobtail e anche i criceti.")</f>
        <v>Mi piacciono i bobtail e anche i criceti.</v>
      </c>
    </row>
    <row r="1793">
      <c r="A1793" s="4">
        <v>1791.0</v>
      </c>
      <c r="B1793" s="5" t="s">
        <v>5380</v>
      </c>
      <c r="C1793" s="4">
        <v>1.0</v>
      </c>
      <c r="D1793" s="5" t="s">
        <v>5381</v>
      </c>
      <c r="E1793" s="5" t="s">
        <v>5382</v>
      </c>
      <c r="F1793" s="6" t="str">
        <f>IFERROR(__xludf.DUMMYFUNCTION("GOOGLETRANSLATE(D1793,""en"",""it"")"),"Mi piacciono anche i criceti e bobtail.")</f>
        <v>Mi piacciono anche i criceti e bobtail.</v>
      </c>
      <c r="G1793" s="6" t="str">
        <f>IFERROR(__xludf.DUMMYFUNCTION("GOOGLETRANSLATE(E1793,""fr"",""it"")"),"Mi piacciono i criceti e anche i bobtail.")</f>
        <v>Mi piacciono i criceti e anche i bobtail.</v>
      </c>
    </row>
    <row r="1794">
      <c r="A1794" s="4">
        <v>1792.0</v>
      </c>
      <c r="B1794" s="5" t="s">
        <v>5383</v>
      </c>
      <c r="C1794" s="4">
        <v>1.0</v>
      </c>
      <c r="D1794" s="5" t="s">
        <v>5384</v>
      </c>
      <c r="E1794" s="5" t="s">
        <v>5385</v>
      </c>
      <c r="F1794" s="6" t="str">
        <f>IFERROR(__xludf.DUMMYFUNCTION("GOOGLETRANSLATE(D1794,""en"",""it"")"),"Mi piacciono anche i bobtail e i pappagalli.")</f>
        <v>Mi piacciono anche i bobtail e i pappagalli.</v>
      </c>
      <c r="G1794" s="6" t="str">
        <f>IFERROR(__xludf.DUMMYFUNCTION("GOOGLETRANSLATE(E1794,""fr"",""it"")"),"Mi piacciono i bobtail, e anche i perirouches.")</f>
        <v>Mi piacciono i bobtail, e anche i perirouches.</v>
      </c>
    </row>
    <row r="1795">
      <c r="A1795" s="4">
        <v>1793.0</v>
      </c>
      <c r="B1795" s="5" t="s">
        <v>5386</v>
      </c>
      <c r="C1795" s="4">
        <v>1.0</v>
      </c>
      <c r="D1795" s="5" t="s">
        <v>5387</v>
      </c>
      <c r="E1795" s="5" t="s">
        <v>5388</v>
      </c>
      <c r="F1795" s="6" t="str">
        <f>IFERROR(__xludf.DUMMYFUNCTION("GOOGLETRANSLATE(D1795,""en"",""it"")"),"Mi piacciono anche i pappagalli e bobtail.")</f>
        <v>Mi piacciono anche i pappagalli e bobtail.</v>
      </c>
      <c r="G1795" s="6" t="str">
        <f>IFERROR(__xludf.DUMMYFUNCTION("GOOGLETRANSLATE(E1795,""fr"",""it"")"),"Mi piacciono i perrouches, e anche i kobtail.")</f>
        <v>Mi piacciono i perrouches, e anche i kobtail.</v>
      </c>
    </row>
    <row r="1796">
      <c r="A1796" s="4">
        <v>1794.0</v>
      </c>
      <c r="B1796" s="5" t="s">
        <v>5389</v>
      </c>
      <c r="C1796" s="4">
        <v>1.0</v>
      </c>
      <c r="D1796" s="5" t="s">
        <v>5390</v>
      </c>
      <c r="E1796" s="5" t="s">
        <v>5391</v>
      </c>
      <c r="F1796" s="6" t="str">
        <f>IFERROR(__xludf.DUMMYFUNCTION("GOOGLETRANSLATE(D1796,""en"",""it"")"),"Mi piacciono anche i bobtail e i conigli.")</f>
        <v>Mi piacciono anche i bobtail e i conigli.</v>
      </c>
      <c r="G1796" s="6" t="str">
        <f>IFERROR(__xludf.DUMMYFUNCTION("GOOGLETRANSLATE(E1796,""fr"",""it"")"),"Mi piacciono i bobtail e anche i conigli.")</f>
        <v>Mi piacciono i bobtail e anche i conigli.</v>
      </c>
    </row>
    <row r="1797">
      <c r="A1797" s="4">
        <v>1795.0</v>
      </c>
      <c r="B1797" s="5" t="s">
        <v>5392</v>
      </c>
      <c r="C1797" s="4">
        <v>1.0</v>
      </c>
      <c r="D1797" s="5" t="s">
        <v>5393</v>
      </c>
      <c r="E1797" s="5" t="s">
        <v>5394</v>
      </c>
      <c r="F1797" s="6" t="str">
        <f>IFERROR(__xludf.DUMMYFUNCTION("GOOGLETRANSLATE(D1797,""en"",""it"")"),"Mi piacciono anche i conigli e bobtail.")</f>
        <v>Mi piacciono anche i conigli e bobtail.</v>
      </c>
      <c r="G1797" s="6" t="str">
        <f>IFERROR(__xludf.DUMMYFUNCTION("GOOGLETRANSLATE(E1797,""fr"",""it"")"),"Amo i conigli, e anche i kobtail.")</f>
        <v>Amo i conigli, e anche i kobtail.</v>
      </c>
    </row>
    <row r="1798">
      <c r="A1798" s="4">
        <v>1796.0</v>
      </c>
      <c r="B1798" s="5" t="s">
        <v>5395</v>
      </c>
      <c r="C1798" s="4">
        <v>1.0</v>
      </c>
      <c r="D1798" s="5" t="s">
        <v>5396</v>
      </c>
      <c r="E1798" s="5" t="s">
        <v>5397</v>
      </c>
      <c r="F1798" s="6" t="str">
        <f>IFERROR(__xludf.DUMMYFUNCTION("GOOGLETRANSLATE(D1798,""en"",""it"")"),"Mi piacciono anche i bulldog e i gatti.")</f>
        <v>Mi piacciono anche i bulldog e i gatti.</v>
      </c>
      <c r="G1798" s="6" t="str">
        <f>IFERROR(__xludf.DUMMYFUNCTION("GOOGLETRANSLATE(E1798,""fr"",""it"")"),"Amo i Bulldogs, e anche i gatti.")</f>
        <v>Amo i Bulldogs, e anche i gatti.</v>
      </c>
    </row>
    <row r="1799">
      <c r="A1799" s="4">
        <v>1797.0</v>
      </c>
      <c r="B1799" s="5" t="s">
        <v>5398</v>
      </c>
      <c r="C1799" s="4">
        <v>1.0</v>
      </c>
      <c r="D1799" s="5" t="s">
        <v>5399</v>
      </c>
      <c r="E1799" s="5" t="s">
        <v>5400</v>
      </c>
      <c r="F1799" s="6" t="str">
        <f>IFERROR(__xludf.DUMMYFUNCTION("GOOGLETRANSLATE(D1799,""en"",""it"")"),"Mi piacciono anche i gatti e i bulldogs.")</f>
        <v>Mi piacciono anche i gatti e i bulldogs.</v>
      </c>
      <c r="G1799" s="6" t="str">
        <f>IFERROR(__xludf.DUMMYFUNCTION("GOOGLETRANSLATE(E1799,""fr"",""it"")"),"Mi piacciono i gatti e anche i bulldog.")</f>
        <v>Mi piacciono i gatti e anche i bulldog.</v>
      </c>
    </row>
    <row r="1800">
      <c r="A1800" s="4">
        <v>1798.0</v>
      </c>
      <c r="B1800" s="5" t="s">
        <v>5401</v>
      </c>
      <c r="C1800" s="4">
        <v>0.0</v>
      </c>
      <c r="D1800" s="5" t="s">
        <v>5402</v>
      </c>
      <c r="E1800" s="5" t="s">
        <v>5403</v>
      </c>
      <c r="F1800" s="6" t="str">
        <f>IFERROR(__xludf.DUMMYFUNCTION("GOOGLETRANSLATE(D1800,""en"",""it"")"),"Mi piacciono anche i bulldog e i cani.")</f>
        <v>Mi piacciono anche i bulldog e i cani.</v>
      </c>
      <c r="G1800" s="6" t="str">
        <f>IFERROR(__xludf.DUMMYFUNCTION("GOOGLETRANSLATE(E1800,""fr"",""it"")"),"Amo i Bulldogs, e anche i cani.")</f>
        <v>Amo i Bulldogs, e anche i cani.</v>
      </c>
    </row>
    <row r="1801">
      <c r="A1801" s="4">
        <v>1799.0</v>
      </c>
      <c r="B1801" s="5" t="s">
        <v>5404</v>
      </c>
      <c r="C1801" s="4">
        <v>0.0</v>
      </c>
      <c r="D1801" s="5" t="s">
        <v>5405</v>
      </c>
      <c r="E1801" s="5" t="s">
        <v>5406</v>
      </c>
      <c r="F1801" s="6" t="str">
        <f>IFERROR(__xludf.DUMMYFUNCTION("GOOGLETRANSLATE(D1801,""en"",""it"")"),"Mi piacciono anche i cani e i bulldogs.")</f>
        <v>Mi piacciono anche i cani e i bulldogs.</v>
      </c>
      <c r="G1801" s="6" t="str">
        <f>IFERROR(__xludf.DUMMYFUNCTION("GOOGLETRANSLATE(E1801,""fr"",""it"")"),"Mi piacciono i cani e anche i bulldogs.")</f>
        <v>Mi piacciono i cani e anche i bulldogs.</v>
      </c>
    </row>
    <row r="1802">
      <c r="A1802" s="4">
        <v>1800.0</v>
      </c>
      <c r="B1802" s="5" t="s">
        <v>5407</v>
      </c>
      <c r="C1802" s="4">
        <v>1.0</v>
      </c>
      <c r="D1802" s="5" t="s">
        <v>5408</v>
      </c>
      <c r="E1802" s="5" t="s">
        <v>5409</v>
      </c>
      <c r="F1802" s="6" t="str">
        <f>IFERROR(__xludf.DUMMYFUNCTION("GOOGLETRANSLATE(D1802,""en"",""it"")"),"Mi piacciono anche i bulldog e i criceti.")</f>
        <v>Mi piacciono anche i bulldog e i criceti.</v>
      </c>
      <c r="G1802" s="6" t="str">
        <f>IFERROR(__xludf.DUMMYFUNCTION("GOOGLETRANSLATE(E1802,""fr"",""it"")"),"Amo i Bulldogs, e anche i criceti.")</f>
        <v>Amo i Bulldogs, e anche i criceti.</v>
      </c>
    </row>
    <row r="1803">
      <c r="A1803" s="4">
        <v>1801.0</v>
      </c>
      <c r="B1803" s="5" t="s">
        <v>5410</v>
      </c>
      <c r="C1803" s="4">
        <v>1.0</v>
      </c>
      <c r="D1803" s="5" t="s">
        <v>5411</v>
      </c>
      <c r="E1803" s="5" t="s">
        <v>5412</v>
      </c>
      <c r="F1803" s="6" t="str">
        <f>IFERROR(__xludf.DUMMYFUNCTION("GOOGLETRANSLATE(D1803,""en"",""it"")"),"Mi piacciono i criceti e anche i bulldog.")</f>
        <v>Mi piacciono i criceti e anche i bulldog.</v>
      </c>
      <c r="G1803" s="6" t="str">
        <f>IFERROR(__xludf.DUMMYFUNCTION("GOOGLETRANSLATE(E1803,""fr"",""it"")"),"Mi piacciono i criceti e anche i bulldog.")</f>
        <v>Mi piacciono i criceti e anche i bulldog.</v>
      </c>
    </row>
    <row r="1804">
      <c r="A1804" s="4">
        <v>1802.0</v>
      </c>
      <c r="B1804" s="5" t="s">
        <v>5413</v>
      </c>
      <c r="C1804" s="4">
        <v>1.0</v>
      </c>
      <c r="D1804" s="5" t="s">
        <v>5414</v>
      </c>
      <c r="E1804" s="5" t="s">
        <v>5415</v>
      </c>
      <c r="F1804" s="6" t="str">
        <f>IFERROR(__xludf.DUMMYFUNCTION("GOOGLETRANSLATE(D1804,""en"",""it"")"),"Mi piacciono anche i bulldog e i pappagalli.")</f>
        <v>Mi piacciono anche i bulldog e i pappagalli.</v>
      </c>
      <c r="G1804" s="6" t="str">
        <f>IFERROR(__xludf.DUMMYFUNCTION("GOOGLETRANSLATE(E1804,""fr"",""it"")"),"Amo i Bulldogs, e anche i perirouches.")</f>
        <v>Amo i Bulldogs, e anche i perirouches.</v>
      </c>
    </row>
    <row r="1805">
      <c r="A1805" s="4">
        <v>1803.0</v>
      </c>
      <c r="B1805" s="5" t="s">
        <v>5416</v>
      </c>
      <c r="C1805" s="4">
        <v>1.0</v>
      </c>
      <c r="D1805" s="5" t="s">
        <v>5417</v>
      </c>
      <c r="E1805" s="5" t="s">
        <v>5418</v>
      </c>
      <c r="F1805" s="6" t="str">
        <f>IFERROR(__xludf.DUMMYFUNCTION("GOOGLETRANSLATE(D1805,""en"",""it"")"),"Mi piacciono anche i pappagalli e i bulldog.")</f>
        <v>Mi piacciono anche i pappagalli e i bulldog.</v>
      </c>
      <c r="G1805" s="6" t="str">
        <f>IFERROR(__xludf.DUMMYFUNCTION("GOOGLETRANSLATE(E1805,""fr"",""it"")"),"Mi piacciono i perrouches, e anche i Bulldogs.")</f>
        <v>Mi piacciono i perrouches, e anche i Bulldogs.</v>
      </c>
    </row>
    <row r="1806">
      <c r="A1806" s="4">
        <v>1804.0</v>
      </c>
      <c r="B1806" s="5" t="s">
        <v>5419</v>
      </c>
      <c r="C1806" s="4">
        <v>1.0</v>
      </c>
      <c r="D1806" s="5" t="s">
        <v>5420</v>
      </c>
      <c r="E1806" s="5" t="s">
        <v>5421</v>
      </c>
      <c r="F1806" s="6" t="str">
        <f>IFERROR(__xludf.DUMMYFUNCTION("GOOGLETRANSLATE(D1806,""en"",""it"")"),"Mi piacciono i Bulldogs e anche i conigli.")</f>
        <v>Mi piacciono i Bulldogs e anche i conigli.</v>
      </c>
      <c r="G1806" s="6" t="str">
        <f>IFERROR(__xludf.DUMMYFUNCTION("GOOGLETRANSLATE(E1806,""fr"",""it"")"),"Amo i Bulldogs, e anche i conigli.")</f>
        <v>Amo i Bulldogs, e anche i conigli.</v>
      </c>
    </row>
    <row r="1807">
      <c r="A1807" s="4">
        <v>1805.0</v>
      </c>
      <c r="B1807" s="5" t="s">
        <v>5422</v>
      </c>
      <c r="C1807" s="4">
        <v>1.0</v>
      </c>
      <c r="D1807" s="5" t="s">
        <v>5423</v>
      </c>
      <c r="E1807" s="5" t="s">
        <v>5424</v>
      </c>
      <c r="F1807" s="6" t="str">
        <f>IFERROR(__xludf.DUMMYFUNCTION("GOOGLETRANSLATE(D1807,""en"",""it"")"),"Mi piacciono anche i conigli e i bulldog.")</f>
        <v>Mi piacciono anche i conigli e i bulldog.</v>
      </c>
      <c r="G1807" s="6" t="str">
        <f>IFERROR(__xludf.DUMMYFUNCTION("GOOGLETRANSLATE(E1807,""fr"",""it"")"),"Amo i conigli e anche i bulldog.")</f>
        <v>Amo i conigli e anche i bulldog.</v>
      </c>
    </row>
    <row r="1808">
      <c r="A1808" s="4">
        <v>1806.0</v>
      </c>
      <c r="B1808" s="5" t="s">
        <v>5425</v>
      </c>
      <c r="C1808" s="4">
        <v>1.0</v>
      </c>
      <c r="D1808" s="5" t="s">
        <v>5426</v>
      </c>
      <c r="E1808" s="5" t="s">
        <v>5427</v>
      </c>
      <c r="F1808" s="6" t="str">
        <f>IFERROR(__xludf.DUMMYFUNCTION("GOOGLETRANSLATE(D1808,""en"",""it"")"),"Mi piacciono anche Beagles e Cats.")</f>
        <v>Mi piacciono anche Beagles e Cats.</v>
      </c>
      <c r="G1808" s="6" t="str">
        <f>IFERROR(__xludf.DUMMYFUNCTION("GOOGLETRANSLATE(E1808,""fr"",""it"")"),"Mi piacciono i Beagles e anche i gatti.")</f>
        <v>Mi piacciono i Beagles e anche i gatti.</v>
      </c>
    </row>
    <row r="1809">
      <c r="A1809" s="4">
        <v>1807.0</v>
      </c>
      <c r="B1809" s="5" t="s">
        <v>5428</v>
      </c>
      <c r="C1809" s="4">
        <v>1.0</v>
      </c>
      <c r="D1809" s="5" t="s">
        <v>5429</v>
      </c>
      <c r="E1809" s="5" t="s">
        <v>5430</v>
      </c>
      <c r="F1809" s="6" t="str">
        <f>IFERROR(__xludf.DUMMYFUNCTION("GOOGLETRANSLATE(D1809,""en"",""it"")"),"Mi piacciono anche i gatti e Beagles.")</f>
        <v>Mi piacciono anche i gatti e Beagles.</v>
      </c>
      <c r="G1809" s="6" t="str">
        <f>IFERROR(__xludf.DUMMYFUNCTION("GOOGLETRANSLATE(E1809,""fr"",""it"")"),"Mi piacciono i gatti, e anche i Beagles.")</f>
        <v>Mi piacciono i gatti, e anche i Beagles.</v>
      </c>
    </row>
    <row r="1810">
      <c r="A1810" s="4">
        <v>1808.0</v>
      </c>
      <c r="B1810" s="5" t="s">
        <v>5431</v>
      </c>
      <c r="C1810" s="4">
        <v>0.0</v>
      </c>
      <c r="D1810" s="5" t="s">
        <v>5432</v>
      </c>
      <c r="E1810" s="5" t="s">
        <v>5433</v>
      </c>
      <c r="F1810" s="6" t="str">
        <f>IFERROR(__xludf.DUMMYFUNCTION("GOOGLETRANSLATE(D1810,""en"",""it"")"),"Mi piacciono anche i Beagles e i cani.")</f>
        <v>Mi piacciono anche i Beagles e i cani.</v>
      </c>
      <c r="G1810" s="6" t="str">
        <f>IFERROR(__xludf.DUMMYFUNCTION("GOOGLETRANSLATE(E1810,""fr"",""it"")"),"Amo Beagles, e anche i cani.")</f>
        <v>Amo Beagles, e anche i cani.</v>
      </c>
    </row>
    <row r="1811">
      <c r="A1811" s="4">
        <v>1809.0</v>
      </c>
      <c r="B1811" s="5" t="s">
        <v>5434</v>
      </c>
      <c r="C1811" s="4">
        <v>0.0</v>
      </c>
      <c r="D1811" s="5" t="s">
        <v>5435</v>
      </c>
      <c r="E1811" s="5" t="s">
        <v>5436</v>
      </c>
      <c r="F1811" s="6" t="str">
        <f>IFERROR(__xludf.DUMMYFUNCTION("GOOGLETRANSLATE(D1811,""en"",""it"")"),"Mi piacciono anche i cani e Beagles.")</f>
        <v>Mi piacciono anche i cani e Beagles.</v>
      </c>
      <c r="G1811" s="6" t="str">
        <f>IFERROR(__xludf.DUMMYFUNCTION("GOOGLETRANSLATE(E1811,""fr"",""it"")"),"Amo i cani, e anche i Beagles.")</f>
        <v>Amo i cani, e anche i Beagles.</v>
      </c>
    </row>
    <row r="1812">
      <c r="A1812" s="4">
        <v>1810.0</v>
      </c>
      <c r="B1812" s="5" t="s">
        <v>5437</v>
      </c>
      <c r="C1812" s="4">
        <v>1.0</v>
      </c>
      <c r="D1812" s="5" t="s">
        <v>5438</v>
      </c>
      <c r="E1812" s="5" t="s">
        <v>5439</v>
      </c>
      <c r="F1812" s="6" t="str">
        <f>IFERROR(__xludf.DUMMYFUNCTION("GOOGLETRANSLATE(D1812,""en"",""it"")"),"Mi piacciono anche Beagles e Hamsters.")</f>
        <v>Mi piacciono anche Beagles e Hamsters.</v>
      </c>
      <c r="G1812" s="6" t="str">
        <f>IFERROR(__xludf.DUMMYFUNCTION("GOOGLETRANSLATE(E1812,""fr"",""it"")"),"Amo Beagles e anche i criceti.")</f>
        <v>Amo Beagles e anche i criceti.</v>
      </c>
    </row>
    <row r="1813">
      <c r="A1813" s="4">
        <v>1811.0</v>
      </c>
      <c r="B1813" s="5" t="s">
        <v>5440</v>
      </c>
      <c r="C1813" s="4">
        <v>1.0</v>
      </c>
      <c r="D1813" s="5" t="s">
        <v>5441</v>
      </c>
      <c r="E1813" s="5" t="s">
        <v>5442</v>
      </c>
      <c r="F1813" s="6" t="str">
        <f>IFERROR(__xludf.DUMMYFUNCTION("GOOGLETRANSLATE(D1813,""en"",""it"")"),"Mi piacciono i criceti e anche Beagles.")</f>
        <v>Mi piacciono i criceti e anche Beagles.</v>
      </c>
      <c r="G1813" s="6" t="str">
        <f>IFERROR(__xludf.DUMMYFUNCTION("GOOGLETRANSLATE(E1813,""fr"",""it"")"),"Amo i criceti, e anche i Beagles.")</f>
        <v>Amo i criceti, e anche i Beagles.</v>
      </c>
    </row>
    <row r="1814">
      <c r="A1814" s="4">
        <v>1812.0</v>
      </c>
      <c r="B1814" s="5" t="s">
        <v>5443</v>
      </c>
      <c r="C1814" s="4">
        <v>1.0</v>
      </c>
      <c r="D1814" s="5" t="s">
        <v>5444</v>
      </c>
      <c r="E1814" s="5" t="s">
        <v>5445</v>
      </c>
      <c r="F1814" s="6" t="str">
        <f>IFERROR(__xludf.DUMMYFUNCTION("GOOGLETRANSLATE(D1814,""en"",""it"")"),"Mi piacciono anche i Beagles e i pappagalli.")</f>
        <v>Mi piacciono anche i Beagles e i pappagalli.</v>
      </c>
      <c r="G1814" s="6" t="str">
        <f>IFERROR(__xludf.DUMMYFUNCTION("GOOGLETRANSLATE(E1814,""fr"",""it"")"),"Mi piacciono i Beagles, e anche i perirouches.")</f>
        <v>Mi piacciono i Beagles, e anche i perirouches.</v>
      </c>
    </row>
    <row r="1815">
      <c r="A1815" s="4">
        <v>1813.0</v>
      </c>
      <c r="B1815" s="5" t="s">
        <v>5446</v>
      </c>
      <c r="C1815" s="4">
        <v>1.0</v>
      </c>
      <c r="D1815" s="5" t="s">
        <v>5447</v>
      </c>
      <c r="E1815" s="5" t="s">
        <v>5448</v>
      </c>
      <c r="F1815" s="6" t="str">
        <f>IFERROR(__xludf.DUMMYFUNCTION("GOOGLETRANSLATE(D1815,""en"",""it"")"),"Mi piacciono anche i pappagalli e Beagles.")</f>
        <v>Mi piacciono anche i pappagalli e Beagles.</v>
      </c>
      <c r="G1815" s="6" t="str">
        <f>IFERROR(__xludf.DUMMYFUNCTION("GOOGLETRANSLATE(E1815,""fr"",""it"")"),"Mi piacciono i perrouches, e anche i Beagles.")</f>
        <v>Mi piacciono i perrouches, e anche i Beagles.</v>
      </c>
    </row>
    <row r="1816">
      <c r="A1816" s="4">
        <v>1814.0</v>
      </c>
      <c r="B1816" s="5" t="s">
        <v>5449</v>
      </c>
      <c r="C1816" s="4">
        <v>1.0</v>
      </c>
      <c r="D1816" s="5" t="s">
        <v>5450</v>
      </c>
      <c r="E1816" s="5" t="s">
        <v>5451</v>
      </c>
      <c r="F1816" s="6" t="str">
        <f>IFERROR(__xludf.DUMMYFUNCTION("GOOGLETRANSLATE(D1816,""en"",""it"")"),"Mi piacciono anche Beagles e conigli.")</f>
        <v>Mi piacciono anche Beagles e conigli.</v>
      </c>
      <c r="G1816" s="6" t="str">
        <f>IFERROR(__xludf.DUMMYFUNCTION("GOOGLETRANSLATE(E1816,""fr"",""it"")"),"Mi piacciono i Beagles, e anche i conigli.")</f>
        <v>Mi piacciono i Beagles, e anche i conigli.</v>
      </c>
    </row>
    <row r="1817">
      <c r="A1817" s="4">
        <v>1815.0</v>
      </c>
      <c r="B1817" s="5" t="s">
        <v>5452</v>
      </c>
      <c r="C1817" s="4">
        <v>1.0</v>
      </c>
      <c r="D1817" s="5" t="s">
        <v>5453</v>
      </c>
      <c r="E1817" s="5" t="s">
        <v>5454</v>
      </c>
      <c r="F1817" s="6" t="str">
        <f>IFERROR(__xludf.DUMMYFUNCTION("GOOGLETRANSLATE(D1817,""en"",""it"")"),"Mi piacciono anche i conigli e beagles.")</f>
        <v>Mi piacciono anche i conigli e beagles.</v>
      </c>
      <c r="G1817" s="6" t="str">
        <f>IFERROR(__xludf.DUMMYFUNCTION("GOOGLETRANSLATE(E1817,""fr"",""it"")"),"Amo i conigli, e anche i Beagles.")</f>
        <v>Amo i conigli, e anche i Beagles.</v>
      </c>
    </row>
    <row r="1818">
      <c r="A1818" s="4">
        <v>1816.0</v>
      </c>
      <c r="B1818" s="5" t="s">
        <v>5455</v>
      </c>
      <c r="C1818" s="4">
        <v>1.0</v>
      </c>
      <c r="D1818" s="5" t="s">
        <v>5456</v>
      </c>
      <c r="E1818" s="5" t="s">
        <v>5457</v>
      </c>
      <c r="F1818" s="6" t="str">
        <f>IFERROR(__xludf.DUMMYFUNCTION("GOOGLETRANSLATE(D1818,""en"",""it"")"),"Mi piacciono anche i pappagalli e i gatti.")</f>
        <v>Mi piacciono anche i pappagalli e i gatti.</v>
      </c>
      <c r="G1818" s="6" t="str">
        <f>IFERROR(__xludf.DUMMYFUNCTION("GOOGLETRANSLATE(E1818,""fr"",""it"")"),"Amo i perrouches e anche i gatti.")</f>
        <v>Amo i perrouches e anche i gatti.</v>
      </c>
    </row>
    <row r="1819">
      <c r="A1819" s="4">
        <v>1817.0</v>
      </c>
      <c r="B1819" s="5" t="s">
        <v>5458</v>
      </c>
      <c r="C1819" s="4">
        <v>1.0</v>
      </c>
      <c r="D1819" s="5" t="s">
        <v>5459</v>
      </c>
      <c r="E1819" s="5" t="s">
        <v>5460</v>
      </c>
      <c r="F1819" s="6" t="str">
        <f>IFERROR(__xludf.DUMMYFUNCTION("GOOGLETRANSLATE(D1819,""en"",""it"")"),"Mi piacciono anche i gatti e i pappagalli.")</f>
        <v>Mi piacciono anche i gatti e i pappagalli.</v>
      </c>
      <c r="G1819" s="6" t="str">
        <f>IFERROR(__xludf.DUMMYFUNCTION("GOOGLETRANSLATE(E1819,""fr"",""it"")"),"Mi piacciono i gatti, e anche i perirouches.")</f>
        <v>Mi piacciono i gatti, e anche i perirouches.</v>
      </c>
    </row>
    <row r="1820">
      <c r="A1820" s="4">
        <v>1818.0</v>
      </c>
      <c r="B1820" s="5" t="s">
        <v>5461</v>
      </c>
      <c r="C1820" s="4">
        <v>0.0</v>
      </c>
      <c r="D1820" s="5" t="s">
        <v>5462</v>
      </c>
      <c r="E1820" s="5" t="s">
        <v>5463</v>
      </c>
      <c r="F1820" s="6" t="str">
        <f>IFERROR(__xludf.DUMMYFUNCTION("GOOGLETRANSLATE(D1820,""en"",""it"")"),"Mi piacciono anche i pappagalli e gli uccelli.")</f>
        <v>Mi piacciono anche i pappagalli e gli uccelli.</v>
      </c>
      <c r="G1820" s="6" t="str">
        <f>IFERROR(__xludf.DUMMYFUNCTION("GOOGLETRANSLATE(E1820,""fr"",""it"")"),"Amo i perrouches, e anche gli uccelli.")</f>
        <v>Amo i perrouches, e anche gli uccelli.</v>
      </c>
    </row>
    <row r="1821">
      <c r="A1821" s="4">
        <v>1819.0</v>
      </c>
      <c r="B1821" s="5" t="s">
        <v>5464</v>
      </c>
      <c r="C1821" s="4">
        <v>0.0</v>
      </c>
      <c r="D1821" s="5" t="s">
        <v>5465</v>
      </c>
      <c r="E1821" s="5" t="s">
        <v>5466</v>
      </c>
      <c r="F1821" s="6" t="str">
        <f>IFERROR(__xludf.DUMMYFUNCTION("GOOGLETRANSLATE(D1821,""en"",""it"")"),"Mi piacciono anche gli uccelli e i pappagalli.")</f>
        <v>Mi piacciono anche gli uccelli e i pappagalli.</v>
      </c>
      <c r="G1821" s="6" t="str">
        <f>IFERROR(__xludf.DUMMYFUNCTION("GOOGLETRANSLATE(E1821,""fr"",""it"")"),"Amo gli uccelli, e anche i perirouches.")</f>
        <v>Amo gli uccelli, e anche i perirouches.</v>
      </c>
    </row>
    <row r="1822">
      <c r="A1822" s="4">
        <v>1820.0</v>
      </c>
      <c r="B1822" s="5" t="s">
        <v>5467</v>
      </c>
      <c r="C1822" s="4">
        <v>1.0</v>
      </c>
      <c r="D1822" s="5" t="s">
        <v>5468</v>
      </c>
      <c r="E1822" s="5" t="s">
        <v>5469</v>
      </c>
      <c r="F1822" s="6" t="str">
        <f>IFERROR(__xludf.DUMMYFUNCTION("GOOGLETRANSLATE(D1822,""en"",""it"")"),"Mi piacciono anche gli uccelli e i gatti.")</f>
        <v>Mi piacciono anche gli uccelli e i gatti.</v>
      </c>
      <c r="G1822" s="6" t="str">
        <f>IFERROR(__xludf.DUMMYFUNCTION("GOOGLETRANSLATE(E1822,""fr"",""it"")"),"Mi piacciono gli uccelli e anche i gatti.")</f>
        <v>Mi piacciono gli uccelli e anche i gatti.</v>
      </c>
    </row>
    <row r="1823">
      <c r="A1823" s="4">
        <v>1821.0</v>
      </c>
      <c r="B1823" s="5" t="s">
        <v>5470</v>
      </c>
      <c r="C1823" s="4">
        <v>1.0</v>
      </c>
      <c r="D1823" s="5" t="s">
        <v>5471</v>
      </c>
      <c r="E1823" s="5" t="s">
        <v>5472</v>
      </c>
      <c r="F1823" s="6" t="str">
        <f>IFERROR(__xludf.DUMMYFUNCTION("GOOGLETRANSLATE(D1823,""en"",""it"")"),"Mi piacciono anche i pappagalli e i criceti.")</f>
        <v>Mi piacciono anche i pappagalli e i criceti.</v>
      </c>
      <c r="G1823" s="6" t="str">
        <f>IFERROR(__xludf.DUMMYFUNCTION("GOOGLETRANSLATE(E1823,""fr"",""it"")"),"Amo i perrouches e anche i criceti.")</f>
        <v>Amo i perrouches e anche i criceti.</v>
      </c>
    </row>
    <row r="1824">
      <c r="A1824" s="4">
        <v>1822.0</v>
      </c>
      <c r="B1824" s="5" t="s">
        <v>5473</v>
      </c>
      <c r="C1824" s="4">
        <v>1.0</v>
      </c>
      <c r="D1824" s="5" t="s">
        <v>5474</v>
      </c>
      <c r="E1824" s="5" t="s">
        <v>5475</v>
      </c>
      <c r="F1824" s="6" t="str">
        <f>IFERROR(__xludf.DUMMYFUNCTION("GOOGLETRANSLATE(D1824,""en"",""it"")"),"Mi piacciono i criceti e anche i pappagalli.")</f>
        <v>Mi piacciono i criceti e anche i pappagalli.</v>
      </c>
      <c r="G1824" s="6" t="str">
        <f>IFERROR(__xludf.DUMMYFUNCTION("GOOGLETRANSLATE(E1824,""fr"",""it"")"),"Amo i criceti e anche i perirouches.")</f>
        <v>Amo i criceti e anche i perirouches.</v>
      </c>
    </row>
    <row r="1825">
      <c r="A1825" s="4">
        <v>1823.0</v>
      </c>
      <c r="B1825" s="5" t="s">
        <v>5476</v>
      </c>
      <c r="C1825" s="4">
        <v>1.0</v>
      </c>
      <c r="D1825" s="5" t="s">
        <v>5477</v>
      </c>
      <c r="E1825" s="5" t="s">
        <v>5478</v>
      </c>
      <c r="F1825" s="6" t="str">
        <f>IFERROR(__xludf.DUMMYFUNCTION("GOOGLETRANSLATE(D1825,""en"",""it"")"),"Mi piacciono anche gli uccelli e i criceti.")</f>
        <v>Mi piacciono anche gli uccelli e i criceti.</v>
      </c>
      <c r="G1825" s="6" t="str">
        <f>IFERROR(__xludf.DUMMYFUNCTION("GOOGLETRANSLATE(E1825,""fr"",""it"")"),"Amo gli uccelli e anche i criceti.")</f>
        <v>Amo gli uccelli e anche i criceti.</v>
      </c>
    </row>
    <row r="1826">
      <c r="A1826" s="4">
        <v>1824.0</v>
      </c>
      <c r="B1826" s="5" t="s">
        <v>5479</v>
      </c>
      <c r="C1826" s="4">
        <v>1.0</v>
      </c>
      <c r="D1826" s="5" t="s">
        <v>5480</v>
      </c>
      <c r="E1826" s="5" t="s">
        <v>5481</v>
      </c>
      <c r="F1826" s="6" t="str">
        <f>IFERROR(__xludf.DUMMYFUNCTION("GOOGLETRANSLATE(D1826,""en"",""it"")"),"Mi piacciono anche i pappagalli e i maiali.")</f>
        <v>Mi piacciono anche i pappagalli e i maiali.</v>
      </c>
      <c r="G1826" s="6" t="str">
        <f>IFERROR(__xludf.DUMMYFUNCTION("GOOGLETRANSLATE(E1826,""fr"",""it"")"),"Mi piacciono i perrouches e anche i maiali.")</f>
        <v>Mi piacciono i perrouches e anche i maiali.</v>
      </c>
    </row>
    <row r="1827">
      <c r="A1827" s="4">
        <v>1825.0</v>
      </c>
      <c r="B1827" s="5" t="s">
        <v>5482</v>
      </c>
      <c r="C1827" s="4">
        <v>1.0</v>
      </c>
      <c r="D1827" s="5" t="s">
        <v>5483</v>
      </c>
      <c r="E1827" s="5" t="s">
        <v>5484</v>
      </c>
      <c r="F1827" s="6" t="str">
        <f>IFERROR(__xludf.DUMMYFUNCTION("GOOGLETRANSLATE(D1827,""en"",""it"")"),"Mi piacciono anche i maiali e i pappagalli.")</f>
        <v>Mi piacciono anche i maiali e i pappagalli.</v>
      </c>
      <c r="G1827" s="6" t="str">
        <f>IFERROR(__xludf.DUMMYFUNCTION("GOOGLETRANSLATE(E1827,""fr"",""it"")"),"Amo i maiali e anche i perirouches.")</f>
        <v>Amo i maiali e anche i perirouches.</v>
      </c>
    </row>
    <row r="1828">
      <c r="A1828" s="4">
        <v>1826.0</v>
      </c>
      <c r="B1828" s="5" t="s">
        <v>5485</v>
      </c>
      <c r="C1828" s="4">
        <v>1.0</v>
      </c>
      <c r="D1828" s="5" t="s">
        <v>5486</v>
      </c>
      <c r="E1828" s="5" t="s">
        <v>5487</v>
      </c>
      <c r="F1828" s="6" t="str">
        <f>IFERROR(__xludf.DUMMYFUNCTION("GOOGLETRANSLATE(D1828,""en"",""it"")"),"Mi piacciono anche gli uccelli e i maiali.")</f>
        <v>Mi piacciono anche gli uccelli e i maiali.</v>
      </c>
      <c r="G1828" s="6" t="str">
        <f>IFERROR(__xludf.DUMMYFUNCTION("GOOGLETRANSLATE(E1828,""fr"",""it"")"),"Mi piacciono gli uccelli e anche i maiali.")</f>
        <v>Mi piacciono gli uccelli e anche i maiali.</v>
      </c>
    </row>
    <row r="1829">
      <c r="A1829" s="4">
        <v>1827.0</v>
      </c>
      <c r="B1829" s="5" t="s">
        <v>5488</v>
      </c>
      <c r="C1829" s="4">
        <v>1.0</v>
      </c>
      <c r="D1829" s="5" t="s">
        <v>5489</v>
      </c>
      <c r="E1829" s="5" t="s">
        <v>5490</v>
      </c>
      <c r="F1829" s="6" t="str">
        <f>IFERROR(__xludf.DUMMYFUNCTION("GOOGLETRANSLATE(D1829,""en"",""it"")"),"Mi piacciono anche i pappagalli e i cani.")</f>
        <v>Mi piacciono anche i pappagalli e i cani.</v>
      </c>
      <c r="G1829" s="6" t="str">
        <f>IFERROR(__xludf.DUMMYFUNCTION("GOOGLETRANSLATE(E1829,""fr"",""it"")"),"Mi piacciono i perrouches e anche i cani.")</f>
        <v>Mi piacciono i perrouches e anche i cani.</v>
      </c>
    </row>
    <row r="1830">
      <c r="A1830" s="4">
        <v>1828.0</v>
      </c>
      <c r="B1830" s="5" t="s">
        <v>5491</v>
      </c>
      <c r="C1830" s="4">
        <v>1.0</v>
      </c>
      <c r="D1830" s="5" t="s">
        <v>5492</v>
      </c>
      <c r="E1830" s="5" t="s">
        <v>5493</v>
      </c>
      <c r="F1830" s="6" t="str">
        <f>IFERROR(__xludf.DUMMYFUNCTION("GOOGLETRANSLATE(D1830,""en"",""it"")"),"Mi piacciono anche gli uccelli e i cani.")</f>
        <v>Mi piacciono anche gli uccelli e i cani.</v>
      </c>
      <c r="G1830" s="6" t="str">
        <f>IFERROR(__xludf.DUMMYFUNCTION("GOOGLETRANSLATE(E1830,""fr"",""it"")"),"Amo gli uccelli e anche i cani.")</f>
        <v>Amo gli uccelli e anche i cani.</v>
      </c>
    </row>
    <row r="1831">
      <c r="A1831" s="4">
        <v>1829.0</v>
      </c>
      <c r="B1831" s="5" t="s">
        <v>5494</v>
      </c>
      <c r="C1831" s="4">
        <v>1.0</v>
      </c>
      <c r="D1831" s="5" t="s">
        <v>5495</v>
      </c>
      <c r="E1831" s="5" t="s">
        <v>5496</v>
      </c>
      <c r="F1831" s="6" t="str">
        <f>IFERROR(__xludf.DUMMYFUNCTION("GOOGLETRANSLATE(D1831,""en"",""it"")"),"Mi piacciono anche le anatre e i gatti.")</f>
        <v>Mi piacciono anche le anatre e i gatti.</v>
      </c>
      <c r="G1831" s="6" t="str">
        <f>IFERROR(__xludf.DUMMYFUNCTION("GOOGLETRANSLATE(E1831,""fr"",""it"")"),"Mi piacciono le anatre e anche i gatti.")</f>
        <v>Mi piacciono le anatre e anche i gatti.</v>
      </c>
    </row>
    <row r="1832">
      <c r="A1832" s="4">
        <v>1830.0</v>
      </c>
      <c r="B1832" s="5" t="s">
        <v>5497</v>
      </c>
      <c r="C1832" s="4">
        <v>1.0</v>
      </c>
      <c r="D1832" s="5" t="s">
        <v>5498</v>
      </c>
      <c r="E1832" s="5" t="s">
        <v>5499</v>
      </c>
      <c r="F1832" s="6" t="str">
        <f>IFERROR(__xludf.DUMMYFUNCTION("GOOGLETRANSLATE(D1832,""en"",""it"")"),"Mi piacciono anche i gatti e le anatre.")</f>
        <v>Mi piacciono anche i gatti e le anatre.</v>
      </c>
      <c r="G1832" s="6" t="str">
        <f>IFERROR(__xludf.DUMMYFUNCTION("GOOGLETRANSLATE(E1832,""fr"",""it"")"),"Mi piacciono i gatti, e anche le anatre.")</f>
        <v>Mi piacciono i gatti, e anche le anatre.</v>
      </c>
    </row>
    <row r="1833">
      <c r="A1833" s="4">
        <v>1831.0</v>
      </c>
      <c r="B1833" s="5" t="s">
        <v>5500</v>
      </c>
      <c r="C1833" s="4">
        <v>0.0</v>
      </c>
      <c r="D1833" s="5" t="s">
        <v>5501</v>
      </c>
      <c r="E1833" s="5" t="s">
        <v>5502</v>
      </c>
      <c r="F1833" s="6" t="str">
        <f>IFERROR(__xludf.DUMMYFUNCTION("GOOGLETRANSLATE(D1833,""en"",""it"")"),"Mi piacciono anche le anatre e gli uccelli.")</f>
        <v>Mi piacciono anche le anatre e gli uccelli.</v>
      </c>
      <c r="G1833" s="6" t="str">
        <f>IFERROR(__xludf.DUMMYFUNCTION("GOOGLETRANSLATE(E1833,""fr"",""it"")"),"Mi piacciono le anatre e anche gli uccelli.")</f>
        <v>Mi piacciono le anatre e anche gli uccelli.</v>
      </c>
    </row>
    <row r="1834">
      <c r="A1834" s="4">
        <v>1832.0</v>
      </c>
      <c r="B1834" s="5" t="s">
        <v>5503</v>
      </c>
      <c r="C1834" s="4">
        <v>0.0</v>
      </c>
      <c r="D1834" s="5" t="s">
        <v>5504</v>
      </c>
      <c r="E1834" s="5" t="s">
        <v>5505</v>
      </c>
      <c r="F1834" s="6" t="str">
        <f>IFERROR(__xludf.DUMMYFUNCTION("GOOGLETRANSLATE(D1834,""en"",""it"")"),"Mi piacciono anche gli uccelli e le anatre.")</f>
        <v>Mi piacciono anche gli uccelli e le anatre.</v>
      </c>
      <c r="G1834" s="6" t="str">
        <f>IFERROR(__xludf.DUMMYFUNCTION("GOOGLETRANSLATE(E1834,""fr"",""it"")"),"Amo gli uccelli e anche le anatre.")</f>
        <v>Amo gli uccelli e anche le anatre.</v>
      </c>
    </row>
    <row r="1835">
      <c r="A1835" s="4">
        <v>1833.0</v>
      </c>
      <c r="B1835" s="5" t="s">
        <v>5506</v>
      </c>
      <c r="C1835" s="4">
        <v>1.0</v>
      </c>
      <c r="D1835" s="5" t="s">
        <v>5507</v>
      </c>
      <c r="E1835" s="5" t="s">
        <v>5508</v>
      </c>
      <c r="F1835" s="6" t="str">
        <f>IFERROR(__xludf.DUMMYFUNCTION("GOOGLETRANSLATE(D1835,""en"",""it"")"),"Mi piacciono anche le anatre e i criceti.")</f>
        <v>Mi piacciono anche le anatre e i criceti.</v>
      </c>
      <c r="G1835" s="6" t="str">
        <f>IFERROR(__xludf.DUMMYFUNCTION("GOOGLETRANSLATE(E1835,""fr"",""it"")"),"Amo le anatre e anche i criceti.")</f>
        <v>Amo le anatre e anche i criceti.</v>
      </c>
    </row>
    <row r="1836">
      <c r="A1836" s="4">
        <v>1834.0</v>
      </c>
      <c r="B1836" s="5" t="s">
        <v>5509</v>
      </c>
      <c r="C1836" s="4">
        <v>1.0</v>
      </c>
      <c r="D1836" s="5" t="s">
        <v>5510</v>
      </c>
      <c r="E1836" s="5" t="s">
        <v>5511</v>
      </c>
      <c r="F1836" s="6" t="str">
        <f>IFERROR(__xludf.DUMMYFUNCTION("GOOGLETRANSLATE(D1836,""en"",""it"")"),"Mi piacciono anche i criceti e le anatre.")</f>
        <v>Mi piacciono anche i criceti e le anatre.</v>
      </c>
      <c r="G1836" s="6" t="str">
        <f>IFERROR(__xludf.DUMMYFUNCTION("GOOGLETRANSLATE(E1836,""fr"",""it"")"),"Mi piacciono i criceti e anche le anatre.")</f>
        <v>Mi piacciono i criceti e anche le anatre.</v>
      </c>
    </row>
    <row r="1837">
      <c r="A1837" s="4">
        <v>1835.0</v>
      </c>
      <c r="B1837" s="5" t="s">
        <v>5512</v>
      </c>
      <c r="C1837" s="4">
        <v>1.0</v>
      </c>
      <c r="D1837" s="5" t="s">
        <v>5513</v>
      </c>
      <c r="E1837" s="5" t="s">
        <v>5514</v>
      </c>
      <c r="F1837" s="6" t="str">
        <f>IFERROR(__xludf.DUMMYFUNCTION("GOOGLETRANSLATE(D1837,""en"",""it"")"),"Mi piacciono anche le anatre e i maiali.")</f>
        <v>Mi piacciono anche le anatre e i maiali.</v>
      </c>
      <c r="G1837" s="6" t="str">
        <f>IFERROR(__xludf.DUMMYFUNCTION("GOOGLETRANSLATE(E1837,""fr"",""it"")"),"Mi piacciono le anatre e anche i maiali.")</f>
        <v>Mi piacciono le anatre e anche i maiali.</v>
      </c>
    </row>
    <row r="1838">
      <c r="A1838" s="4">
        <v>1836.0</v>
      </c>
      <c r="B1838" s="5" t="s">
        <v>5515</v>
      </c>
      <c r="C1838" s="4">
        <v>1.0</v>
      </c>
      <c r="D1838" s="5" t="s">
        <v>5516</v>
      </c>
      <c r="E1838" s="5" t="s">
        <v>5517</v>
      </c>
      <c r="F1838" s="6" t="str">
        <f>IFERROR(__xludf.DUMMYFUNCTION("GOOGLETRANSLATE(D1838,""en"",""it"")"),"Mi piacciono anche i maiali e le anatre.")</f>
        <v>Mi piacciono anche i maiali e le anatre.</v>
      </c>
      <c r="G1838" s="6" t="str">
        <f>IFERROR(__xludf.DUMMYFUNCTION("GOOGLETRANSLATE(E1838,""fr"",""it"")"),"Amo i maiali e anche le anatre.")</f>
        <v>Amo i maiali e anche le anatre.</v>
      </c>
    </row>
    <row r="1839">
      <c r="A1839" s="4">
        <v>1837.0</v>
      </c>
      <c r="B1839" s="5" t="s">
        <v>5518</v>
      </c>
      <c r="C1839" s="4">
        <v>1.0</v>
      </c>
      <c r="D1839" s="5" t="s">
        <v>5519</v>
      </c>
      <c r="E1839" s="5" t="s">
        <v>5520</v>
      </c>
      <c r="F1839" s="6" t="str">
        <f>IFERROR(__xludf.DUMMYFUNCTION("GOOGLETRANSLATE(D1839,""en"",""it"")"),"Mi piacciono anche le anatre e i cani.")</f>
        <v>Mi piacciono anche le anatre e i cani.</v>
      </c>
      <c r="G1839" s="6" t="str">
        <f>IFERROR(__xludf.DUMMYFUNCTION("GOOGLETRANSLATE(E1839,""fr"",""it"")"),"Mi piacciono le anatre e anche i cani.")</f>
        <v>Mi piacciono le anatre e anche i cani.</v>
      </c>
    </row>
    <row r="1840">
      <c r="A1840" s="4">
        <v>1838.0</v>
      </c>
      <c r="B1840" s="5" t="s">
        <v>5521</v>
      </c>
      <c r="C1840" s="4">
        <v>1.0</v>
      </c>
      <c r="D1840" s="5" t="s">
        <v>5522</v>
      </c>
      <c r="E1840" s="5" t="s">
        <v>5523</v>
      </c>
      <c r="F1840" s="6" t="str">
        <f>IFERROR(__xludf.DUMMYFUNCTION("GOOGLETRANSLATE(D1840,""en"",""it"")"),"Mi piacciono anche i cani e le anatre.")</f>
        <v>Mi piacciono anche i cani e le anatre.</v>
      </c>
      <c r="G1840" s="6" t="str">
        <f>IFERROR(__xludf.DUMMYFUNCTION("GOOGLETRANSLATE(E1840,""fr"",""it"")"),"Mi piacciono i cani e anche le anatre.")</f>
        <v>Mi piacciono i cani e anche le anatre.</v>
      </c>
    </row>
    <row r="1841">
      <c r="A1841" s="4">
        <v>1839.0</v>
      </c>
      <c r="B1841" s="5" t="s">
        <v>5524</v>
      </c>
      <c r="C1841" s="4">
        <v>1.0</v>
      </c>
      <c r="D1841" s="5" t="s">
        <v>5525</v>
      </c>
      <c r="E1841" s="5" t="s">
        <v>5526</v>
      </c>
      <c r="F1841" s="6" t="str">
        <f>IFERROR(__xludf.DUMMYFUNCTION("GOOGLETRANSLATE(D1841,""en"",""it"")"),"Mi piacciono i Blackbirds e anche i gatti.")</f>
        <v>Mi piacciono i Blackbirds e anche i gatti.</v>
      </c>
      <c r="G1841" s="6" t="str">
        <f>IFERROR(__xludf.DUMMYFUNCTION("GOOGLETRANSLATE(E1841,""fr"",""it"")"),"Adoro i Blackbirds e anche i gatti.")</f>
        <v>Adoro i Blackbirds e anche i gatti.</v>
      </c>
    </row>
    <row r="1842">
      <c r="A1842" s="4">
        <v>1840.0</v>
      </c>
      <c r="B1842" s="5" t="s">
        <v>5527</v>
      </c>
      <c r="C1842" s="4">
        <v>1.0</v>
      </c>
      <c r="D1842" s="5" t="s">
        <v>5528</v>
      </c>
      <c r="E1842" s="5" t="s">
        <v>5529</v>
      </c>
      <c r="F1842" s="6" t="str">
        <f>IFERROR(__xludf.DUMMYFUNCTION("GOOGLETRANSLATE(D1842,""en"",""it"")"),"Mi piacciono anche i gatti e i blackbirds.")</f>
        <v>Mi piacciono anche i gatti e i blackbirds.</v>
      </c>
      <c r="G1842" s="6" t="str">
        <f>IFERROR(__xludf.DUMMYFUNCTION("GOOGLETRANSLATE(E1842,""fr"",""it"")"),"Mi piacciono i gatti, e anche i morele.")</f>
        <v>Mi piacciono i gatti, e anche i morele.</v>
      </c>
    </row>
    <row r="1843">
      <c r="A1843" s="4">
        <v>1841.0</v>
      </c>
      <c r="B1843" s="5" t="s">
        <v>5530</v>
      </c>
      <c r="C1843" s="4">
        <v>0.0</v>
      </c>
      <c r="D1843" s="5" t="s">
        <v>5531</v>
      </c>
      <c r="E1843" s="5" t="s">
        <v>5532</v>
      </c>
      <c r="F1843" s="6" t="str">
        <f>IFERROR(__xludf.DUMMYFUNCTION("GOOGLETRANSLATE(D1843,""en"",""it"")"),"Mi piacciono i Blackbirds e anche gli uccelli.")</f>
        <v>Mi piacciono i Blackbirds e anche gli uccelli.</v>
      </c>
      <c r="G1843" s="6" t="str">
        <f>IFERROR(__xludf.DUMMYFUNCTION("GOOGLETRANSLATE(E1843,""fr"",""it"")"),"Adoro i Merle, e anche gli uccelli.")</f>
        <v>Adoro i Merle, e anche gli uccelli.</v>
      </c>
    </row>
    <row r="1844">
      <c r="A1844" s="4">
        <v>1842.0</v>
      </c>
      <c r="B1844" s="5" t="s">
        <v>5533</v>
      </c>
      <c r="C1844" s="4">
        <v>0.0</v>
      </c>
      <c r="D1844" s="5" t="s">
        <v>5534</v>
      </c>
      <c r="E1844" s="5" t="s">
        <v>5535</v>
      </c>
      <c r="F1844" s="6" t="str">
        <f>IFERROR(__xludf.DUMMYFUNCTION("GOOGLETRANSLATE(D1844,""en"",""it"")"),"Mi piacciono anche gli uccelli e i blackbirds.")</f>
        <v>Mi piacciono anche gli uccelli e i blackbirds.</v>
      </c>
      <c r="G1844" s="6" t="str">
        <f>IFERROR(__xludf.DUMMYFUNCTION("GOOGLETRANSLATE(E1844,""fr"",""it"")"),"Amo gli uccelli, e anche i nebubi.")</f>
        <v>Amo gli uccelli, e anche i nebubi.</v>
      </c>
    </row>
    <row r="1845">
      <c r="A1845" s="4">
        <v>1843.0</v>
      </c>
      <c r="B1845" s="5" t="s">
        <v>5536</v>
      </c>
      <c r="C1845" s="4">
        <v>1.0</v>
      </c>
      <c r="D1845" s="5" t="s">
        <v>5537</v>
      </c>
      <c r="E1845" s="5" t="s">
        <v>5538</v>
      </c>
      <c r="F1845" s="6" t="str">
        <f>IFERROR(__xludf.DUMMYFUNCTION("GOOGLETRANSLATE(D1845,""en"",""it"")"),"Mi piacciono i Blackbirds e i criceti.")</f>
        <v>Mi piacciono i Blackbirds e i criceti.</v>
      </c>
      <c r="G1845" s="6" t="str">
        <f>IFERROR(__xludf.DUMMYFUNCTION("GOOGLETRANSLATE(E1845,""fr"",""it"")"),"Amo i neri, e anche i criceti.")</f>
        <v>Amo i neri, e anche i criceti.</v>
      </c>
    </row>
    <row r="1846">
      <c r="A1846" s="4">
        <v>1844.0</v>
      </c>
      <c r="B1846" s="5" t="s">
        <v>5539</v>
      </c>
      <c r="C1846" s="4">
        <v>1.0</v>
      </c>
      <c r="D1846" s="5" t="s">
        <v>5540</v>
      </c>
      <c r="E1846" s="5" t="s">
        <v>5541</v>
      </c>
      <c r="F1846" s="6" t="str">
        <f>IFERROR(__xludf.DUMMYFUNCTION("GOOGLETRANSLATE(D1846,""en"",""it"")"),"Mi piacciono i criceti e anche i blackbirds.")</f>
        <v>Mi piacciono i criceti e anche i blackbirds.</v>
      </c>
      <c r="G1846" s="6" t="str">
        <f>IFERROR(__xludf.DUMMYFUNCTION("GOOGLETRANSLATE(E1846,""fr"",""it"")"),"Amo i criceti, e anche i morele.")</f>
        <v>Amo i criceti, e anche i morele.</v>
      </c>
    </row>
    <row r="1847">
      <c r="A1847" s="4">
        <v>1845.0</v>
      </c>
      <c r="B1847" s="5" t="s">
        <v>5542</v>
      </c>
      <c r="C1847" s="4">
        <v>1.0</v>
      </c>
      <c r="D1847" s="5" t="s">
        <v>5543</v>
      </c>
      <c r="E1847" s="5" t="s">
        <v>5544</v>
      </c>
      <c r="F1847" s="6" t="str">
        <f>IFERROR(__xludf.DUMMYFUNCTION("GOOGLETRANSLATE(D1847,""en"",""it"")"),"Mi piacciono i Blackbirds e anche i maiali.")</f>
        <v>Mi piacciono i Blackbirds e anche i maiali.</v>
      </c>
      <c r="G1847" s="6" t="str">
        <f>IFERROR(__xludf.DUMMYFUNCTION("GOOGLETRANSLATE(E1847,""fr"",""it"")"),"Adoro i neri e anche i maiali.")</f>
        <v>Adoro i neri e anche i maiali.</v>
      </c>
    </row>
    <row r="1848">
      <c r="A1848" s="4">
        <v>1846.0</v>
      </c>
      <c r="B1848" s="5" t="s">
        <v>5545</v>
      </c>
      <c r="C1848" s="4">
        <v>1.0</v>
      </c>
      <c r="D1848" s="5" t="s">
        <v>5546</v>
      </c>
      <c r="E1848" s="5" t="s">
        <v>5547</v>
      </c>
      <c r="F1848" s="6" t="str">
        <f>IFERROR(__xludf.DUMMYFUNCTION("GOOGLETRANSLATE(D1848,""en"",""it"")"),"Mi piacciono anche i maiali e i blackbirds.")</f>
        <v>Mi piacciono anche i maiali e i blackbirds.</v>
      </c>
      <c r="G1848" s="6" t="str">
        <f>IFERROR(__xludf.DUMMYFUNCTION("GOOGLETRANSLATE(E1848,""fr"",""it"")"),"Amo i maiali e anche i nebuni.")</f>
        <v>Amo i maiali e anche i nebuni.</v>
      </c>
    </row>
    <row r="1849">
      <c r="A1849" s="4">
        <v>1847.0</v>
      </c>
      <c r="B1849" s="5" t="s">
        <v>5548</v>
      </c>
      <c r="C1849" s="4">
        <v>1.0</v>
      </c>
      <c r="D1849" s="5" t="s">
        <v>5549</v>
      </c>
      <c r="E1849" s="5" t="s">
        <v>5550</v>
      </c>
      <c r="F1849" s="6" t="str">
        <f>IFERROR(__xludf.DUMMYFUNCTION("GOOGLETRANSLATE(D1849,""en"",""it"")"),"Mi piacciono i Blackbirds e anche i cani.")</f>
        <v>Mi piacciono i Blackbirds e anche i cani.</v>
      </c>
      <c r="G1849" s="6" t="str">
        <f>IFERROR(__xludf.DUMMYFUNCTION("GOOGLETRANSLATE(E1849,""fr"",""it"")"),"Amo i neri, e anche i cani.")</f>
        <v>Amo i neri, e anche i cani.</v>
      </c>
    </row>
    <row r="1850">
      <c r="A1850" s="4">
        <v>1848.0</v>
      </c>
      <c r="B1850" s="5" t="s">
        <v>5551</v>
      </c>
      <c r="C1850" s="4">
        <v>1.0</v>
      </c>
      <c r="D1850" s="5" t="s">
        <v>5552</v>
      </c>
      <c r="E1850" s="5" t="s">
        <v>5553</v>
      </c>
      <c r="F1850" s="6" t="str">
        <f>IFERROR(__xludf.DUMMYFUNCTION("GOOGLETRANSLATE(D1850,""en"",""it"")"),"Mi piacciono anche i cani e i blackbirds.")</f>
        <v>Mi piacciono anche i cani e i blackbirds.</v>
      </c>
      <c r="G1850" s="6" t="str">
        <f>IFERROR(__xludf.DUMMYFUNCTION("GOOGLETRANSLATE(E1850,""fr"",""it"")"),"Amo i cani, e anche i Blackbirds.")</f>
        <v>Amo i cani, e anche i Blackbirds.</v>
      </c>
    </row>
    <row r="1851">
      <c r="A1851" s="4">
        <v>1849.0</v>
      </c>
      <c r="B1851" s="5" t="s">
        <v>5554</v>
      </c>
      <c r="C1851" s="4">
        <v>1.0</v>
      </c>
      <c r="D1851" s="5" t="s">
        <v>5555</v>
      </c>
      <c r="E1851" s="5" t="s">
        <v>5556</v>
      </c>
      <c r="F1851" s="6" t="str">
        <f>IFERROR(__xludf.DUMMYFUNCTION("GOOGLETRANSLATE(D1851,""en"",""it"")"),"Mi piacciono anche i passeri e i gatti.")</f>
        <v>Mi piacciono anche i passeri e i gatti.</v>
      </c>
      <c r="G1851" s="6" t="str">
        <f>IFERROR(__xludf.DUMMYFUNCTION("GOOGLETRANSLATE(E1851,""fr"",""it"")"),"Adoro i passeri e anche i gatti.")</f>
        <v>Adoro i passeri e anche i gatti.</v>
      </c>
    </row>
    <row r="1852">
      <c r="A1852" s="4">
        <v>1850.0</v>
      </c>
      <c r="B1852" s="5" t="s">
        <v>5557</v>
      </c>
      <c r="C1852" s="4">
        <v>1.0</v>
      </c>
      <c r="D1852" s="5" t="s">
        <v>5558</v>
      </c>
      <c r="E1852" s="5" t="s">
        <v>5559</v>
      </c>
      <c r="F1852" s="6" t="str">
        <f>IFERROR(__xludf.DUMMYFUNCTION("GOOGLETRANSLATE(D1852,""en"",""it"")"),"Mi piacciono anche i gatti e i passeri.")</f>
        <v>Mi piacciono anche i gatti e i passeri.</v>
      </c>
      <c r="G1852" s="6" t="str">
        <f>IFERROR(__xludf.DUMMYFUNCTION("GOOGLETRANSLATE(E1852,""fr"",""it"")"),"Mi piacciono i gatti e anche i passeri.")</f>
        <v>Mi piacciono i gatti e anche i passeri.</v>
      </c>
    </row>
    <row r="1853">
      <c r="A1853" s="4">
        <v>1851.0</v>
      </c>
      <c r="B1853" s="5" t="s">
        <v>5560</v>
      </c>
      <c r="C1853" s="4">
        <v>0.0</v>
      </c>
      <c r="D1853" s="5" t="s">
        <v>5561</v>
      </c>
      <c r="E1853" s="5" t="s">
        <v>5562</v>
      </c>
      <c r="F1853" s="6" t="str">
        <f>IFERROR(__xludf.DUMMYFUNCTION("GOOGLETRANSLATE(D1853,""en"",""it"")"),"Mi piacciono anche i passeri e gli uccelli.")</f>
        <v>Mi piacciono anche i passeri e gli uccelli.</v>
      </c>
      <c r="G1853" s="6" t="str">
        <f>IFERROR(__xludf.DUMMYFUNCTION("GOOGLETRANSLATE(E1853,""fr"",""it"")"),"Adoro i passeri e anche gli uccelli.")</f>
        <v>Adoro i passeri e anche gli uccelli.</v>
      </c>
    </row>
    <row r="1854">
      <c r="A1854" s="4">
        <v>1852.0</v>
      </c>
      <c r="B1854" s="5" t="s">
        <v>5563</v>
      </c>
      <c r="C1854" s="4">
        <v>0.0</v>
      </c>
      <c r="D1854" s="5" t="s">
        <v>5564</v>
      </c>
      <c r="E1854" s="5" t="s">
        <v>5565</v>
      </c>
      <c r="F1854" s="6" t="str">
        <f>IFERROR(__xludf.DUMMYFUNCTION("GOOGLETRANSLATE(D1854,""en"",""it"")"),"Mi piacciono anche gli uccelli e i passeri.")</f>
        <v>Mi piacciono anche gli uccelli e i passeri.</v>
      </c>
      <c r="G1854" s="6" t="str">
        <f>IFERROR(__xludf.DUMMYFUNCTION("GOOGLETRANSLATE(E1854,""fr"",""it"")"),"Amo gli uccelli e anche i passeri.")</f>
        <v>Amo gli uccelli e anche i passeri.</v>
      </c>
    </row>
    <row r="1855">
      <c r="A1855" s="4">
        <v>1853.0</v>
      </c>
      <c r="B1855" s="5" t="s">
        <v>5566</v>
      </c>
      <c r="C1855" s="4">
        <v>1.0</v>
      </c>
      <c r="D1855" s="5" t="s">
        <v>5567</v>
      </c>
      <c r="E1855" s="5" t="s">
        <v>5568</v>
      </c>
      <c r="F1855" s="6" t="str">
        <f>IFERROR(__xludf.DUMMYFUNCTION("GOOGLETRANSLATE(D1855,""en"",""it"")"),"Mi piacciono anche i passeri e i criceti.")</f>
        <v>Mi piacciono anche i passeri e i criceti.</v>
      </c>
      <c r="G1855" s="6" t="str">
        <f>IFERROR(__xludf.DUMMYFUNCTION("GOOGLETRANSLATE(E1855,""fr"",""it"")"),"Adoro i passeri e anche i criceti.")</f>
        <v>Adoro i passeri e anche i criceti.</v>
      </c>
    </row>
    <row r="1856">
      <c r="A1856" s="4">
        <v>1854.0</v>
      </c>
      <c r="B1856" s="5" t="s">
        <v>5569</v>
      </c>
      <c r="C1856" s="4">
        <v>1.0</v>
      </c>
      <c r="D1856" s="5" t="s">
        <v>5570</v>
      </c>
      <c r="E1856" s="5" t="s">
        <v>5571</v>
      </c>
      <c r="F1856" s="6" t="str">
        <f>IFERROR(__xludf.DUMMYFUNCTION("GOOGLETRANSLATE(D1856,""en"",""it"")"),"Mi piacciono anche i criceti e i passeri.")</f>
        <v>Mi piacciono anche i criceti e i passeri.</v>
      </c>
      <c r="G1856" s="6" t="str">
        <f>IFERROR(__xludf.DUMMYFUNCTION("GOOGLETRANSLATE(E1856,""fr"",""it"")"),"Amo i criceti e anche i passeri.")</f>
        <v>Amo i criceti e anche i passeri.</v>
      </c>
    </row>
    <row r="1857">
      <c r="A1857" s="4">
        <v>1855.0</v>
      </c>
      <c r="B1857" s="5" t="s">
        <v>5572</v>
      </c>
      <c r="C1857" s="4">
        <v>1.0</v>
      </c>
      <c r="D1857" s="5" t="s">
        <v>5573</v>
      </c>
      <c r="E1857" s="5" t="s">
        <v>5574</v>
      </c>
      <c r="F1857" s="6" t="str">
        <f>IFERROR(__xludf.DUMMYFUNCTION("GOOGLETRANSLATE(D1857,""en"",""it"")"),"Mi piacciono anche i passeri e i maiali.")</f>
        <v>Mi piacciono anche i passeri e i maiali.</v>
      </c>
      <c r="G1857" s="6" t="str">
        <f>IFERROR(__xludf.DUMMYFUNCTION("GOOGLETRANSLATE(E1857,""fr"",""it"")"),"Amo i passeri e anche i maiali.")</f>
        <v>Amo i passeri e anche i maiali.</v>
      </c>
    </row>
    <row r="1858">
      <c r="A1858" s="4">
        <v>1856.0</v>
      </c>
      <c r="B1858" s="5" t="s">
        <v>5575</v>
      </c>
      <c r="C1858" s="4">
        <v>1.0</v>
      </c>
      <c r="D1858" s="5" t="s">
        <v>5576</v>
      </c>
      <c r="E1858" s="5" t="s">
        <v>5577</v>
      </c>
      <c r="F1858" s="6" t="str">
        <f>IFERROR(__xludf.DUMMYFUNCTION("GOOGLETRANSLATE(D1858,""en"",""it"")"),"Mi piacciono anche i maiali e i passeri.")</f>
        <v>Mi piacciono anche i maiali e i passeri.</v>
      </c>
      <c r="G1858" s="6" t="str">
        <f>IFERROR(__xludf.DUMMYFUNCTION("GOOGLETRANSLATE(E1858,""fr"",""it"")"),"Amo i maiali e anche i passeri.")</f>
        <v>Amo i maiali e anche i passeri.</v>
      </c>
    </row>
    <row r="1859">
      <c r="A1859" s="4">
        <v>1857.0</v>
      </c>
      <c r="B1859" s="5" t="s">
        <v>5578</v>
      </c>
      <c r="C1859" s="4">
        <v>1.0</v>
      </c>
      <c r="D1859" s="5" t="s">
        <v>5579</v>
      </c>
      <c r="E1859" s="5" t="s">
        <v>5580</v>
      </c>
      <c r="F1859" s="6" t="str">
        <f>IFERROR(__xludf.DUMMYFUNCTION("GOOGLETRANSLATE(D1859,""en"",""it"")"),"Mi piacciono anche i passeri e i cani.")</f>
        <v>Mi piacciono anche i passeri e i cani.</v>
      </c>
      <c r="G1859" s="6" t="str">
        <f>IFERROR(__xludf.DUMMYFUNCTION("GOOGLETRANSLATE(E1859,""fr"",""it"")"),"Adoro i passeri e anche i cani.")</f>
        <v>Adoro i passeri e anche i cani.</v>
      </c>
    </row>
    <row r="1860">
      <c r="A1860" s="4">
        <v>1858.0</v>
      </c>
      <c r="B1860" s="5" t="s">
        <v>5581</v>
      </c>
      <c r="C1860" s="4">
        <v>1.0</v>
      </c>
      <c r="D1860" s="5" t="s">
        <v>5582</v>
      </c>
      <c r="E1860" s="5" t="s">
        <v>5583</v>
      </c>
      <c r="F1860" s="6" t="str">
        <f>IFERROR(__xludf.DUMMYFUNCTION("GOOGLETRANSLATE(D1860,""en"",""it"")"),"Mi piacciono anche i cani e i passeri.")</f>
        <v>Mi piacciono anche i cani e i passeri.</v>
      </c>
      <c r="G1860" s="6" t="str">
        <f>IFERROR(__xludf.DUMMYFUNCTION("GOOGLETRANSLATE(E1860,""fr"",""it"")"),"Amo i cani e anche i passeri.")</f>
        <v>Amo i cani e anche i passeri.</v>
      </c>
    </row>
    <row r="1861">
      <c r="A1861" s="4">
        <v>1859.0</v>
      </c>
      <c r="B1861" s="5" t="s">
        <v>5584</v>
      </c>
      <c r="C1861" s="4">
        <v>1.0</v>
      </c>
      <c r="D1861" s="5" t="s">
        <v>5585</v>
      </c>
      <c r="E1861" s="5" t="s">
        <v>5586</v>
      </c>
      <c r="F1861" s="6" t="str">
        <f>IFERROR(__xludf.DUMMYFUNCTION("GOOGLETRANSLATE(D1861,""en"",""it"")"),"Mi piace anche Harley-Davidson e anche le navi.")</f>
        <v>Mi piace anche Harley-Davidson e anche le navi.</v>
      </c>
      <c r="G1861" s="6" t="str">
        <f>IFERROR(__xludf.DUMMYFUNCTION("GOOGLETRANSLATE(E1861,""fr"",""it"")"),"Mi piace l'Harley-Davidson, e anche le navi.")</f>
        <v>Mi piace l'Harley-Davidson, e anche le navi.</v>
      </c>
    </row>
    <row r="1862">
      <c r="A1862" s="4">
        <v>1860.0</v>
      </c>
      <c r="B1862" s="5" t="s">
        <v>5587</v>
      </c>
      <c r="C1862" s="4">
        <v>1.0</v>
      </c>
      <c r="D1862" s="5" t="s">
        <v>5588</v>
      </c>
      <c r="E1862" s="5" t="s">
        <v>5589</v>
      </c>
      <c r="F1862" s="6" t="str">
        <f>IFERROR(__xludf.DUMMYFUNCTION("GOOGLETRANSLATE(D1862,""en"",""it"")"),"Mi piacciono anche le navi e Harley-Davidson.")</f>
        <v>Mi piacciono anche le navi e Harley-Davidson.</v>
      </c>
      <c r="G1862" s="6" t="str">
        <f>IFERROR(__xludf.DUMMYFUNCTION("GOOGLETRANSLATE(E1862,""fr"",""it"")"),"Mi piacciono le navi, e anche l'Harley-Davidson.")</f>
        <v>Mi piacciono le navi, e anche l'Harley-Davidson.</v>
      </c>
    </row>
    <row r="1863">
      <c r="A1863" s="4">
        <v>1861.0</v>
      </c>
      <c r="B1863" s="5" t="s">
        <v>5590</v>
      </c>
      <c r="C1863" s="4">
        <v>0.0</v>
      </c>
      <c r="D1863" s="5" t="s">
        <v>5591</v>
      </c>
      <c r="E1863" s="5" t="s">
        <v>5592</v>
      </c>
      <c r="F1863" s="6" t="str">
        <f>IFERROR(__xludf.DUMMYFUNCTION("GOOGLETRANSLATE(D1863,""en"",""it"")"),"Mi piace anche Harley-Davidson e anche i motocicli.")</f>
        <v>Mi piace anche Harley-Davidson e anche i motocicli.</v>
      </c>
      <c r="G1863" s="6" t="str">
        <f>IFERROR(__xludf.DUMMYFUNCTION("GOOGLETRANSLATE(E1863,""fr"",""it"")"),"Mi piace l'Harley-Davidson, e anche le motociclette.")</f>
        <v>Mi piace l'Harley-Davidson, e anche le motociclette.</v>
      </c>
    </row>
    <row r="1864">
      <c r="A1864" s="4">
        <v>1862.0</v>
      </c>
      <c r="B1864" s="5" t="s">
        <v>5593</v>
      </c>
      <c r="C1864" s="4">
        <v>0.0</v>
      </c>
      <c r="D1864" s="5" t="s">
        <v>5594</v>
      </c>
      <c r="E1864" s="5" t="s">
        <v>5595</v>
      </c>
      <c r="F1864" s="6" t="str">
        <f>IFERROR(__xludf.DUMMYFUNCTION("GOOGLETRANSLATE(D1864,""en"",""it"")"),"Mi piacciono anche le motociclette e Harley-Davidson.")</f>
        <v>Mi piacciono anche le motociclette e Harley-Davidson.</v>
      </c>
      <c r="G1864" s="6" t="str">
        <f>IFERROR(__xludf.DUMMYFUNCTION("GOOGLETRANSLATE(E1864,""fr"",""it"")"),"Amo i motocicli, e anche l'Harley-Davidson.")</f>
        <v>Amo i motocicli, e anche l'Harley-Davidson.</v>
      </c>
    </row>
    <row r="1865">
      <c r="A1865" s="4">
        <v>1863.0</v>
      </c>
      <c r="B1865" s="5" t="s">
        <v>5596</v>
      </c>
      <c r="C1865" s="4">
        <v>1.0</v>
      </c>
      <c r="D1865" s="5" t="s">
        <v>5597</v>
      </c>
      <c r="E1865" s="5" t="s">
        <v>5598</v>
      </c>
      <c r="F1865" s="6" t="str">
        <f>IFERROR(__xludf.DUMMYFUNCTION("GOOGLETRANSLATE(D1865,""en"",""it"")"),"Mi piacciono anche le motociclette e le navi.")</f>
        <v>Mi piacciono anche le motociclette e le navi.</v>
      </c>
      <c r="G1865" s="6" t="str">
        <f>IFERROR(__xludf.DUMMYFUNCTION("GOOGLETRANSLATE(E1865,""fr"",""it"")"),"Adoro le motociclette e anche le navi.")</f>
        <v>Adoro le motociclette e anche le navi.</v>
      </c>
    </row>
    <row r="1866">
      <c r="A1866" s="4">
        <v>1864.0</v>
      </c>
      <c r="B1866" s="5" t="s">
        <v>5599</v>
      </c>
      <c r="C1866" s="4">
        <v>1.0</v>
      </c>
      <c r="D1866" s="5" t="s">
        <v>5600</v>
      </c>
      <c r="E1866" s="5" t="s">
        <v>5601</v>
      </c>
      <c r="F1866" s="6" t="str">
        <f>IFERROR(__xludf.DUMMYFUNCTION("GOOGLETRANSLATE(D1866,""en"",""it"")"),"Mi piace anche Harley-Davidson e anche le biciclette.")</f>
        <v>Mi piace anche Harley-Davidson e anche le biciclette.</v>
      </c>
      <c r="G1866" s="6" t="str">
        <f>IFERROR(__xludf.DUMMYFUNCTION("GOOGLETRANSLATE(E1866,""fr"",""it"")"),"Mi piace l'Harley-Davidson, e anche le biciclette.")</f>
        <v>Mi piace l'Harley-Davidson, e anche le biciclette.</v>
      </c>
    </row>
    <row r="1867">
      <c r="A1867" s="4">
        <v>1865.0</v>
      </c>
      <c r="B1867" s="5" t="s">
        <v>5602</v>
      </c>
      <c r="C1867" s="4">
        <v>1.0</v>
      </c>
      <c r="D1867" s="5" t="s">
        <v>5603</v>
      </c>
      <c r="E1867" s="5" t="s">
        <v>5604</v>
      </c>
      <c r="F1867" s="6" t="str">
        <f>IFERROR(__xludf.DUMMYFUNCTION("GOOGLETRANSLATE(D1867,""en"",""it"")"),"Mi piacciono anche le biciclette e anche Harley-Davidson.")</f>
        <v>Mi piacciono anche le biciclette e anche Harley-Davidson.</v>
      </c>
      <c r="G1867" s="6" t="str">
        <f>IFERROR(__xludf.DUMMYFUNCTION("GOOGLETRANSLATE(E1867,""fr"",""it"")"),"Amo le biciclette, e anche l'Harley-Davidson.")</f>
        <v>Amo le biciclette, e anche l'Harley-Davidson.</v>
      </c>
    </row>
    <row r="1868">
      <c r="A1868" s="4">
        <v>1866.0</v>
      </c>
      <c r="B1868" s="5" t="s">
        <v>5605</v>
      </c>
      <c r="C1868" s="4">
        <v>1.0</v>
      </c>
      <c r="D1868" s="5" t="s">
        <v>5606</v>
      </c>
      <c r="E1868" s="5" t="s">
        <v>5607</v>
      </c>
      <c r="F1868" s="6" t="str">
        <f>IFERROR(__xludf.DUMMYFUNCTION("GOOGLETRANSLATE(D1868,""en"",""it"")"),"Mi piacciono anche i motocicli e le biciclette.")</f>
        <v>Mi piacciono anche i motocicli e le biciclette.</v>
      </c>
      <c r="G1868" s="6" t="str">
        <f>IFERROR(__xludf.DUMMYFUNCTION("GOOGLETRANSLATE(E1868,""fr"",""it"")"),"Adoro le motociclette e anche le biciclette.")</f>
        <v>Adoro le motociclette e anche le biciclette.</v>
      </c>
    </row>
    <row r="1869">
      <c r="A1869" s="4">
        <v>1867.0</v>
      </c>
      <c r="B1869" s="5" t="s">
        <v>5608</v>
      </c>
      <c r="C1869" s="4">
        <v>1.0</v>
      </c>
      <c r="D1869" s="5" t="s">
        <v>5609</v>
      </c>
      <c r="E1869" s="5" t="s">
        <v>5610</v>
      </c>
      <c r="F1869" s="6" t="str">
        <f>IFERROR(__xludf.DUMMYFUNCTION("GOOGLETRANSLATE(D1869,""en"",""it"")"),"Mi piace Harley-Davidson, e anche i treni.")</f>
        <v>Mi piace Harley-Davidson, e anche i treni.</v>
      </c>
      <c r="G1869" s="6" t="str">
        <f>IFERROR(__xludf.DUMMYFUNCTION("GOOGLETRANSLATE(E1869,""fr"",""it"")"),"Mi piace l'Harley-Davidson, e anche treni.")</f>
        <v>Mi piace l'Harley-Davidson, e anche treni.</v>
      </c>
    </row>
    <row r="1870">
      <c r="A1870" s="4">
        <v>1868.0</v>
      </c>
      <c r="B1870" s="5" t="s">
        <v>5611</v>
      </c>
      <c r="C1870" s="4">
        <v>1.0</v>
      </c>
      <c r="D1870" s="5" t="s">
        <v>5612</v>
      </c>
      <c r="E1870" s="5" t="s">
        <v>5613</v>
      </c>
      <c r="F1870" s="6" t="str">
        <f>IFERROR(__xludf.DUMMYFUNCTION("GOOGLETRANSLATE(D1870,""en"",""it"")"),"Mi piacciono i treni e anche Harley-Davidson.")</f>
        <v>Mi piacciono i treni e anche Harley-Davidson.</v>
      </c>
      <c r="G1870" s="6" t="str">
        <f>IFERROR(__xludf.DUMMYFUNCTION("GOOGLETRANSLATE(E1870,""fr"",""it"")"),"Mi piacciono i treni e anche l'Harley-Davidson.")</f>
        <v>Mi piacciono i treni e anche l'Harley-Davidson.</v>
      </c>
    </row>
    <row r="1871">
      <c r="A1871" s="4">
        <v>1869.0</v>
      </c>
      <c r="B1871" s="5" t="s">
        <v>5614</v>
      </c>
      <c r="C1871" s="4">
        <v>1.0</v>
      </c>
      <c r="D1871" s="5" t="s">
        <v>5615</v>
      </c>
      <c r="E1871" s="5" t="s">
        <v>5616</v>
      </c>
      <c r="F1871" s="6" t="str">
        <f>IFERROR(__xludf.DUMMYFUNCTION("GOOGLETRANSLATE(D1871,""en"",""it"")"),"Mi piacciono i motocicli e anche i treni.")</f>
        <v>Mi piacciono i motocicli e anche i treni.</v>
      </c>
      <c r="G1871" s="6" t="str">
        <f>IFERROR(__xludf.DUMMYFUNCTION("GOOGLETRANSLATE(E1871,""fr"",""it"")"),"Adoro le motociclette e anche treni.")</f>
        <v>Adoro le motociclette e anche treni.</v>
      </c>
    </row>
    <row r="1872">
      <c r="A1872" s="4">
        <v>1870.0</v>
      </c>
      <c r="B1872" s="5" t="s">
        <v>5617</v>
      </c>
      <c r="C1872" s="4">
        <v>1.0</v>
      </c>
      <c r="D1872" s="5" t="s">
        <v>5618</v>
      </c>
      <c r="E1872" s="5" t="s">
        <v>5619</v>
      </c>
      <c r="F1872" s="6" t="str">
        <f>IFERROR(__xludf.DUMMYFUNCTION("GOOGLETRANSLATE(D1872,""en"",""it"")"),"Mi piace anche Harley-Davidson e anche gli aeroplani.")</f>
        <v>Mi piace anche Harley-Davidson e anche gli aeroplani.</v>
      </c>
      <c r="G1872" s="6" t="str">
        <f>IFERROR(__xludf.DUMMYFUNCTION("GOOGLETRANSLATE(E1872,""fr"",""it"")"),"Mi piace l'Harley-Davidson, e anche gli aerei.")</f>
        <v>Mi piace l'Harley-Davidson, e anche gli aerei.</v>
      </c>
    </row>
    <row r="1873">
      <c r="A1873" s="4">
        <v>1871.0</v>
      </c>
      <c r="B1873" s="5" t="s">
        <v>5620</v>
      </c>
      <c r="C1873" s="4">
        <v>1.0</v>
      </c>
      <c r="D1873" s="5" t="s">
        <v>5621</v>
      </c>
      <c r="E1873" s="5" t="s">
        <v>5622</v>
      </c>
      <c r="F1873" s="6" t="str">
        <f>IFERROR(__xludf.DUMMYFUNCTION("GOOGLETRANSLATE(D1873,""en"",""it"")"),"Mi piacciono anche gli aerei e anche Harley-Davidson.")</f>
        <v>Mi piacciono anche gli aerei e anche Harley-Davidson.</v>
      </c>
      <c r="G1873" s="6" t="str">
        <f>IFERROR(__xludf.DUMMYFUNCTION("GOOGLETRANSLATE(E1873,""fr"",""it"")"),"Mi piacciono gli aerei, e anche l'Harley-Davidson.")</f>
        <v>Mi piacciono gli aerei, e anche l'Harley-Davidson.</v>
      </c>
    </row>
    <row r="1874">
      <c r="A1874" s="4">
        <v>1872.0</v>
      </c>
      <c r="B1874" s="5" t="s">
        <v>5623</v>
      </c>
      <c r="C1874" s="4">
        <v>1.0</v>
      </c>
      <c r="D1874" s="5" t="s">
        <v>5624</v>
      </c>
      <c r="E1874" s="5" t="s">
        <v>5625</v>
      </c>
      <c r="F1874" s="6" t="str">
        <f>IFERROR(__xludf.DUMMYFUNCTION("GOOGLETRANSLATE(D1874,""en"",""it"")"),"Mi piacciono anche i motocicli e gli aeroplani.")</f>
        <v>Mi piacciono anche i motocicli e gli aeroplani.</v>
      </c>
      <c r="G1874" s="6" t="str">
        <f>IFERROR(__xludf.DUMMYFUNCTION("GOOGLETRANSLATE(E1874,""fr"",""it"")"),"Adoro le motociclette e anche gli aerei.")</f>
        <v>Adoro le motociclette e anche gli aerei.</v>
      </c>
    </row>
    <row r="1875">
      <c r="A1875" s="4">
        <v>1873.0</v>
      </c>
      <c r="B1875" s="5" t="s">
        <v>5626</v>
      </c>
      <c r="C1875" s="4">
        <v>1.0</v>
      </c>
      <c r="D1875" s="5" t="s">
        <v>5627</v>
      </c>
      <c r="E1875" s="5" t="s">
        <v>5628</v>
      </c>
      <c r="F1875" s="6" t="str">
        <f>IFERROR(__xludf.DUMMYFUNCTION("GOOGLETRANSLATE(D1875,""en"",""it"")"),"Mi piacciono anche Suzukis e anche io.")</f>
        <v>Mi piacciono anche Suzukis e anche io.</v>
      </c>
      <c r="G1875" s="6" t="str">
        <f>IFERROR(__xludf.DUMMYFUNCTION("GOOGLETRANSLATE(E1875,""fr"",""it"")"),"Mi piace Suzukis, e anche le navi.")</f>
        <v>Mi piace Suzukis, e anche le navi.</v>
      </c>
    </row>
    <row r="1876">
      <c r="A1876" s="4">
        <v>1874.0</v>
      </c>
      <c r="B1876" s="5" t="s">
        <v>5629</v>
      </c>
      <c r="C1876" s="4">
        <v>1.0</v>
      </c>
      <c r="D1876" s="5" t="s">
        <v>5630</v>
      </c>
      <c r="E1876" s="5" t="s">
        <v>5631</v>
      </c>
      <c r="F1876" s="6" t="str">
        <f>IFERROR(__xludf.DUMMYFUNCTION("GOOGLETRANSLATE(D1876,""en"",""it"")"),"Mi piacciono anche le navi e suzukis.")</f>
        <v>Mi piacciono anche le navi e suzukis.</v>
      </c>
      <c r="G1876" s="6" t="str">
        <f>IFERROR(__xludf.DUMMYFUNCTION("GOOGLETRANSLATE(E1876,""fr"",""it"")"),"Amo le navi, e anche il Suzukis.")</f>
        <v>Amo le navi, e anche il Suzukis.</v>
      </c>
    </row>
    <row r="1877">
      <c r="A1877" s="4">
        <v>1875.0</v>
      </c>
      <c r="B1877" s="5" t="s">
        <v>5632</v>
      </c>
      <c r="C1877" s="4">
        <v>0.0</v>
      </c>
      <c r="D1877" s="5" t="s">
        <v>5633</v>
      </c>
      <c r="E1877" s="5" t="s">
        <v>5634</v>
      </c>
      <c r="F1877" s="6" t="str">
        <f>IFERROR(__xludf.DUMMYFUNCTION("GOOGLETRANSLATE(D1877,""en"",""it"")"),"Mi piacciono anche Suzukis e anche i motocicli.")</f>
        <v>Mi piacciono anche Suzukis e anche i motocicli.</v>
      </c>
      <c r="G1877" s="6" t="str">
        <f>IFERROR(__xludf.DUMMYFUNCTION("GOOGLETRANSLATE(E1877,""fr"",""it"")"),"Mi piace Suzukis, e anche le motociclette.")</f>
        <v>Mi piace Suzukis, e anche le motociclette.</v>
      </c>
    </row>
    <row r="1878">
      <c r="A1878" s="4">
        <v>1876.0</v>
      </c>
      <c r="B1878" s="5" t="s">
        <v>5635</v>
      </c>
      <c r="C1878" s="4">
        <v>0.0</v>
      </c>
      <c r="D1878" s="5" t="s">
        <v>5636</v>
      </c>
      <c r="E1878" s="5" t="s">
        <v>5637</v>
      </c>
      <c r="F1878" s="6" t="str">
        <f>IFERROR(__xludf.DUMMYFUNCTION("GOOGLETRANSLATE(D1878,""en"",""it"")"),"Mi piacciono anche i motocicli e suzukis.")</f>
        <v>Mi piacciono anche i motocicli e suzukis.</v>
      </c>
      <c r="G1878" s="6" t="str">
        <f>IFERROR(__xludf.DUMMYFUNCTION("GOOGLETRANSLATE(E1878,""fr"",""it"")"),"Adoro le motociclette e anche il Suzukis.")</f>
        <v>Adoro le motociclette e anche il Suzukis.</v>
      </c>
    </row>
    <row r="1879">
      <c r="A1879" s="4">
        <v>1877.0</v>
      </c>
      <c r="B1879" s="5" t="s">
        <v>5638</v>
      </c>
      <c r="C1879" s="4">
        <v>1.0</v>
      </c>
      <c r="D1879" s="5" t="s">
        <v>5639</v>
      </c>
      <c r="E1879" s="5" t="s">
        <v>5640</v>
      </c>
      <c r="F1879" s="6" t="str">
        <f>IFERROR(__xludf.DUMMYFUNCTION("GOOGLETRANSLATE(D1879,""en"",""it"")"),"Mi piacciono anche Suzukis e anche le biciclette.")</f>
        <v>Mi piacciono anche Suzukis e anche le biciclette.</v>
      </c>
      <c r="G1879" s="6" t="str">
        <f>IFERROR(__xludf.DUMMYFUNCTION("GOOGLETRANSLATE(E1879,""fr"",""it"")"),"Mi piacciono i Suzukis, e anche le biciclette.")</f>
        <v>Mi piacciono i Suzukis, e anche le biciclette.</v>
      </c>
    </row>
    <row r="1880">
      <c r="A1880" s="4">
        <v>1878.0</v>
      </c>
      <c r="B1880" s="5" t="s">
        <v>5641</v>
      </c>
      <c r="C1880" s="4">
        <v>1.0</v>
      </c>
      <c r="D1880" s="5" t="s">
        <v>5642</v>
      </c>
      <c r="E1880" s="5" t="s">
        <v>5643</v>
      </c>
      <c r="F1880" s="6" t="str">
        <f>IFERROR(__xludf.DUMMYFUNCTION("GOOGLETRANSLATE(D1880,""en"",""it"")"),"Mi piacciono anche le biciclette e suzukis.")</f>
        <v>Mi piacciono anche le biciclette e suzukis.</v>
      </c>
      <c r="G1880" s="6" t="str">
        <f>IFERROR(__xludf.DUMMYFUNCTION("GOOGLETRANSLATE(E1880,""fr"",""it"")"),"Mi piacciono le biciclette, e anche il Suzukis.")</f>
        <v>Mi piacciono le biciclette, e anche il Suzukis.</v>
      </c>
    </row>
    <row r="1881">
      <c r="A1881" s="4">
        <v>1879.0</v>
      </c>
      <c r="B1881" s="5" t="s">
        <v>5644</v>
      </c>
      <c r="C1881" s="4">
        <v>1.0</v>
      </c>
      <c r="D1881" s="5" t="s">
        <v>5645</v>
      </c>
      <c r="E1881" s="5" t="s">
        <v>5646</v>
      </c>
      <c r="F1881" s="6" t="str">
        <f>IFERROR(__xludf.DUMMYFUNCTION("GOOGLETRANSLATE(D1881,""en"",""it"")"),"Mi piace Suzukis, e anche i treni.")</f>
        <v>Mi piace Suzukis, e anche i treni.</v>
      </c>
      <c r="G1881" s="6" t="str">
        <f>IFERROR(__xludf.DUMMYFUNCTION("GOOGLETRANSLATE(E1881,""fr"",""it"")"),"Mi piace Suzukis, e anche treni.")</f>
        <v>Mi piace Suzukis, e anche treni.</v>
      </c>
    </row>
    <row r="1882">
      <c r="A1882" s="4">
        <v>1880.0</v>
      </c>
      <c r="B1882" s="5" t="s">
        <v>5647</v>
      </c>
      <c r="C1882" s="4">
        <v>1.0</v>
      </c>
      <c r="D1882" s="5" t="s">
        <v>5648</v>
      </c>
      <c r="E1882" s="5" t="s">
        <v>5649</v>
      </c>
      <c r="F1882" s="6" t="str">
        <f>IFERROR(__xludf.DUMMYFUNCTION("GOOGLETRANSLATE(D1882,""en"",""it"")"),"Mi piacciono anche i treni e suzukis.")</f>
        <v>Mi piacciono anche i treni e suzukis.</v>
      </c>
      <c r="G1882" s="6" t="str">
        <f>IFERROR(__xludf.DUMMYFUNCTION("GOOGLETRANSLATE(E1882,""fr"",""it"")"),"Mi piacciono i treni e anche i Suzukis.")</f>
        <v>Mi piacciono i treni e anche i Suzukis.</v>
      </c>
    </row>
    <row r="1883">
      <c r="A1883" s="4">
        <v>1881.0</v>
      </c>
      <c r="B1883" s="5" t="s">
        <v>5650</v>
      </c>
      <c r="C1883" s="4">
        <v>1.0</v>
      </c>
      <c r="D1883" s="5" t="s">
        <v>5651</v>
      </c>
      <c r="E1883" s="5" t="s">
        <v>5652</v>
      </c>
      <c r="F1883" s="6" t="str">
        <f>IFERROR(__xludf.DUMMYFUNCTION("GOOGLETRANSLATE(D1883,""en"",""it"")"),"Mi piacciono anche Suzukis e aeroplani.")</f>
        <v>Mi piacciono anche Suzukis e aeroplani.</v>
      </c>
      <c r="G1883" s="6" t="str">
        <f>IFERROR(__xludf.DUMMYFUNCTION("GOOGLETRANSLATE(E1883,""fr"",""it"")"),"Mi piace Suzukis e anche gli aerei.")</f>
        <v>Mi piace Suzukis e anche gli aerei.</v>
      </c>
    </row>
    <row r="1884">
      <c r="A1884" s="4">
        <v>1882.0</v>
      </c>
      <c r="B1884" s="5" t="s">
        <v>5653</v>
      </c>
      <c r="C1884" s="4">
        <v>1.0</v>
      </c>
      <c r="D1884" s="5" t="s">
        <v>5654</v>
      </c>
      <c r="E1884" s="5" t="s">
        <v>5655</v>
      </c>
      <c r="F1884" s="6" t="str">
        <f>IFERROR(__xludf.DUMMYFUNCTION("GOOGLETRANSLATE(D1884,""en"",""it"")"),"Mi piacciono anche gli aerei e suzukis.")</f>
        <v>Mi piacciono anche gli aerei e suzukis.</v>
      </c>
      <c r="G1884" s="6" t="str">
        <f>IFERROR(__xludf.DUMMYFUNCTION("GOOGLETRANSLATE(E1884,""fr"",""it"")"),"Mi piacciono gli aerei, e anche il Suzukis.")</f>
        <v>Mi piacciono gli aerei, e anche il Suzukis.</v>
      </c>
    </row>
    <row r="1885">
      <c r="A1885" s="4">
        <v>1883.0</v>
      </c>
      <c r="B1885" s="5" t="s">
        <v>5656</v>
      </c>
      <c r="C1885" s="4">
        <v>1.0</v>
      </c>
      <c r="D1885" s="5" t="s">
        <v>5657</v>
      </c>
      <c r="E1885" s="5" t="s">
        <v>5658</v>
      </c>
      <c r="F1885" s="6" t="str">
        <f>IFERROR(__xludf.DUMMYFUNCTION("GOOGLETRANSLATE(D1885,""en"",""it"")"),"Mi piacciono anche Enduros e anche le navi.")</f>
        <v>Mi piacciono anche Enduros e anche le navi.</v>
      </c>
      <c r="G1885" s="6" t="str">
        <f>IFERROR(__xludf.DUMMYFUNCTION("GOOGLETRANSLATE(E1885,""fr"",""it"")"),"Adoro Enduros, e anche le navi.")</f>
        <v>Adoro Enduros, e anche le navi.</v>
      </c>
    </row>
    <row r="1886">
      <c r="A1886" s="4">
        <v>1884.0</v>
      </c>
      <c r="B1886" s="5" t="s">
        <v>5659</v>
      </c>
      <c r="C1886" s="4">
        <v>1.0</v>
      </c>
      <c r="D1886" s="5" t="s">
        <v>5660</v>
      </c>
      <c r="E1886" s="5" t="s">
        <v>5661</v>
      </c>
      <c r="F1886" s="6" t="str">
        <f>IFERROR(__xludf.DUMMYFUNCTION("GOOGLETRANSLATE(D1886,""en"",""it"")"),"Mi piacciono anche le navi e le enduros.")</f>
        <v>Mi piacciono anche le navi e le enduros.</v>
      </c>
      <c r="G1886" s="6" t="str">
        <f>IFERROR(__xludf.DUMMYFUNCTION("GOOGLETRANSLATE(E1886,""fr"",""it"")"),"Adoro le navi e anche gli Enduros.")</f>
        <v>Adoro le navi e anche gli Enduros.</v>
      </c>
    </row>
    <row r="1887">
      <c r="A1887" s="4">
        <v>1885.0</v>
      </c>
      <c r="B1887" s="5" t="s">
        <v>5662</v>
      </c>
      <c r="C1887" s="4">
        <v>0.0</v>
      </c>
      <c r="D1887" s="5" t="s">
        <v>5663</v>
      </c>
      <c r="E1887" s="5" t="s">
        <v>5664</v>
      </c>
      <c r="F1887" s="6" t="str">
        <f>IFERROR(__xludf.DUMMYFUNCTION("GOOGLETRANSLATE(D1887,""en"",""it"")"),"Mi piacciono anche Enduros, e anche i motocicli.")</f>
        <v>Mi piacciono anche Enduros, e anche i motocicli.</v>
      </c>
      <c r="G1887" s="6" t="str">
        <f>IFERROR(__xludf.DUMMYFUNCTION("GOOGLETRANSLATE(E1887,""fr"",""it"")"),"Adoro Enduros, e anche motocicli.")</f>
        <v>Adoro Enduros, e anche motocicli.</v>
      </c>
    </row>
    <row r="1888">
      <c r="A1888" s="4">
        <v>1886.0</v>
      </c>
      <c r="B1888" s="5" t="s">
        <v>5665</v>
      </c>
      <c r="C1888" s="4">
        <v>0.0</v>
      </c>
      <c r="D1888" s="5" t="s">
        <v>5666</v>
      </c>
      <c r="E1888" s="5" t="s">
        <v>5667</v>
      </c>
      <c r="F1888" s="6" t="str">
        <f>IFERROR(__xludf.DUMMYFUNCTION("GOOGLETRANSLATE(D1888,""en"",""it"")"),"Mi piacciono anche le motociclette e le enduros.")</f>
        <v>Mi piacciono anche le motociclette e le enduros.</v>
      </c>
      <c r="G1888" s="6" t="str">
        <f>IFERROR(__xludf.DUMMYFUNCTION("GOOGLETRANSLATE(E1888,""fr"",""it"")"),"Adoro le motociclette e anche gli enduroso.")</f>
        <v>Adoro le motociclette e anche gli enduroso.</v>
      </c>
    </row>
    <row r="1889">
      <c r="A1889" s="4">
        <v>1887.0</v>
      </c>
      <c r="B1889" s="5" t="s">
        <v>5668</v>
      </c>
      <c r="C1889" s="4">
        <v>1.0</v>
      </c>
      <c r="D1889" s="5" t="s">
        <v>5669</v>
      </c>
      <c r="E1889" s="5" t="s">
        <v>5670</v>
      </c>
      <c r="F1889" s="6" t="str">
        <f>IFERROR(__xludf.DUMMYFUNCTION("GOOGLETRANSLATE(D1889,""en"",""it"")"),"Mi piacciono anche Enduros e Bicycles.")</f>
        <v>Mi piacciono anche Enduros e Bicycles.</v>
      </c>
      <c r="G1889" s="6" t="str">
        <f>IFERROR(__xludf.DUMMYFUNCTION("GOOGLETRANSLATE(E1889,""fr"",""it"")"),"Adoro Enduros, e anche le biciclette.")</f>
        <v>Adoro Enduros, e anche le biciclette.</v>
      </c>
    </row>
    <row r="1890">
      <c r="A1890" s="4">
        <v>1888.0</v>
      </c>
      <c r="B1890" s="5" t="s">
        <v>5671</v>
      </c>
      <c r="C1890" s="4">
        <v>1.0</v>
      </c>
      <c r="D1890" s="5" t="s">
        <v>5672</v>
      </c>
      <c r="E1890" s="5" t="s">
        <v>5673</v>
      </c>
      <c r="F1890" s="6" t="str">
        <f>IFERROR(__xludf.DUMMYFUNCTION("GOOGLETRANSLATE(D1890,""en"",""it"")"),"Mi piacciono anche le biciclette e le enduros.")</f>
        <v>Mi piacciono anche le biciclette e le enduros.</v>
      </c>
      <c r="G1890" s="6" t="str">
        <f>IFERROR(__xludf.DUMMYFUNCTION("GOOGLETRANSLATE(E1890,""fr"",""it"")"),"Mi piacciono le biciclette e anche gli Enduros.")</f>
        <v>Mi piacciono le biciclette e anche gli Enduros.</v>
      </c>
    </row>
    <row r="1891">
      <c r="A1891" s="4">
        <v>1889.0</v>
      </c>
      <c r="B1891" s="5" t="s">
        <v>5674</v>
      </c>
      <c r="C1891" s="4">
        <v>1.0</v>
      </c>
      <c r="D1891" s="5" t="s">
        <v>5675</v>
      </c>
      <c r="E1891" s="5" t="s">
        <v>5676</v>
      </c>
      <c r="F1891" s="6" t="str">
        <f>IFERROR(__xludf.DUMMYFUNCTION("GOOGLETRANSLATE(D1891,""en"",""it"")"),"Mi piacciono anche Enduros e anche i treni.")</f>
        <v>Mi piacciono anche Enduros e anche i treni.</v>
      </c>
      <c r="G1891" s="6" t="str">
        <f>IFERROR(__xludf.DUMMYFUNCTION("GOOGLETRANSLATE(E1891,""fr"",""it"")"),"Adoro Enduros, e anche treni.")</f>
        <v>Adoro Enduros, e anche treni.</v>
      </c>
    </row>
    <row r="1892">
      <c r="A1892" s="4">
        <v>1890.0</v>
      </c>
      <c r="B1892" s="5" t="s">
        <v>5677</v>
      </c>
      <c r="C1892" s="4">
        <v>1.0</v>
      </c>
      <c r="D1892" s="5" t="s">
        <v>5678</v>
      </c>
      <c r="E1892" s="5" t="s">
        <v>5679</v>
      </c>
      <c r="F1892" s="6" t="str">
        <f>IFERROR(__xludf.DUMMYFUNCTION("GOOGLETRANSLATE(D1892,""en"",""it"")"),"Mi piacciono anche i treni e le enduros.")</f>
        <v>Mi piacciono anche i treni e le enduros.</v>
      </c>
      <c r="G1892" s="6" t="str">
        <f>IFERROR(__xludf.DUMMYFUNCTION("GOOGLETRANSLATE(E1892,""fr"",""it"")"),"Mi piacciono i treni e anche gli Enduros.")</f>
        <v>Mi piacciono i treni e anche gli Enduros.</v>
      </c>
    </row>
    <row r="1893">
      <c r="A1893" s="4">
        <v>1891.0</v>
      </c>
      <c r="B1893" s="5" t="s">
        <v>5680</v>
      </c>
      <c r="C1893" s="4">
        <v>1.0</v>
      </c>
      <c r="D1893" s="5" t="s">
        <v>5681</v>
      </c>
      <c r="E1893" s="5" t="s">
        <v>5682</v>
      </c>
      <c r="F1893" s="6" t="str">
        <f>IFERROR(__xludf.DUMMYFUNCTION("GOOGLETRANSLATE(D1893,""en"",""it"")"),"Mi piacciono anche Enduros e Airplanes.")</f>
        <v>Mi piacciono anche Enduros e Airplanes.</v>
      </c>
      <c r="G1893" s="6" t="str">
        <f>IFERROR(__xludf.DUMMYFUNCTION("GOOGLETRANSLATE(E1893,""fr"",""it"")"),"Adoro Enduros e anche gli aerei.")</f>
        <v>Adoro Enduros e anche gli aerei.</v>
      </c>
    </row>
    <row r="1894">
      <c r="A1894" s="4">
        <v>1892.0</v>
      </c>
      <c r="B1894" s="5" t="s">
        <v>5683</v>
      </c>
      <c r="C1894" s="4">
        <v>1.0</v>
      </c>
      <c r="D1894" s="5" t="s">
        <v>5684</v>
      </c>
      <c r="E1894" s="5" t="s">
        <v>5685</v>
      </c>
      <c r="F1894" s="6" t="str">
        <f>IFERROR(__xludf.DUMMYFUNCTION("GOOGLETRANSLATE(D1894,""en"",""it"")"),"Mi piacciono anche gli aerei e le enduro.")</f>
        <v>Mi piacciono anche gli aerei e le enduro.</v>
      </c>
      <c r="G1894" s="6" t="str">
        <f>IFERROR(__xludf.DUMMYFUNCTION("GOOGLETRANSLATE(E1894,""fr"",""it"")"),"Amo gli aerei, e anche gli Enduros.")</f>
        <v>Amo gli aerei, e anche gli Enduros.</v>
      </c>
    </row>
    <row r="1895">
      <c r="A1895" s="4">
        <v>1893.0</v>
      </c>
      <c r="B1895" s="5" t="s">
        <v>5686</v>
      </c>
      <c r="C1895" s="4">
        <v>1.0</v>
      </c>
      <c r="D1895" s="5" t="s">
        <v>5687</v>
      </c>
      <c r="E1895" s="5" t="s">
        <v>5688</v>
      </c>
      <c r="F1895" s="6" t="str">
        <f>IFERROR(__xludf.DUMMYFUNCTION("GOOGLETRANSLATE(D1895,""en"",""it"")"),"Mi piacciono anche Kawasakis e anche le navi.")</f>
        <v>Mi piacciono anche Kawasakis e anche le navi.</v>
      </c>
      <c r="G1895" s="6" t="str">
        <f>IFERROR(__xludf.DUMMYFUNCTION("GOOGLETRANSLATE(E1895,""fr"",""it"")"),"Mi piace Kawasakis, e anche le navi.")</f>
        <v>Mi piace Kawasakis, e anche le navi.</v>
      </c>
    </row>
    <row r="1896">
      <c r="A1896" s="4">
        <v>1894.0</v>
      </c>
      <c r="B1896" s="5" t="s">
        <v>5689</v>
      </c>
      <c r="C1896" s="4">
        <v>1.0</v>
      </c>
      <c r="D1896" s="5" t="s">
        <v>5690</v>
      </c>
      <c r="E1896" s="5" t="s">
        <v>5691</v>
      </c>
      <c r="F1896" s="6" t="str">
        <f>IFERROR(__xludf.DUMMYFUNCTION("GOOGLETRANSLATE(D1896,""en"",""it"")"),"Mi piacciono anche le navi e kawasakis.")</f>
        <v>Mi piacciono anche le navi e kawasakis.</v>
      </c>
      <c r="G1896" s="6" t="str">
        <f>IFERROR(__xludf.DUMMYFUNCTION("GOOGLETRANSLATE(E1896,""fr"",""it"")"),"Amo le navi e anche Kawasakis.")</f>
        <v>Amo le navi e anche Kawasakis.</v>
      </c>
    </row>
    <row r="1897">
      <c r="A1897" s="4">
        <v>1895.0</v>
      </c>
      <c r="B1897" s="5" t="s">
        <v>5692</v>
      </c>
      <c r="C1897" s="4">
        <v>0.0</v>
      </c>
      <c r="D1897" s="5" t="s">
        <v>5693</v>
      </c>
      <c r="E1897" s="5" t="s">
        <v>5694</v>
      </c>
      <c r="F1897" s="6" t="str">
        <f>IFERROR(__xludf.DUMMYFUNCTION("GOOGLETRANSLATE(D1897,""en"",""it"")"),"Mi piacciono anche Kawasakis e motocicli.")</f>
        <v>Mi piacciono anche Kawasakis e motocicli.</v>
      </c>
      <c r="G1897" s="6" t="str">
        <f>IFERROR(__xludf.DUMMYFUNCTION("GOOGLETRANSLATE(E1897,""fr"",""it"")"),"Amo Kawasakis e anche i motocicli.")</f>
        <v>Amo Kawasakis e anche i motocicli.</v>
      </c>
    </row>
    <row r="1898">
      <c r="A1898" s="4">
        <v>1896.0</v>
      </c>
      <c r="B1898" s="5" t="s">
        <v>5695</v>
      </c>
      <c r="C1898" s="4">
        <v>0.0</v>
      </c>
      <c r="D1898" s="5" t="s">
        <v>5696</v>
      </c>
      <c r="E1898" s="5" t="s">
        <v>5697</v>
      </c>
      <c r="F1898" s="6" t="str">
        <f>IFERROR(__xludf.DUMMYFUNCTION("GOOGLETRANSLATE(D1898,""en"",""it"")"),"Mi piacciono i motocicli e anche Kawasakis.")</f>
        <v>Mi piacciono i motocicli e anche Kawasakis.</v>
      </c>
      <c r="G1898" s="6" t="str">
        <f>IFERROR(__xludf.DUMMYFUNCTION("GOOGLETRANSLATE(E1898,""fr"",""it"")"),"Adoro le motociclette e anche Kawasakis.")</f>
        <v>Adoro le motociclette e anche Kawasakis.</v>
      </c>
    </row>
    <row r="1899">
      <c r="A1899" s="4">
        <v>1897.0</v>
      </c>
      <c r="B1899" s="5" t="s">
        <v>5698</v>
      </c>
      <c r="C1899" s="4">
        <v>1.0</v>
      </c>
      <c r="D1899" s="5" t="s">
        <v>5699</v>
      </c>
      <c r="E1899" s="5" t="s">
        <v>5700</v>
      </c>
      <c r="F1899" s="6" t="str">
        <f>IFERROR(__xludf.DUMMYFUNCTION("GOOGLETRANSLATE(D1899,""en"",""it"")"),"Mi piacciono anche Kawasakis e le biciclette.")</f>
        <v>Mi piacciono anche Kawasakis e le biciclette.</v>
      </c>
      <c r="G1899" s="6" t="str">
        <f>IFERROR(__xludf.DUMMYFUNCTION("GOOGLETRANSLATE(E1899,""fr"",""it"")"),"Amo Kawasakis e anche le biciclette.")</f>
        <v>Amo Kawasakis e anche le biciclette.</v>
      </c>
    </row>
    <row r="1900">
      <c r="A1900" s="4">
        <v>1898.0</v>
      </c>
      <c r="B1900" s="5" t="s">
        <v>5701</v>
      </c>
      <c r="C1900" s="4">
        <v>1.0</v>
      </c>
      <c r="D1900" s="5" t="s">
        <v>5702</v>
      </c>
      <c r="E1900" s="5" t="s">
        <v>5703</v>
      </c>
      <c r="F1900" s="6" t="str">
        <f>IFERROR(__xludf.DUMMYFUNCTION("GOOGLETRANSLATE(D1900,""en"",""it"")"),"Mi piacciono le biciclette e anche Kawasakis.")</f>
        <v>Mi piacciono le biciclette e anche Kawasakis.</v>
      </c>
      <c r="G1900" s="6" t="str">
        <f>IFERROR(__xludf.DUMMYFUNCTION("GOOGLETRANSLATE(E1900,""fr"",""it"")"),"Amo le biciclette e anche Kawasakis.")</f>
        <v>Amo le biciclette e anche Kawasakis.</v>
      </c>
    </row>
    <row r="1901">
      <c r="A1901" s="4">
        <v>1899.0</v>
      </c>
      <c r="B1901" s="5" t="s">
        <v>5704</v>
      </c>
      <c r="C1901" s="4">
        <v>1.0</v>
      </c>
      <c r="D1901" s="5" t="s">
        <v>5705</v>
      </c>
      <c r="E1901" s="5" t="s">
        <v>5706</v>
      </c>
      <c r="F1901" s="6" t="str">
        <f>IFERROR(__xludf.DUMMYFUNCTION("GOOGLETRANSLATE(D1901,""en"",""it"")"),"Mi piacciono i kawasakis e anche i treni.")</f>
        <v>Mi piacciono i kawasakis e anche i treni.</v>
      </c>
      <c r="G1901" s="6" t="str">
        <f>IFERROR(__xludf.DUMMYFUNCTION("GOOGLETRANSLATE(E1901,""fr"",""it"")"),"Amo Kawasakis, e anche treni.")</f>
        <v>Amo Kawasakis, e anche treni.</v>
      </c>
    </row>
    <row r="1902">
      <c r="A1902" s="4">
        <v>1900.0</v>
      </c>
      <c r="B1902" s="5" t="s">
        <v>5707</v>
      </c>
      <c r="C1902" s="4">
        <v>1.0</v>
      </c>
      <c r="D1902" s="5" t="s">
        <v>5708</v>
      </c>
      <c r="E1902" s="5" t="s">
        <v>5709</v>
      </c>
      <c r="F1902" s="6" t="str">
        <f>IFERROR(__xludf.DUMMYFUNCTION("GOOGLETRANSLATE(D1902,""en"",""it"")"),"Mi piacciono i treni e anche Kawasakis.")</f>
        <v>Mi piacciono i treni e anche Kawasakis.</v>
      </c>
      <c r="G1902" s="6" t="str">
        <f>IFERROR(__xludf.DUMMYFUNCTION("GOOGLETRANSLATE(E1902,""fr"",""it"")"),"Mi piacciono i treni e anche Kawasakis.")</f>
        <v>Mi piacciono i treni e anche Kawasakis.</v>
      </c>
    </row>
    <row r="1903">
      <c r="A1903" s="4">
        <v>1901.0</v>
      </c>
      <c r="B1903" s="5" t="s">
        <v>5710</v>
      </c>
      <c r="C1903" s="4">
        <v>1.0</v>
      </c>
      <c r="D1903" s="5" t="s">
        <v>5711</v>
      </c>
      <c r="E1903" s="5" t="s">
        <v>5712</v>
      </c>
      <c r="F1903" s="6" t="str">
        <f>IFERROR(__xludf.DUMMYFUNCTION("GOOGLETRANSLATE(D1903,""en"",""it"")"),"Mi piacciono anche Kawasakis e anche gli aeroplani.")</f>
        <v>Mi piacciono anche Kawasakis e anche gli aeroplani.</v>
      </c>
      <c r="G1903" s="6" t="str">
        <f>IFERROR(__xludf.DUMMYFUNCTION("GOOGLETRANSLATE(E1903,""fr"",""it"")"),"Mi piacciono Kawasakis e anche gli aerei.")</f>
        <v>Mi piacciono Kawasakis e anche gli aerei.</v>
      </c>
    </row>
    <row r="1904">
      <c r="A1904" s="4">
        <v>1902.0</v>
      </c>
      <c r="B1904" s="5" t="s">
        <v>5713</v>
      </c>
      <c r="C1904" s="4">
        <v>1.0</v>
      </c>
      <c r="D1904" s="5" t="s">
        <v>5714</v>
      </c>
      <c r="E1904" s="5" t="s">
        <v>5715</v>
      </c>
      <c r="F1904" s="6" t="str">
        <f>IFERROR(__xludf.DUMMYFUNCTION("GOOGLETRANSLATE(D1904,""en"",""it"")"),"Mi piacciono gli aerei e anche Kawasakis.")</f>
        <v>Mi piacciono gli aerei e anche Kawasakis.</v>
      </c>
      <c r="G1904" s="6" t="str">
        <f>IFERROR(__xludf.DUMMYFUNCTION("GOOGLETRANSLATE(E1904,""fr"",""it"")"),"Amo gli aerei, e anche Kawasakis.")</f>
        <v>Amo gli aerei, e anche Kawasakis.</v>
      </c>
    </row>
    <row r="1905">
      <c r="A1905" s="4">
        <v>1903.0</v>
      </c>
      <c r="B1905" s="5" t="s">
        <v>5716</v>
      </c>
      <c r="C1905" s="4">
        <v>1.0</v>
      </c>
      <c r="D1905" s="5" t="s">
        <v>5717</v>
      </c>
      <c r="E1905" s="5" t="s">
        <v>5718</v>
      </c>
      <c r="F1905" s="6" t="str">
        <f>IFERROR(__xludf.DUMMYFUNCTION("GOOGLETRANSLATE(D1905,""en"",""it"")"),"Mi piacciono anche le camicie e gli animali domestici.")</f>
        <v>Mi piacciono anche le camicie e gli animali domestici.</v>
      </c>
      <c r="G1905" s="6" t="str">
        <f>IFERROR(__xludf.DUMMYFUNCTION("GOOGLETRANSLATE(E1905,""fr"",""it"")"),"Mi piacciono le camicie e anche gli animali domestici.")</f>
        <v>Mi piacciono le camicie e anche gli animali domestici.</v>
      </c>
    </row>
    <row r="1906">
      <c r="A1906" s="4">
        <v>1904.0</v>
      </c>
      <c r="B1906" s="5" t="s">
        <v>5719</v>
      </c>
      <c r="C1906" s="4">
        <v>1.0</v>
      </c>
      <c r="D1906" s="5" t="s">
        <v>5720</v>
      </c>
      <c r="E1906" s="5" t="s">
        <v>5721</v>
      </c>
      <c r="F1906" s="6" t="str">
        <f>IFERROR(__xludf.DUMMYFUNCTION("GOOGLETRANSLATE(D1906,""en"",""it"")"),"Mi piacciono anche gli animali domestici e le camicie.")</f>
        <v>Mi piacciono anche gli animali domestici e le camicie.</v>
      </c>
      <c r="G1906" s="6" t="str">
        <f>IFERROR(__xludf.DUMMYFUNCTION("GOOGLETRANSLATE(E1906,""fr"",""it"")"),"Mi piacciono gli animali domestici, e anche le camicie.")</f>
        <v>Mi piacciono gli animali domestici, e anche le camicie.</v>
      </c>
    </row>
    <row r="1907">
      <c r="A1907" s="4">
        <v>1905.0</v>
      </c>
      <c r="B1907" s="5" t="s">
        <v>5722</v>
      </c>
      <c r="C1907" s="4">
        <v>0.0</v>
      </c>
      <c r="D1907" s="5" t="s">
        <v>5723</v>
      </c>
      <c r="E1907" s="5" t="s">
        <v>5724</v>
      </c>
      <c r="F1907" s="6" t="str">
        <f>IFERROR(__xludf.DUMMYFUNCTION("GOOGLETRANSLATE(D1907,""en"",""it"")"),"Mi piacciono anche le camicie e i vestiti.")</f>
        <v>Mi piacciono anche le camicie e i vestiti.</v>
      </c>
      <c r="G1907" s="6" t="str">
        <f>IFERROR(__xludf.DUMMYFUNCTION("GOOGLETRANSLATE(E1907,""fr"",""it"")"),"Mi piacciono le camicie e anche i vestiti.")</f>
        <v>Mi piacciono le camicie e anche i vestiti.</v>
      </c>
    </row>
    <row r="1908">
      <c r="A1908" s="4">
        <v>1906.0</v>
      </c>
      <c r="B1908" s="5" t="s">
        <v>5725</v>
      </c>
      <c r="C1908" s="4">
        <v>0.0</v>
      </c>
      <c r="D1908" s="5" t="s">
        <v>5726</v>
      </c>
      <c r="E1908" s="5" t="s">
        <v>5727</v>
      </c>
      <c r="F1908" s="6" t="str">
        <f>IFERROR(__xludf.DUMMYFUNCTION("GOOGLETRANSLATE(D1908,""en"",""it"")"),"Mi piacciono i vestiti e le camicie anche.")</f>
        <v>Mi piacciono i vestiti e le camicie anche.</v>
      </c>
      <c r="G1908" s="6" t="str">
        <f>IFERROR(__xludf.DUMMYFUNCTION("GOOGLETRANSLATE(E1908,""fr"",""it"")"),"Mi piacciono i vestiti, e anche le camicie.")</f>
        <v>Mi piacciono i vestiti, e anche le camicie.</v>
      </c>
    </row>
    <row r="1909">
      <c r="A1909" s="4">
        <v>1907.0</v>
      </c>
      <c r="B1909" s="5" t="s">
        <v>5728</v>
      </c>
      <c r="C1909" s="4">
        <v>1.0</v>
      </c>
      <c r="D1909" s="5" t="s">
        <v>5729</v>
      </c>
      <c r="E1909" s="5" t="s">
        <v>5730</v>
      </c>
      <c r="F1909" s="6" t="str">
        <f>IFERROR(__xludf.DUMMYFUNCTION("GOOGLETRANSLATE(D1909,""en"",""it"")"),"Mi piacciono i vestiti e anche gli animali domestici.")</f>
        <v>Mi piacciono i vestiti e anche gli animali domestici.</v>
      </c>
      <c r="G1909" s="6" t="str">
        <f>IFERROR(__xludf.DUMMYFUNCTION("GOOGLETRANSLATE(E1909,""fr"",""it"")"),"Mi piacciono i vestiti e anche gli animali domestici.")</f>
        <v>Mi piacciono i vestiti e anche gli animali domestici.</v>
      </c>
    </row>
    <row r="1910">
      <c r="A1910" s="4">
        <v>1908.0</v>
      </c>
      <c r="B1910" s="5" t="s">
        <v>5731</v>
      </c>
      <c r="C1910" s="4">
        <v>1.0</v>
      </c>
      <c r="D1910" s="5" t="s">
        <v>5732</v>
      </c>
      <c r="E1910" s="5" t="s">
        <v>5733</v>
      </c>
      <c r="F1910" s="6" t="str">
        <f>IFERROR(__xludf.DUMMYFUNCTION("GOOGLETRANSLATE(D1910,""en"",""it"")"),"Mi piacciono anche le camicie e gioielli.")</f>
        <v>Mi piacciono anche le camicie e gioielli.</v>
      </c>
      <c r="G1910" s="6" t="str">
        <f>IFERROR(__xludf.DUMMYFUNCTION("GOOGLETRANSLATE(E1910,""fr"",""it"")"),"Mi piacciono le camicie e anche gioielli.")</f>
        <v>Mi piacciono le camicie e anche gioielli.</v>
      </c>
    </row>
    <row r="1911">
      <c r="A1911" s="4">
        <v>1909.0</v>
      </c>
      <c r="B1911" s="5" t="s">
        <v>5734</v>
      </c>
      <c r="C1911" s="4">
        <v>1.0</v>
      </c>
      <c r="D1911" s="5" t="s">
        <v>5735</v>
      </c>
      <c r="E1911" s="5" t="s">
        <v>5736</v>
      </c>
      <c r="F1911" s="6" t="str">
        <f>IFERROR(__xludf.DUMMYFUNCTION("GOOGLETRANSLATE(D1911,""en"",""it"")"),"Mi piacciono i gioielli e le camicie anche.")</f>
        <v>Mi piacciono i gioielli e le camicie anche.</v>
      </c>
      <c r="G1911" s="6" t="str">
        <f>IFERROR(__xludf.DUMMYFUNCTION("GOOGLETRANSLATE(E1911,""fr"",""it"")"),"Mi piacciono i gioielli, e anche le camicie.")</f>
        <v>Mi piacciono i gioielli, e anche le camicie.</v>
      </c>
    </row>
    <row r="1912">
      <c r="A1912" s="4">
        <v>1910.0</v>
      </c>
      <c r="B1912" s="5" t="s">
        <v>5737</v>
      </c>
      <c r="C1912" s="4">
        <v>1.0</v>
      </c>
      <c r="D1912" s="5" t="s">
        <v>5738</v>
      </c>
      <c r="E1912" s="5" t="s">
        <v>5739</v>
      </c>
      <c r="F1912" s="6" t="str">
        <f>IFERROR(__xludf.DUMMYFUNCTION("GOOGLETRANSLATE(D1912,""en"",""it"")"),"Mi piacciono i vestiti e anche i gioielli.")</f>
        <v>Mi piacciono i vestiti e anche i gioielli.</v>
      </c>
      <c r="G1912" s="6" t="str">
        <f>IFERROR(__xludf.DUMMYFUNCTION("GOOGLETRANSLATE(E1912,""fr"",""it"")"),"Mi piacciono i vestiti e anche gioielli.")</f>
        <v>Mi piacciono i vestiti e anche gioielli.</v>
      </c>
    </row>
    <row r="1913">
      <c r="A1913" s="4">
        <v>1911.0</v>
      </c>
      <c r="B1913" s="5" t="s">
        <v>5740</v>
      </c>
      <c r="C1913" s="4">
        <v>1.0</v>
      </c>
      <c r="D1913" s="5" t="s">
        <v>5741</v>
      </c>
      <c r="E1913" s="5" t="s">
        <v>5742</v>
      </c>
      <c r="F1913" s="6" t="str">
        <f>IFERROR(__xludf.DUMMYFUNCTION("GOOGLETRANSLATE(D1913,""en"",""it"")"),"Mi piacciono anche le camicie e gli occhiali.")</f>
        <v>Mi piacciono anche le camicie e gli occhiali.</v>
      </c>
      <c r="G1913" s="6" t="str">
        <f>IFERROR(__xludf.DUMMYFUNCTION("GOOGLETRANSLATE(E1913,""fr"",""it"")"),"Mi piacciono le camicie e anche gli occhiali.")</f>
        <v>Mi piacciono le camicie e anche gli occhiali.</v>
      </c>
    </row>
    <row r="1914">
      <c r="A1914" s="4">
        <v>1912.0</v>
      </c>
      <c r="B1914" s="5" t="s">
        <v>5743</v>
      </c>
      <c r="C1914" s="4">
        <v>1.0</v>
      </c>
      <c r="D1914" s="5" t="s">
        <v>5744</v>
      </c>
      <c r="E1914" s="5" t="s">
        <v>5745</v>
      </c>
      <c r="F1914" s="6" t="str">
        <f>IFERROR(__xludf.DUMMYFUNCTION("GOOGLETRANSLATE(D1914,""en"",""it"")"),"Mi piacciono anche gli occhiali e le camicie.")</f>
        <v>Mi piacciono anche gli occhiali e le camicie.</v>
      </c>
      <c r="G1914" s="6" t="str">
        <f>IFERROR(__xludf.DUMMYFUNCTION("GOOGLETRANSLATE(E1914,""fr"",""it"")"),"Amo gli occhiali, e anche le camicie.")</f>
        <v>Amo gli occhiali, e anche le camicie.</v>
      </c>
    </row>
    <row r="1915">
      <c r="A1915" s="4">
        <v>1913.0</v>
      </c>
      <c r="B1915" s="5" t="s">
        <v>5746</v>
      </c>
      <c r="C1915" s="4">
        <v>1.0</v>
      </c>
      <c r="D1915" s="5" t="s">
        <v>5747</v>
      </c>
      <c r="E1915" s="5" t="s">
        <v>5748</v>
      </c>
      <c r="F1915" s="6" t="str">
        <f>IFERROR(__xludf.DUMMYFUNCTION("GOOGLETRANSLATE(D1915,""en"",""it"")"),"Mi piacciono i vestiti e gli occhiali anche.")</f>
        <v>Mi piacciono i vestiti e gli occhiali anche.</v>
      </c>
      <c r="G1915" s="6" t="str">
        <f>IFERROR(__xludf.DUMMYFUNCTION("GOOGLETRANSLATE(E1915,""fr"",""it"")"),"Mi piacciono i vestiti e anche gli occhiali.")</f>
        <v>Mi piacciono i vestiti e anche gli occhiali.</v>
      </c>
    </row>
    <row r="1916">
      <c r="A1916" s="4">
        <v>1914.0</v>
      </c>
      <c r="B1916" s="5" t="s">
        <v>5749</v>
      </c>
      <c r="C1916" s="4">
        <v>1.0</v>
      </c>
      <c r="D1916" s="5" t="s">
        <v>5750</v>
      </c>
      <c r="E1916" s="5" t="s">
        <v>5751</v>
      </c>
      <c r="F1916" s="6" t="str">
        <f>IFERROR(__xludf.DUMMYFUNCTION("GOOGLETRANSLATE(D1916,""en"",""it"")"),"Mi piacciono anche le camicie e gli orecchini.")</f>
        <v>Mi piacciono anche le camicie e gli orecchini.</v>
      </c>
      <c r="G1916" s="6" t="str">
        <f>IFERROR(__xludf.DUMMYFUNCTION("GOOGLETRANSLATE(E1916,""fr"",""it"")"),"Mi piacciono le camicie e anche gli orecchini.")</f>
        <v>Mi piacciono le camicie e anche gli orecchini.</v>
      </c>
    </row>
    <row r="1917">
      <c r="A1917" s="4">
        <v>1915.0</v>
      </c>
      <c r="B1917" s="5" t="s">
        <v>5752</v>
      </c>
      <c r="C1917" s="4">
        <v>1.0</v>
      </c>
      <c r="D1917" s="5" t="s">
        <v>5753</v>
      </c>
      <c r="E1917" s="5" t="s">
        <v>5754</v>
      </c>
      <c r="F1917" s="6" t="str">
        <f>IFERROR(__xludf.DUMMYFUNCTION("GOOGLETRANSLATE(D1917,""en"",""it"")"),"Mi piacciono gli orecchini e le camicie anche.")</f>
        <v>Mi piacciono gli orecchini e le camicie anche.</v>
      </c>
      <c r="G1917" s="6" t="str">
        <f>IFERROR(__xludf.DUMMYFUNCTION("GOOGLETRANSLATE(E1917,""fr"",""it"")"),"Mi piacciono gli orecchini, e anche le camicie.")</f>
        <v>Mi piacciono gli orecchini, e anche le camicie.</v>
      </c>
    </row>
    <row r="1918">
      <c r="A1918" s="4">
        <v>1916.0</v>
      </c>
      <c r="B1918" s="5" t="s">
        <v>5755</v>
      </c>
      <c r="C1918" s="4">
        <v>1.0</v>
      </c>
      <c r="D1918" s="5" t="s">
        <v>5756</v>
      </c>
      <c r="E1918" s="5" t="s">
        <v>5757</v>
      </c>
      <c r="F1918" s="6" t="str">
        <f>IFERROR(__xludf.DUMMYFUNCTION("GOOGLETRANSLATE(D1918,""en"",""it"")"),"Mi piacciono i vestiti e gli orecchini anche.")</f>
        <v>Mi piacciono i vestiti e gli orecchini anche.</v>
      </c>
      <c r="G1918" s="6" t="str">
        <f>IFERROR(__xludf.DUMMYFUNCTION("GOOGLETRANSLATE(E1918,""fr"",""it"")"),"Mi piacciono i vestiti, e anche gli orecchini.")</f>
        <v>Mi piacciono i vestiti, e anche gli orecchini.</v>
      </c>
    </row>
    <row r="1919">
      <c r="A1919" s="4">
        <v>1917.0</v>
      </c>
      <c r="B1919" s="5" t="s">
        <v>5758</v>
      </c>
      <c r="C1919" s="4">
        <v>1.0</v>
      </c>
      <c r="D1919" s="5" t="s">
        <v>5759</v>
      </c>
      <c r="E1919" s="5" t="s">
        <v>5760</v>
      </c>
      <c r="F1919" s="6" t="str">
        <f>IFERROR(__xludf.DUMMYFUNCTION("GOOGLETRANSLATE(D1919,""en"",""it"")"),"Mi piacciono i pantaloni e gli animali domestici.")</f>
        <v>Mi piacciono i pantaloni e gli animali domestici.</v>
      </c>
      <c r="G1919" s="6" t="str">
        <f>IFERROR(__xludf.DUMMYFUNCTION("GOOGLETRANSLATE(E1919,""fr"",""it"")"),"Mi piacciono i pantaloni e anche gli animali domestici.")</f>
        <v>Mi piacciono i pantaloni e anche gli animali domestici.</v>
      </c>
    </row>
    <row r="1920">
      <c r="A1920" s="4">
        <v>1918.0</v>
      </c>
      <c r="B1920" s="5" t="s">
        <v>5761</v>
      </c>
      <c r="C1920" s="4">
        <v>1.0</v>
      </c>
      <c r="D1920" s="5" t="s">
        <v>5762</v>
      </c>
      <c r="E1920" s="5" t="s">
        <v>5763</v>
      </c>
      <c r="F1920" s="6" t="str">
        <f>IFERROR(__xludf.DUMMYFUNCTION("GOOGLETRANSLATE(D1920,""en"",""it"")"),"Mi piacciono anche gli animali domestici e i pantaloni.")</f>
        <v>Mi piacciono anche gli animali domestici e i pantaloni.</v>
      </c>
      <c r="G1920" s="6" t="str">
        <f>IFERROR(__xludf.DUMMYFUNCTION("GOOGLETRANSLATE(E1920,""fr"",""it"")"),"Amo gli animali domestici e anche i pantaloni.")</f>
        <v>Amo gli animali domestici e anche i pantaloni.</v>
      </c>
    </row>
    <row r="1921">
      <c r="A1921" s="4">
        <v>1919.0</v>
      </c>
      <c r="B1921" s="5" t="s">
        <v>5764</v>
      </c>
      <c r="C1921" s="4">
        <v>0.0</v>
      </c>
      <c r="D1921" s="5" t="s">
        <v>5765</v>
      </c>
      <c r="E1921" s="5" t="s">
        <v>5766</v>
      </c>
      <c r="F1921" s="6" t="str">
        <f>IFERROR(__xludf.DUMMYFUNCTION("GOOGLETRANSLATE(D1921,""en"",""it"")"),"Mi piacciono i pantaloni e i vestiti anche.")</f>
        <v>Mi piacciono i pantaloni e i vestiti anche.</v>
      </c>
      <c r="G1921" s="6" t="str">
        <f>IFERROR(__xludf.DUMMYFUNCTION("GOOGLETRANSLATE(E1921,""fr"",""it"")"),"Mi piacciono i pantaloni e anche i vestiti.")</f>
        <v>Mi piacciono i pantaloni e anche i vestiti.</v>
      </c>
    </row>
    <row r="1922">
      <c r="A1922" s="4">
        <v>1920.0</v>
      </c>
      <c r="B1922" s="5" t="s">
        <v>5767</v>
      </c>
      <c r="C1922" s="4">
        <v>0.0</v>
      </c>
      <c r="D1922" s="5" t="s">
        <v>5768</v>
      </c>
      <c r="E1922" s="5" t="s">
        <v>5769</v>
      </c>
      <c r="F1922" s="6" t="str">
        <f>IFERROR(__xludf.DUMMYFUNCTION("GOOGLETRANSLATE(D1922,""en"",""it"")"),"Mi piacciono i vestiti e anche i pantaloni.")</f>
        <v>Mi piacciono i vestiti e anche i pantaloni.</v>
      </c>
      <c r="G1922" s="6" t="str">
        <f>IFERROR(__xludf.DUMMYFUNCTION("GOOGLETRANSLATE(E1922,""fr"",""it"")"),"Mi piacciono i vestiti e anche i pantaloni.")</f>
        <v>Mi piacciono i vestiti e anche i pantaloni.</v>
      </c>
    </row>
    <row r="1923">
      <c r="A1923" s="4">
        <v>1921.0</v>
      </c>
      <c r="B1923" s="5" t="s">
        <v>5770</v>
      </c>
      <c r="C1923" s="4">
        <v>1.0</v>
      </c>
      <c r="D1923" s="5" t="s">
        <v>5771</v>
      </c>
      <c r="E1923" s="5" t="s">
        <v>5772</v>
      </c>
      <c r="F1923" s="6" t="str">
        <f>IFERROR(__xludf.DUMMYFUNCTION("GOOGLETRANSLATE(D1923,""en"",""it"")"),"Mi piacciono i pantaloni e i gioielli.")</f>
        <v>Mi piacciono i pantaloni e i gioielli.</v>
      </c>
      <c r="G1923" s="6" t="str">
        <f>IFERROR(__xludf.DUMMYFUNCTION("GOOGLETRANSLATE(E1923,""fr"",""it"")"),"Mi piacciono i pantaloni e anche i gioielli.")</f>
        <v>Mi piacciono i pantaloni e anche i gioielli.</v>
      </c>
    </row>
    <row r="1924">
      <c r="A1924" s="4">
        <v>1922.0</v>
      </c>
      <c r="B1924" s="5" t="s">
        <v>5773</v>
      </c>
      <c r="C1924" s="4">
        <v>1.0</v>
      </c>
      <c r="D1924" s="5" t="s">
        <v>5774</v>
      </c>
      <c r="E1924" s="5" t="s">
        <v>5775</v>
      </c>
      <c r="F1924" s="6" t="str">
        <f>IFERROR(__xludf.DUMMYFUNCTION("GOOGLETRANSLATE(D1924,""en"",""it"")"),"Mi piacciono i gioielli e anche i pantaloni.")</f>
        <v>Mi piacciono i gioielli e anche i pantaloni.</v>
      </c>
      <c r="G1924" s="6" t="str">
        <f>IFERROR(__xludf.DUMMYFUNCTION("GOOGLETRANSLATE(E1924,""fr"",""it"")"),"Mi piacciono i gioielli e anche i pantaloni.")</f>
        <v>Mi piacciono i gioielli e anche i pantaloni.</v>
      </c>
    </row>
    <row r="1925">
      <c r="A1925" s="4">
        <v>1923.0</v>
      </c>
      <c r="B1925" s="5" t="s">
        <v>5776</v>
      </c>
      <c r="C1925" s="4">
        <v>1.0</v>
      </c>
      <c r="D1925" s="5" t="s">
        <v>5777</v>
      </c>
      <c r="E1925" s="5" t="s">
        <v>5778</v>
      </c>
      <c r="F1925" s="6" t="str">
        <f>IFERROR(__xludf.DUMMYFUNCTION("GOOGLETRANSLATE(D1925,""en"",""it"")"),"Mi piacciono i pantaloni e gli occhiali.")</f>
        <v>Mi piacciono i pantaloni e gli occhiali.</v>
      </c>
      <c r="G1925" s="6" t="str">
        <f>IFERROR(__xludf.DUMMYFUNCTION("GOOGLETRANSLATE(E1925,""fr"",""it"")"),"Mi piacciono i pantaloni e anche gli occhiali.")</f>
        <v>Mi piacciono i pantaloni e anche gli occhiali.</v>
      </c>
    </row>
    <row r="1926">
      <c r="A1926" s="4">
        <v>1924.0</v>
      </c>
      <c r="B1926" s="5" t="s">
        <v>5779</v>
      </c>
      <c r="C1926" s="4">
        <v>1.0</v>
      </c>
      <c r="D1926" s="5" t="s">
        <v>5780</v>
      </c>
      <c r="E1926" s="5" t="s">
        <v>5781</v>
      </c>
      <c r="F1926" s="6" t="str">
        <f>IFERROR(__xludf.DUMMYFUNCTION("GOOGLETRANSLATE(D1926,""en"",""it"")"),"Mi piacciono gli occhiali e anche i pantaloni.")</f>
        <v>Mi piacciono gli occhiali e anche i pantaloni.</v>
      </c>
      <c r="G1926" s="6" t="str">
        <f>IFERROR(__xludf.DUMMYFUNCTION("GOOGLETRANSLATE(E1926,""fr"",""it"")"),"Amo gli occhiali e anche i pantaloni.")</f>
        <v>Amo gli occhiali e anche i pantaloni.</v>
      </c>
    </row>
    <row r="1927">
      <c r="A1927" s="4">
        <v>1925.0</v>
      </c>
      <c r="B1927" s="5" t="s">
        <v>5782</v>
      </c>
      <c r="C1927" s="4">
        <v>1.0</v>
      </c>
      <c r="D1927" s="5" t="s">
        <v>5783</v>
      </c>
      <c r="E1927" s="5" t="s">
        <v>5784</v>
      </c>
      <c r="F1927" s="6" t="str">
        <f>IFERROR(__xludf.DUMMYFUNCTION("GOOGLETRANSLATE(D1927,""en"",""it"")"),"Mi piacciono anche i pantaloni e gli orecchini.")</f>
        <v>Mi piacciono anche i pantaloni e gli orecchini.</v>
      </c>
      <c r="G1927" s="6" t="str">
        <f>IFERROR(__xludf.DUMMYFUNCTION("GOOGLETRANSLATE(E1927,""fr"",""it"")"),"Mi piacciono i pantaloni e anche gli orecchini.")</f>
        <v>Mi piacciono i pantaloni e anche gli orecchini.</v>
      </c>
    </row>
    <row r="1928">
      <c r="A1928" s="4">
        <v>1926.0</v>
      </c>
      <c r="B1928" s="5" t="s">
        <v>5785</v>
      </c>
      <c r="C1928" s="4">
        <v>1.0</v>
      </c>
      <c r="D1928" s="5" t="s">
        <v>5786</v>
      </c>
      <c r="E1928" s="5" t="s">
        <v>5787</v>
      </c>
      <c r="F1928" s="6" t="str">
        <f>IFERROR(__xludf.DUMMYFUNCTION("GOOGLETRANSLATE(D1928,""en"",""it"")"),"Mi piacciono gli orecchini e anche i pantaloni.")</f>
        <v>Mi piacciono gli orecchini e anche i pantaloni.</v>
      </c>
      <c r="G1928" s="6" t="str">
        <f>IFERROR(__xludf.DUMMYFUNCTION("GOOGLETRANSLATE(E1928,""fr"",""it"")"),"Mi piacciono gli orecchini e anche i pantaloni.")</f>
        <v>Mi piacciono gli orecchini e anche i pantaloni.</v>
      </c>
    </row>
    <row r="1929">
      <c r="A1929" s="4">
        <v>1927.0</v>
      </c>
      <c r="B1929" s="5" t="s">
        <v>5788</v>
      </c>
      <c r="C1929" s="4">
        <v>1.0</v>
      </c>
      <c r="D1929" s="5" t="s">
        <v>5789</v>
      </c>
      <c r="E1929" s="5" t="s">
        <v>5790</v>
      </c>
      <c r="F1929" s="6" t="str">
        <f>IFERROR(__xludf.DUMMYFUNCTION("GOOGLETRANSLATE(D1929,""en"",""it"")"),"Mi piacciono i calzini e anche gli animali domestici.")</f>
        <v>Mi piacciono i calzini e anche gli animali domestici.</v>
      </c>
      <c r="G1929" s="6" t="str">
        <f>IFERROR(__xludf.DUMMYFUNCTION("GOOGLETRANSLATE(E1929,""fr"",""it"")"),"Adoro le scarpe e anche gli animali domestici.")</f>
        <v>Adoro le scarpe e anche gli animali domestici.</v>
      </c>
    </row>
    <row r="1930">
      <c r="A1930" s="4">
        <v>1928.0</v>
      </c>
      <c r="B1930" s="5" t="s">
        <v>5791</v>
      </c>
      <c r="C1930" s="4">
        <v>1.0</v>
      </c>
      <c r="D1930" s="5" t="s">
        <v>5792</v>
      </c>
      <c r="E1930" s="5" t="s">
        <v>5793</v>
      </c>
      <c r="F1930" s="6" t="str">
        <f>IFERROR(__xludf.DUMMYFUNCTION("GOOGLETRANSLATE(D1930,""en"",""it"")"),"Mi piacciono anche gli animali domestici e i calzini.")</f>
        <v>Mi piacciono anche gli animali domestici e i calzini.</v>
      </c>
      <c r="G1930" s="6" t="str">
        <f>IFERROR(__xludf.DUMMYFUNCTION("GOOGLETRANSLATE(E1930,""fr"",""it"")"),"Amo gli animali domestici, e anche le scarpe.")</f>
        <v>Amo gli animali domestici, e anche le scarpe.</v>
      </c>
    </row>
    <row r="1931">
      <c r="A1931" s="4">
        <v>1929.0</v>
      </c>
      <c r="B1931" s="5" t="s">
        <v>5794</v>
      </c>
      <c r="C1931" s="4">
        <v>0.0</v>
      </c>
      <c r="D1931" s="5" t="s">
        <v>5795</v>
      </c>
      <c r="E1931" s="5" t="s">
        <v>5796</v>
      </c>
      <c r="F1931" s="6" t="str">
        <f>IFERROR(__xludf.DUMMYFUNCTION("GOOGLETRANSLATE(D1931,""en"",""it"")"),"Mi piacciono i calzini e i vestiti anche.")</f>
        <v>Mi piacciono i calzini e i vestiti anche.</v>
      </c>
      <c r="G1931" s="6" t="str">
        <f>IFERROR(__xludf.DUMMYFUNCTION("GOOGLETRANSLATE(E1931,""fr"",""it"")"),"Adoro le scarpe e anche i vestiti.")</f>
        <v>Adoro le scarpe e anche i vestiti.</v>
      </c>
    </row>
    <row r="1932">
      <c r="A1932" s="4">
        <v>1930.0</v>
      </c>
      <c r="B1932" s="5" t="s">
        <v>5797</v>
      </c>
      <c r="C1932" s="4">
        <v>0.0</v>
      </c>
      <c r="D1932" s="5" t="s">
        <v>5798</v>
      </c>
      <c r="E1932" s="5" t="s">
        <v>5799</v>
      </c>
      <c r="F1932" s="6" t="str">
        <f>IFERROR(__xludf.DUMMYFUNCTION("GOOGLETRANSLATE(D1932,""en"",""it"")"),"Mi piacciono i vestiti e i calzini anche.")</f>
        <v>Mi piacciono i vestiti e i calzini anche.</v>
      </c>
      <c r="G1932" s="6" t="str">
        <f>IFERROR(__xludf.DUMMYFUNCTION("GOOGLETRANSLATE(E1932,""fr"",""it"")"),"Mi piacciono i vestiti, e anche le scarpe.")</f>
        <v>Mi piacciono i vestiti, e anche le scarpe.</v>
      </c>
    </row>
    <row r="1933">
      <c r="A1933" s="4">
        <v>1931.0</v>
      </c>
      <c r="B1933" s="5" t="s">
        <v>5800</v>
      </c>
      <c r="C1933" s="4">
        <v>1.0</v>
      </c>
      <c r="D1933" s="5" t="s">
        <v>5801</v>
      </c>
      <c r="E1933" s="5" t="s">
        <v>5802</v>
      </c>
      <c r="F1933" s="6" t="str">
        <f>IFERROR(__xludf.DUMMYFUNCTION("GOOGLETRANSLATE(D1933,""en"",""it"")"),"Mi piacciono i calzini e i gioielli anche io.")</f>
        <v>Mi piacciono i calzini e i gioielli anche io.</v>
      </c>
      <c r="G1933" s="6" t="str">
        <f>IFERROR(__xludf.DUMMYFUNCTION("GOOGLETRANSLATE(E1933,""fr"",""it"")"),"Adoro le scarpe e anche gioielli.")</f>
        <v>Adoro le scarpe e anche gioielli.</v>
      </c>
    </row>
    <row r="1934">
      <c r="A1934" s="4">
        <v>1932.0</v>
      </c>
      <c r="B1934" s="5" t="s">
        <v>5803</v>
      </c>
      <c r="C1934" s="4">
        <v>1.0</v>
      </c>
      <c r="D1934" s="5" t="s">
        <v>5804</v>
      </c>
      <c r="E1934" s="5" t="s">
        <v>5805</v>
      </c>
      <c r="F1934" s="6" t="str">
        <f>IFERROR(__xludf.DUMMYFUNCTION("GOOGLETRANSLATE(D1934,""en"",""it"")"),"Mi piacciono anche i gioielli e i calzini.")</f>
        <v>Mi piacciono anche i gioielli e i calzini.</v>
      </c>
      <c r="G1934" s="6" t="str">
        <f>IFERROR(__xludf.DUMMYFUNCTION("GOOGLETRANSLATE(E1934,""fr"",""it"")"),"Amo i gioielli, e anche le scarpe.")</f>
        <v>Amo i gioielli, e anche le scarpe.</v>
      </c>
    </row>
    <row r="1935">
      <c r="A1935" s="4">
        <v>1933.0</v>
      </c>
      <c r="B1935" s="5" t="s">
        <v>5806</v>
      </c>
      <c r="C1935" s="4">
        <v>1.0</v>
      </c>
      <c r="D1935" s="5" t="s">
        <v>5807</v>
      </c>
      <c r="E1935" s="5" t="s">
        <v>5808</v>
      </c>
      <c r="F1935" s="6" t="str">
        <f>IFERROR(__xludf.DUMMYFUNCTION("GOOGLETRANSLATE(D1935,""en"",""it"")"),"Mi piacciono i calzini e gli occhiali anche.")</f>
        <v>Mi piacciono i calzini e gli occhiali anche.</v>
      </c>
      <c r="G1935" s="6" t="str">
        <f>IFERROR(__xludf.DUMMYFUNCTION("GOOGLETRANSLATE(E1935,""fr"",""it"")"),"Amo le scarpe, e anche gli occhiali.")</f>
        <v>Amo le scarpe, e anche gli occhiali.</v>
      </c>
    </row>
    <row r="1936">
      <c r="A1936" s="4">
        <v>1934.0</v>
      </c>
      <c r="B1936" s="5" t="s">
        <v>5809</v>
      </c>
      <c r="C1936" s="4">
        <v>1.0</v>
      </c>
      <c r="D1936" s="5" t="s">
        <v>5810</v>
      </c>
      <c r="E1936" s="5" t="s">
        <v>5811</v>
      </c>
      <c r="F1936" s="6" t="str">
        <f>IFERROR(__xludf.DUMMYFUNCTION("GOOGLETRANSLATE(D1936,""en"",""it"")"),"Mi piacciono anche gli occhiali e i calzini.")</f>
        <v>Mi piacciono anche gli occhiali e i calzini.</v>
      </c>
      <c r="G1936" s="6" t="str">
        <f>IFERROR(__xludf.DUMMYFUNCTION("GOOGLETRANSLATE(E1936,""fr"",""it"")"),"Amo gli occhiali, e anche le scarpe.")</f>
        <v>Amo gli occhiali, e anche le scarpe.</v>
      </c>
    </row>
    <row r="1937">
      <c r="A1937" s="4">
        <v>1935.0</v>
      </c>
      <c r="B1937" s="5" t="s">
        <v>5812</v>
      </c>
      <c r="C1937" s="4">
        <v>1.0</v>
      </c>
      <c r="D1937" s="5" t="s">
        <v>5813</v>
      </c>
      <c r="E1937" s="5" t="s">
        <v>5814</v>
      </c>
      <c r="F1937" s="6" t="str">
        <f>IFERROR(__xludf.DUMMYFUNCTION("GOOGLETRANSLATE(D1937,""en"",""it"")"),"Mi piacciono anche i calzini e gli orecchini.")</f>
        <v>Mi piacciono anche i calzini e gli orecchini.</v>
      </c>
      <c r="G1937" s="6" t="str">
        <f>IFERROR(__xludf.DUMMYFUNCTION("GOOGLETRANSLATE(E1937,""fr"",""it"")"),"Adoro le scarpe e anche gli orecchini.")</f>
        <v>Adoro le scarpe e anche gli orecchini.</v>
      </c>
    </row>
    <row r="1938">
      <c r="A1938" s="4">
        <v>1936.0</v>
      </c>
      <c r="B1938" s="5" t="s">
        <v>5815</v>
      </c>
      <c r="C1938" s="4">
        <v>1.0</v>
      </c>
      <c r="D1938" s="5" t="s">
        <v>5816</v>
      </c>
      <c r="E1938" s="5" t="s">
        <v>5817</v>
      </c>
      <c r="F1938" s="6" t="str">
        <f>IFERROR(__xludf.DUMMYFUNCTION("GOOGLETRANSLATE(D1938,""en"",""it"")"),"Mi piacciono anche gli orecchini e i calzini.")</f>
        <v>Mi piacciono anche gli orecchini e i calzini.</v>
      </c>
      <c r="G1938" s="6" t="str">
        <f>IFERROR(__xludf.DUMMYFUNCTION("GOOGLETRANSLATE(E1938,""fr"",""it"")"),"Mi piacciono gli orecchini, e anche le scarpe.")</f>
        <v>Mi piacciono gli orecchini, e anche le scarpe.</v>
      </c>
    </row>
    <row r="1939">
      <c r="A1939" s="4">
        <v>1937.0</v>
      </c>
      <c r="B1939" s="5" t="s">
        <v>5818</v>
      </c>
      <c r="C1939" s="4">
        <v>1.0</v>
      </c>
      <c r="D1939" s="5" t="s">
        <v>5819</v>
      </c>
      <c r="E1939" s="5" t="s">
        <v>5820</v>
      </c>
      <c r="F1939" s="6" t="str">
        <f>IFERROR(__xludf.DUMMYFUNCTION("GOOGLETRANSLATE(D1939,""en"",""it"")"),"Mi piacciono anche le gonne e gli animali domestici.")</f>
        <v>Mi piacciono anche le gonne e gli animali domestici.</v>
      </c>
      <c r="G1939" s="6" t="str">
        <f>IFERROR(__xludf.DUMMYFUNCTION("GOOGLETRANSLATE(E1939,""fr"",""it"")"),"Amo le gonne, e anche animali domestici.")</f>
        <v>Amo le gonne, e anche animali domestici.</v>
      </c>
    </row>
    <row r="1940">
      <c r="A1940" s="4">
        <v>1938.0</v>
      </c>
      <c r="B1940" s="5" t="s">
        <v>5821</v>
      </c>
      <c r="C1940" s="4">
        <v>1.0</v>
      </c>
      <c r="D1940" s="5" t="s">
        <v>5822</v>
      </c>
      <c r="E1940" s="5" t="s">
        <v>5823</v>
      </c>
      <c r="F1940" s="6" t="str">
        <f>IFERROR(__xludf.DUMMYFUNCTION("GOOGLETRANSLATE(D1940,""en"",""it"")"),"Mi piacciono anche gli animali domestici e le gonne.")</f>
        <v>Mi piacciono anche gli animali domestici e le gonne.</v>
      </c>
      <c r="G1940" s="6" t="str">
        <f>IFERROR(__xludf.DUMMYFUNCTION("GOOGLETRANSLATE(E1940,""fr"",""it"")"),"Amo gli animali domestici, e anche le gonne.")</f>
        <v>Amo gli animali domestici, e anche le gonne.</v>
      </c>
    </row>
    <row r="1941">
      <c r="A1941" s="4">
        <v>1939.0</v>
      </c>
      <c r="B1941" s="5" t="s">
        <v>5824</v>
      </c>
      <c r="C1941" s="4">
        <v>0.0</v>
      </c>
      <c r="D1941" s="5" t="s">
        <v>5825</v>
      </c>
      <c r="E1941" s="5" t="s">
        <v>5826</v>
      </c>
      <c r="F1941" s="6" t="str">
        <f>IFERROR(__xludf.DUMMYFUNCTION("GOOGLETRANSLATE(D1941,""en"",""it"")"),"Mi piacciono anche le gonne e i vestiti.")</f>
        <v>Mi piacciono anche le gonne e i vestiti.</v>
      </c>
      <c r="G1941" s="6" t="str">
        <f>IFERROR(__xludf.DUMMYFUNCTION("GOOGLETRANSLATE(E1941,""fr"",""it"")"),"Amo le gonne e anche i vestiti.")</f>
        <v>Amo le gonne e anche i vestiti.</v>
      </c>
    </row>
    <row r="1942">
      <c r="A1942" s="4">
        <v>1940.0</v>
      </c>
      <c r="B1942" s="5" t="s">
        <v>5827</v>
      </c>
      <c r="C1942" s="4">
        <v>0.0</v>
      </c>
      <c r="D1942" s="5" t="s">
        <v>5828</v>
      </c>
      <c r="E1942" s="5" t="s">
        <v>5829</v>
      </c>
      <c r="F1942" s="6" t="str">
        <f>IFERROR(__xludf.DUMMYFUNCTION("GOOGLETRANSLATE(D1942,""en"",""it"")"),"Mi piacciono i vestiti e le gonne anche.")</f>
        <v>Mi piacciono i vestiti e le gonne anche.</v>
      </c>
      <c r="G1942" s="6" t="str">
        <f>IFERROR(__xludf.DUMMYFUNCTION("GOOGLETRANSLATE(E1942,""fr"",""it"")"),"Mi piacciono i vestiti, e anche le gonne.")</f>
        <v>Mi piacciono i vestiti, e anche le gonne.</v>
      </c>
    </row>
    <row r="1943">
      <c r="A1943" s="4">
        <v>1941.0</v>
      </c>
      <c r="B1943" s="5" t="s">
        <v>5830</v>
      </c>
      <c r="C1943" s="4">
        <v>1.0</v>
      </c>
      <c r="D1943" s="5" t="s">
        <v>5831</v>
      </c>
      <c r="E1943" s="5" t="s">
        <v>5832</v>
      </c>
      <c r="F1943" s="6" t="str">
        <f>IFERROR(__xludf.DUMMYFUNCTION("GOOGLETRANSLATE(D1943,""en"",""it"")"),"Mi piacciono le gonne e i gioielli.")</f>
        <v>Mi piacciono le gonne e i gioielli.</v>
      </c>
      <c r="G1943" s="6" t="str">
        <f>IFERROR(__xludf.DUMMYFUNCTION("GOOGLETRANSLATE(E1943,""fr"",""it"")"),"Amo le gonne e anche gioielli.")</f>
        <v>Amo le gonne e anche gioielli.</v>
      </c>
    </row>
    <row r="1944">
      <c r="A1944" s="4">
        <v>1942.0</v>
      </c>
      <c r="B1944" s="5" t="s">
        <v>5833</v>
      </c>
      <c r="C1944" s="4">
        <v>1.0</v>
      </c>
      <c r="D1944" s="5" t="s">
        <v>5834</v>
      </c>
      <c r="E1944" s="5" t="s">
        <v>5835</v>
      </c>
      <c r="F1944" s="6" t="str">
        <f>IFERROR(__xludf.DUMMYFUNCTION("GOOGLETRANSLATE(D1944,""en"",""it"")"),"Mi piacciono anche i gioielli e le gonne.")</f>
        <v>Mi piacciono anche i gioielli e le gonne.</v>
      </c>
      <c r="G1944" s="6" t="str">
        <f>IFERROR(__xludf.DUMMYFUNCTION("GOOGLETRANSLATE(E1944,""fr"",""it"")"),"Amo i gioielli, e anche le gonne.")</f>
        <v>Amo i gioielli, e anche le gonne.</v>
      </c>
    </row>
    <row r="1945">
      <c r="A1945" s="4">
        <v>1943.0</v>
      </c>
      <c r="B1945" s="5" t="s">
        <v>5836</v>
      </c>
      <c r="C1945" s="4">
        <v>1.0</v>
      </c>
      <c r="D1945" s="5" t="s">
        <v>5837</v>
      </c>
      <c r="E1945" s="5" t="s">
        <v>5838</v>
      </c>
      <c r="F1945" s="6" t="str">
        <f>IFERROR(__xludf.DUMMYFUNCTION("GOOGLETRANSLATE(D1945,""en"",""it"")"),"Mi piacciono le gonne e gli occhiali.")</f>
        <v>Mi piacciono le gonne e gli occhiali.</v>
      </c>
      <c r="G1945" s="6" t="str">
        <f>IFERROR(__xludf.DUMMYFUNCTION("GOOGLETRANSLATE(E1945,""fr"",""it"")"),"Amo le gonne e anche gli occhiali.")</f>
        <v>Amo le gonne e anche gli occhiali.</v>
      </c>
    </row>
    <row r="1946">
      <c r="A1946" s="4">
        <v>1944.0</v>
      </c>
      <c r="B1946" s="5" t="s">
        <v>5839</v>
      </c>
      <c r="C1946" s="4">
        <v>1.0</v>
      </c>
      <c r="D1946" s="5" t="s">
        <v>5840</v>
      </c>
      <c r="E1946" s="5" t="s">
        <v>5841</v>
      </c>
      <c r="F1946" s="6" t="str">
        <f>IFERROR(__xludf.DUMMYFUNCTION("GOOGLETRANSLATE(D1946,""en"",""it"")"),"Mi piacciono anche gli occhiali e le gonne.")</f>
        <v>Mi piacciono anche gli occhiali e le gonne.</v>
      </c>
      <c r="G1946" s="6" t="str">
        <f>IFERROR(__xludf.DUMMYFUNCTION("GOOGLETRANSLATE(E1946,""fr"",""it"")"),"Amo gli occhiali, e anche le gonne.")</f>
        <v>Amo gli occhiali, e anche le gonne.</v>
      </c>
    </row>
    <row r="1947">
      <c r="A1947" s="4">
        <v>1945.0</v>
      </c>
      <c r="B1947" s="5" t="s">
        <v>5842</v>
      </c>
      <c r="C1947" s="4">
        <v>1.0</v>
      </c>
      <c r="D1947" s="5" t="s">
        <v>5843</v>
      </c>
      <c r="E1947" s="5" t="s">
        <v>5844</v>
      </c>
      <c r="F1947" s="6" t="str">
        <f>IFERROR(__xludf.DUMMYFUNCTION("GOOGLETRANSLATE(D1947,""en"",""it"")"),"Mi piacciono anche le gonne e gli orecchini.")</f>
        <v>Mi piacciono anche le gonne e gli orecchini.</v>
      </c>
      <c r="G1947" s="6" t="str">
        <f>IFERROR(__xludf.DUMMYFUNCTION("GOOGLETRANSLATE(E1947,""fr"",""it"")"),"Amo le gonne, e anche gli orecchini.")</f>
        <v>Amo le gonne, e anche gli orecchini.</v>
      </c>
    </row>
    <row r="1948">
      <c r="A1948" s="4">
        <v>1946.0</v>
      </c>
      <c r="B1948" s="5" t="s">
        <v>5845</v>
      </c>
      <c r="C1948" s="4">
        <v>1.0</v>
      </c>
      <c r="D1948" s="5" t="s">
        <v>5846</v>
      </c>
      <c r="E1948" s="5" t="s">
        <v>5847</v>
      </c>
      <c r="F1948" s="6" t="str">
        <f>IFERROR(__xludf.DUMMYFUNCTION("GOOGLETRANSLATE(D1948,""en"",""it"")"),"Mi piacciono gli orecchini e le gonne.")</f>
        <v>Mi piacciono gli orecchini e le gonne.</v>
      </c>
      <c r="G1948" s="6" t="str">
        <f>IFERROR(__xludf.DUMMYFUNCTION("GOOGLETRANSLATE(E1948,""fr"",""it"")"),"Mi piacciono gli orecchini, e anche le gonne.")</f>
        <v>Mi piacciono gli orecchini, e anche le gonne.</v>
      </c>
    </row>
    <row r="1949">
      <c r="A1949" s="4">
        <v>1947.0</v>
      </c>
      <c r="B1949" s="5" t="s">
        <v>5848</v>
      </c>
      <c r="C1949" s="4">
        <v>1.0</v>
      </c>
      <c r="D1949" s="5" t="s">
        <v>5849</v>
      </c>
      <c r="E1949" s="5" t="s">
        <v>5850</v>
      </c>
      <c r="F1949" s="6" t="str">
        <f>IFERROR(__xludf.DUMMYFUNCTION("GOOGLETRANSLATE(D1949,""en"",""it"")"),"Mi piacciono anche le querce e l'erba.")</f>
        <v>Mi piacciono anche le querce e l'erba.</v>
      </c>
      <c r="G1949" s="6" t="str">
        <f>IFERROR(__xludf.DUMMYFUNCTION("GOOGLETRANSLATE(E1949,""fr"",""it"")"),"Adoro le querce e anche il prato.")</f>
        <v>Adoro le querce e anche il prato.</v>
      </c>
    </row>
    <row r="1950">
      <c r="A1950" s="4">
        <v>1948.0</v>
      </c>
      <c r="B1950" s="5" t="s">
        <v>5851</v>
      </c>
      <c r="C1950" s="4">
        <v>1.0</v>
      </c>
      <c r="D1950" s="5" t="s">
        <v>5852</v>
      </c>
      <c r="E1950" s="5" t="s">
        <v>5853</v>
      </c>
      <c r="F1950" s="6" t="str">
        <f>IFERROR(__xludf.DUMMYFUNCTION("GOOGLETRANSLATE(D1950,""en"",""it"")"),"Mi piacciono anche l'erba e le querce.")</f>
        <v>Mi piacciono anche l'erba e le querce.</v>
      </c>
      <c r="G1950" s="6" t="str">
        <f>IFERROR(__xludf.DUMMYFUNCTION("GOOGLETRANSLATE(E1950,""fr"",""it"")"),"Adoro il prato, e anche le querce.")</f>
        <v>Adoro il prato, e anche le querce.</v>
      </c>
    </row>
    <row r="1951">
      <c r="A1951" s="4">
        <v>1949.0</v>
      </c>
      <c r="B1951" s="5" t="s">
        <v>5854</v>
      </c>
      <c r="C1951" s="4">
        <v>0.0</v>
      </c>
      <c r="D1951" s="5" t="s">
        <v>5855</v>
      </c>
      <c r="E1951" s="5" t="s">
        <v>5856</v>
      </c>
      <c r="F1951" s="6" t="str">
        <f>IFERROR(__xludf.DUMMYFUNCTION("GOOGLETRANSLATE(D1951,""en"",""it"")"),"Mi piacciono le querce e anche gli alberi.")</f>
        <v>Mi piacciono le querce e anche gli alberi.</v>
      </c>
      <c r="G1951" s="6" t="str">
        <f>IFERROR(__xludf.DUMMYFUNCTION("GOOGLETRANSLATE(E1951,""fr"",""it"")"),"Amo le querce, e anche gli alberi.")</f>
        <v>Amo le querce, e anche gli alberi.</v>
      </c>
    </row>
    <row r="1952">
      <c r="A1952" s="4">
        <v>1950.0</v>
      </c>
      <c r="B1952" s="5" t="s">
        <v>5857</v>
      </c>
      <c r="C1952" s="4">
        <v>0.0</v>
      </c>
      <c r="D1952" s="5" t="s">
        <v>5858</v>
      </c>
      <c r="E1952" s="5" t="s">
        <v>5859</v>
      </c>
      <c r="F1952" s="6" t="str">
        <f>IFERROR(__xludf.DUMMYFUNCTION("GOOGLETRANSLATE(D1952,""en"",""it"")"),"Mi piacciono anche gli alberi e le querce.")</f>
        <v>Mi piacciono anche gli alberi e le querce.</v>
      </c>
      <c r="G1952" s="6" t="str">
        <f>IFERROR(__xludf.DUMMYFUNCTION("GOOGLETRANSLATE(E1952,""fr"",""it"")"),"Amo gli alberi, e anche le querce.")</f>
        <v>Amo gli alberi, e anche le querce.</v>
      </c>
    </row>
    <row r="1953">
      <c r="A1953" s="4">
        <v>1951.0</v>
      </c>
      <c r="B1953" s="5" t="s">
        <v>5860</v>
      </c>
      <c r="C1953" s="4">
        <v>1.0</v>
      </c>
      <c r="D1953" s="5" t="s">
        <v>5861</v>
      </c>
      <c r="E1953" s="5" t="s">
        <v>5862</v>
      </c>
      <c r="F1953" s="6" t="str">
        <f>IFERROR(__xludf.DUMMYFUNCTION("GOOGLETRANSLATE(D1953,""en"",""it"")"),"Mi piacciono anche gli alberi e l'erba.")</f>
        <v>Mi piacciono anche gli alberi e l'erba.</v>
      </c>
      <c r="G1953" s="6" t="str">
        <f>IFERROR(__xludf.DUMMYFUNCTION("GOOGLETRANSLATE(E1953,""fr"",""it"")"),"Amo gli alberi, e anche il prato.")</f>
        <v>Amo gli alberi, e anche il prato.</v>
      </c>
    </row>
    <row r="1954">
      <c r="A1954" s="4">
        <v>1952.0</v>
      </c>
      <c r="B1954" s="5" t="s">
        <v>5863</v>
      </c>
      <c r="C1954" s="4">
        <v>1.0</v>
      </c>
      <c r="D1954" s="5" t="s">
        <v>5864</v>
      </c>
      <c r="E1954" s="5" t="s">
        <v>5865</v>
      </c>
      <c r="F1954" s="6" t="str">
        <f>IFERROR(__xludf.DUMMYFUNCTION("GOOGLETRANSLATE(D1954,""en"",""it"")"),"Mi piacciono anche querce e animali.")</f>
        <v>Mi piacciono anche querce e animali.</v>
      </c>
      <c r="G1954" s="6" t="str">
        <f>IFERROR(__xludf.DUMMYFUNCTION("GOOGLETRANSLATE(E1954,""fr"",""it"")"),"Adoro le querce e anche gli animali.")</f>
        <v>Adoro le querce e anche gli animali.</v>
      </c>
    </row>
    <row r="1955">
      <c r="A1955" s="4">
        <v>1953.0</v>
      </c>
      <c r="B1955" s="5" t="s">
        <v>5866</v>
      </c>
      <c r="C1955" s="4">
        <v>1.0</v>
      </c>
      <c r="D1955" s="5" t="s">
        <v>5867</v>
      </c>
      <c r="E1955" s="5" t="s">
        <v>5868</v>
      </c>
      <c r="F1955" s="6" t="str">
        <f>IFERROR(__xludf.DUMMYFUNCTION("GOOGLETRANSLATE(D1955,""en"",""it"")"),"Mi piacciono anche gli animali e le querce.")</f>
        <v>Mi piacciono anche gli animali e le querce.</v>
      </c>
      <c r="G1955" s="6" t="str">
        <f>IFERROR(__xludf.DUMMYFUNCTION("GOOGLETRANSLATE(E1955,""fr"",""it"")"),"Amo gli animali, e anche le querce.")</f>
        <v>Amo gli animali, e anche le querce.</v>
      </c>
    </row>
    <row r="1956">
      <c r="A1956" s="4">
        <v>1954.0</v>
      </c>
      <c r="B1956" s="5" t="s">
        <v>5869</v>
      </c>
      <c r="C1956" s="4">
        <v>1.0</v>
      </c>
      <c r="D1956" s="5" t="s">
        <v>5870</v>
      </c>
      <c r="E1956" s="5" t="s">
        <v>5871</v>
      </c>
      <c r="F1956" s="6" t="str">
        <f>IFERROR(__xludf.DUMMYFUNCTION("GOOGLETRANSLATE(D1956,""en"",""it"")"),"Mi piacciono anche gli alberi e gli animali.")</f>
        <v>Mi piacciono anche gli alberi e gli animali.</v>
      </c>
      <c r="G1956" s="6" t="str">
        <f>IFERROR(__xludf.DUMMYFUNCTION("GOOGLETRANSLATE(E1956,""fr"",""it"")"),"Mi piacciono gli alberi e anche gli animali.")</f>
        <v>Mi piacciono gli alberi e anche gli animali.</v>
      </c>
    </row>
    <row r="1957">
      <c r="A1957" s="4">
        <v>1955.0</v>
      </c>
      <c r="B1957" s="5" t="s">
        <v>5872</v>
      </c>
      <c r="C1957" s="4">
        <v>1.0</v>
      </c>
      <c r="D1957" s="5" t="s">
        <v>5873</v>
      </c>
      <c r="E1957" s="5" t="s">
        <v>5874</v>
      </c>
      <c r="F1957" s="6" t="str">
        <f>IFERROR(__xludf.DUMMYFUNCTION("GOOGLETRANSLATE(D1957,""en"",""it"")"),"Mi piacciono anche querce e cespugli.")</f>
        <v>Mi piacciono anche querce e cespugli.</v>
      </c>
      <c r="G1957" s="6" t="str">
        <f>IFERROR(__xludf.DUMMYFUNCTION("GOOGLETRANSLATE(E1957,""fr"",""it"")"),"Adoro le querce e anche i cespugli.")</f>
        <v>Adoro le querce e anche i cespugli.</v>
      </c>
    </row>
    <row r="1958">
      <c r="A1958" s="4">
        <v>1956.0</v>
      </c>
      <c r="B1958" s="5" t="s">
        <v>5875</v>
      </c>
      <c r="C1958" s="4">
        <v>1.0</v>
      </c>
      <c r="D1958" s="5" t="s">
        <v>5876</v>
      </c>
      <c r="E1958" s="5" t="s">
        <v>5877</v>
      </c>
      <c r="F1958" s="6" t="str">
        <f>IFERROR(__xludf.DUMMYFUNCTION("GOOGLETRANSLATE(D1958,""en"",""it"")"),"Mi piacciono anche i cespugli e le querce.")</f>
        <v>Mi piacciono anche i cespugli e le querce.</v>
      </c>
      <c r="G1958" s="6" t="str">
        <f>IFERROR(__xludf.DUMMYFUNCTION("GOOGLETRANSLATE(E1958,""fr"",""it"")"),"Amo i cespugli e anche le querce.")</f>
        <v>Amo i cespugli e anche le querce.</v>
      </c>
    </row>
    <row r="1959">
      <c r="A1959" s="4">
        <v>1957.0</v>
      </c>
      <c r="B1959" s="5" t="s">
        <v>5878</v>
      </c>
      <c r="C1959" s="4">
        <v>1.0</v>
      </c>
      <c r="D1959" s="5" t="s">
        <v>5879</v>
      </c>
      <c r="E1959" s="5" t="s">
        <v>5880</v>
      </c>
      <c r="F1959" s="6" t="str">
        <f>IFERROR(__xludf.DUMMYFUNCTION("GOOGLETRANSLATE(D1959,""en"",""it"")"),"Mi piacciono anche gli alberi e i cespugli.")</f>
        <v>Mi piacciono anche gli alberi e i cespugli.</v>
      </c>
      <c r="G1959" s="6" t="str">
        <f>IFERROR(__xludf.DUMMYFUNCTION("GOOGLETRANSLATE(E1959,""fr"",""it"")"),"Mi piacciono gli alberi, e anche i cespugli.")</f>
        <v>Mi piacciono gli alberi, e anche i cespugli.</v>
      </c>
    </row>
    <row r="1960">
      <c r="A1960" s="4">
        <v>1958.0</v>
      </c>
      <c r="B1960" s="5" t="s">
        <v>5881</v>
      </c>
      <c r="C1960" s="4">
        <v>1.0</v>
      </c>
      <c r="D1960" s="5" t="s">
        <v>5882</v>
      </c>
      <c r="E1960" s="5" t="s">
        <v>5883</v>
      </c>
      <c r="F1960" s="6" t="str">
        <f>IFERROR(__xludf.DUMMYFUNCTION("GOOGLETRANSLATE(D1960,""en"",""it"")"),"Mi piacciono anche querce e arbusti.")</f>
        <v>Mi piacciono anche querce e arbusti.</v>
      </c>
      <c r="G1960" s="6" t="str">
        <f>IFERROR(__xludf.DUMMYFUNCTION("GOOGLETRANSLATE(E1960,""fr"",""it"")"),"Adoro le querce e anche gli arbusti.")</f>
        <v>Adoro le querce e anche gli arbusti.</v>
      </c>
    </row>
    <row r="1961">
      <c r="A1961" s="4">
        <v>1959.0</v>
      </c>
      <c r="B1961" s="5" t="s">
        <v>5884</v>
      </c>
      <c r="C1961" s="4">
        <v>1.0</v>
      </c>
      <c r="D1961" s="5" t="s">
        <v>5885</v>
      </c>
      <c r="E1961" s="5" t="s">
        <v>5886</v>
      </c>
      <c r="F1961" s="6" t="str">
        <f>IFERROR(__xludf.DUMMYFUNCTION("GOOGLETRANSLATE(D1961,""en"",""it"")"),"Mi piacciono anche gli arbusti e le querce.")</f>
        <v>Mi piacciono anche gli arbusti e le querce.</v>
      </c>
      <c r="G1961" s="6" t="str">
        <f>IFERROR(__xludf.DUMMYFUNCTION("GOOGLETRANSLATE(E1961,""fr"",""it"")"),"Amo gli arbusti, e anche le querce.")</f>
        <v>Amo gli arbusti, e anche le querce.</v>
      </c>
    </row>
    <row r="1962">
      <c r="A1962" s="4">
        <v>1960.0</v>
      </c>
      <c r="B1962" s="5" t="s">
        <v>5887</v>
      </c>
      <c r="C1962" s="4">
        <v>1.0</v>
      </c>
      <c r="D1962" s="5" t="s">
        <v>5888</v>
      </c>
      <c r="E1962" s="5" t="s">
        <v>5889</v>
      </c>
      <c r="F1962" s="6" t="str">
        <f>IFERROR(__xludf.DUMMYFUNCTION("GOOGLETRANSLATE(D1962,""en"",""it"")"),"Mi piacciono anche gli alberi e gli arbusti.")</f>
        <v>Mi piacciono anche gli alberi e gli arbusti.</v>
      </c>
      <c r="G1962" s="6" t="str">
        <f>IFERROR(__xludf.DUMMYFUNCTION("GOOGLETRANSLATE(E1962,""fr"",""it"")"),"Mi piacciono gli alberi e anche gli arbusti.")</f>
        <v>Mi piacciono gli alberi e anche gli arbusti.</v>
      </c>
    </row>
    <row r="1963">
      <c r="A1963" s="4">
        <v>1961.0</v>
      </c>
      <c r="B1963" s="5" t="s">
        <v>5890</v>
      </c>
      <c r="C1963" s="4">
        <v>1.0</v>
      </c>
      <c r="D1963" s="5" t="s">
        <v>5891</v>
      </c>
      <c r="E1963" s="5" t="s">
        <v>5892</v>
      </c>
      <c r="F1963" s="6" t="str">
        <f>IFERROR(__xludf.DUMMYFUNCTION("GOOGLETRANSLATE(D1963,""en"",""it"")"),"Mi piacciono anche bei betulle ed erba.")</f>
        <v>Mi piacciono anche bei betulle ed erba.</v>
      </c>
      <c r="G1963" s="6" t="str">
        <f>IFERROR(__xludf.DUMMYFUNCTION("GOOGLETRANSLATE(E1963,""fr"",""it"")"),"Amo Birch, e anche il prato.")</f>
        <v>Amo Birch, e anche il prato.</v>
      </c>
    </row>
    <row r="1964">
      <c r="A1964" s="4">
        <v>1962.0</v>
      </c>
      <c r="B1964" s="5" t="s">
        <v>5893</v>
      </c>
      <c r="C1964" s="4">
        <v>1.0</v>
      </c>
      <c r="D1964" s="5" t="s">
        <v>5894</v>
      </c>
      <c r="E1964" s="5" t="s">
        <v>5895</v>
      </c>
      <c r="F1964" s="6" t="str">
        <f>IFERROR(__xludf.DUMMYFUNCTION("GOOGLETRANSLATE(D1964,""en"",""it"")"),"Mi piacciono anche l'erba e le betulle.")</f>
        <v>Mi piacciono anche l'erba e le betulle.</v>
      </c>
      <c r="G1964" s="6" t="str">
        <f>IFERROR(__xludf.DUMMYFUNCTION("GOOGLETRANSLATE(E1964,""fr"",""it"")"),"Adoro il prato e anche le betulle.")</f>
        <v>Adoro il prato e anche le betulle.</v>
      </c>
    </row>
    <row r="1965">
      <c r="A1965" s="4">
        <v>1963.0</v>
      </c>
      <c r="B1965" s="5" t="s">
        <v>5896</v>
      </c>
      <c r="C1965" s="4">
        <v>0.0</v>
      </c>
      <c r="D1965" s="5" t="s">
        <v>5897</v>
      </c>
      <c r="E1965" s="5" t="s">
        <v>5898</v>
      </c>
      <c r="F1965" s="6" t="str">
        <f>IFERROR(__xludf.DUMMYFUNCTION("GOOGLETRANSLATE(D1965,""en"",""it"")"),"Mi piacciono anche bei betulle e alberi.")</f>
        <v>Mi piacciono anche bei betulle e alberi.</v>
      </c>
      <c r="G1965" s="6" t="str">
        <f>IFERROR(__xludf.DUMMYFUNCTION("GOOGLETRANSLATE(E1965,""fr"",""it"")"),"Amo la betulla e anche gli alberi.")</f>
        <v>Amo la betulla e anche gli alberi.</v>
      </c>
    </row>
    <row r="1966">
      <c r="A1966" s="4">
        <v>1964.0</v>
      </c>
      <c r="B1966" s="5" t="s">
        <v>5899</v>
      </c>
      <c r="C1966" s="4">
        <v>0.0</v>
      </c>
      <c r="D1966" s="5" t="s">
        <v>5900</v>
      </c>
      <c r="E1966" s="5" t="s">
        <v>5901</v>
      </c>
      <c r="F1966" s="6" t="str">
        <f>IFERROR(__xludf.DUMMYFUNCTION("GOOGLETRANSLATE(D1966,""en"",""it"")"),"Mi piacciono anche gli alberi e le betulle.")</f>
        <v>Mi piacciono anche gli alberi e le betulle.</v>
      </c>
      <c r="G1966" s="6" t="str">
        <f>IFERROR(__xludf.DUMMYFUNCTION("GOOGLETRANSLATE(E1966,""fr"",""it"")"),"Mi piacciono gli alberi, e anche le betulle.")</f>
        <v>Mi piacciono gli alberi, e anche le betulle.</v>
      </c>
    </row>
    <row r="1967">
      <c r="A1967" s="4">
        <v>1965.0</v>
      </c>
      <c r="B1967" s="5" t="s">
        <v>5902</v>
      </c>
      <c r="C1967" s="4">
        <v>1.0</v>
      </c>
      <c r="D1967" s="5" t="s">
        <v>5903</v>
      </c>
      <c r="E1967" s="5" t="s">
        <v>5904</v>
      </c>
      <c r="F1967" s="6" t="str">
        <f>IFERROR(__xludf.DUMMYFUNCTION("GOOGLETRANSLATE(D1967,""en"",""it"")"),"Mi piacciono anche bei betulle e animali.")</f>
        <v>Mi piacciono anche bei betulle e animali.</v>
      </c>
      <c r="G1967" s="6" t="str">
        <f>IFERROR(__xludf.DUMMYFUNCTION("GOOGLETRANSLATE(E1967,""fr"",""it"")"),"Amo la betulla e anche gli animali.")</f>
        <v>Amo la betulla e anche gli animali.</v>
      </c>
    </row>
    <row r="1968">
      <c r="A1968" s="4">
        <v>1966.0</v>
      </c>
      <c r="B1968" s="5" t="s">
        <v>5905</v>
      </c>
      <c r="C1968" s="4">
        <v>1.0</v>
      </c>
      <c r="D1968" s="5" t="s">
        <v>5906</v>
      </c>
      <c r="E1968" s="5" t="s">
        <v>5907</v>
      </c>
      <c r="F1968" s="6" t="str">
        <f>IFERROR(__xludf.DUMMYFUNCTION("GOOGLETRANSLATE(D1968,""en"",""it"")"),"Mi piacciono anche gli animali ei betulle.")</f>
        <v>Mi piacciono anche gli animali ei betulle.</v>
      </c>
      <c r="G1968" s="6" t="str">
        <f>IFERROR(__xludf.DUMMYFUNCTION("GOOGLETRANSLATE(E1968,""fr"",""it"")"),"Amo gli animali, e anche le betulle.")</f>
        <v>Amo gli animali, e anche le betulle.</v>
      </c>
    </row>
    <row r="1969">
      <c r="A1969" s="4">
        <v>1967.0</v>
      </c>
      <c r="B1969" s="5" t="s">
        <v>5908</v>
      </c>
      <c r="C1969" s="4">
        <v>1.0</v>
      </c>
      <c r="D1969" s="5" t="s">
        <v>5909</v>
      </c>
      <c r="E1969" s="5" t="s">
        <v>5910</v>
      </c>
      <c r="F1969" s="6" t="str">
        <f>IFERROR(__xludf.DUMMYFUNCTION("GOOGLETRANSLATE(D1969,""en"",""it"")"),"Mi piacciono anche bei beirs e cespugli.")</f>
        <v>Mi piacciono anche bei beirs e cespugli.</v>
      </c>
      <c r="G1969" s="6" t="str">
        <f>IFERROR(__xludf.DUMMYFUNCTION("GOOGLETRANSLATE(E1969,""fr"",""it"")"),"Amo Birch, e anche i cespugli.")</f>
        <v>Amo Birch, e anche i cespugli.</v>
      </c>
    </row>
    <row r="1970">
      <c r="A1970" s="4">
        <v>1968.0</v>
      </c>
      <c r="B1970" s="5" t="s">
        <v>5911</v>
      </c>
      <c r="C1970" s="4">
        <v>1.0</v>
      </c>
      <c r="D1970" s="5" t="s">
        <v>5912</v>
      </c>
      <c r="E1970" s="5" t="s">
        <v>5913</v>
      </c>
      <c r="F1970" s="6" t="str">
        <f>IFERROR(__xludf.DUMMYFUNCTION("GOOGLETRANSLATE(D1970,""en"",""it"")"),"Mi piacciono anche i cespugli e le betulle.")</f>
        <v>Mi piacciono anche i cespugli e le betulle.</v>
      </c>
      <c r="G1970" s="6" t="str">
        <f>IFERROR(__xludf.DUMMYFUNCTION("GOOGLETRANSLATE(E1970,""fr"",""it"")"),"Amo i cespugli e anche le betulle.")</f>
        <v>Amo i cespugli e anche le betulle.</v>
      </c>
    </row>
    <row r="1971">
      <c r="A1971" s="4">
        <v>1969.0</v>
      </c>
      <c r="B1971" s="5" t="s">
        <v>5914</v>
      </c>
      <c r="C1971" s="4">
        <v>1.0</v>
      </c>
      <c r="D1971" s="5" t="s">
        <v>5915</v>
      </c>
      <c r="E1971" s="5" t="s">
        <v>5916</v>
      </c>
      <c r="F1971" s="6" t="str">
        <f>IFERROR(__xludf.DUMMYFUNCTION("GOOGLETRANSLATE(D1971,""en"",""it"")"),"Mi piacciono anche bei betulle e arbusti.")</f>
        <v>Mi piacciono anche bei betulle e arbusti.</v>
      </c>
      <c r="G1971" s="6" t="str">
        <f>IFERROR(__xludf.DUMMYFUNCTION("GOOGLETRANSLATE(E1971,""fr"",""it"")"),"Amo la betulla e anche gli arbusti.")</f>
        <v>Amo la betulla e anche gli arbusti.</v>
      </c>
    </row>
    <row r="1972">
      <c r="A1972" s="4">
        <v>1970.0</v>
      </c>
      <c r="B1972" s="5" t="s">
        <v>5917</v>
      </c>
      <c r="C1972" s="4">
        <v>1.0</v>
      </c>
      <c r="D1972" s="5" t="s">
        <v>5918</v>
      </c>
      <c r="E1972" s="5" t="s">
        <v>5919</v>
      </c>
      <c r="F1972" s="6" t="str">
        <f>IFERROR(__xludf.DUMMYFUNCTION("GOOGLETRANSLATE(D1972,""en"",""it"")"),"Mi piacciono anche gli arbusti ei betulle.")</f>
        <v>Mi piacciono anche gli arbusti ei betulle.</v>
      </c>
      <c r="G1972" s="6" t="str">
        <f>IFERROR(__xludf.DUMMYFUNCTION("GOOGLETRANSLATE(E1972,""fr"",""it"")"),"Amo gli arbusti e anche le betulle.")</f>
        <v>Amo gli arbusti e anche le betulle.</v>
      </c>
    </row>
    <row r="1973">
      <c r="A1973" s="4">
        <v>1971.0</v>
      </c>
      <c r="B1973" s="5" t="s">
        <v>5920</v>
      </c>
      <c r="C1973" s="4">
        <v>1.0</v>
      </c>
      <c r="D1973" s="5" t="s">
        <v>5921</v>
      </c>
      <c r="E1973" s="5" t="s">
        <v>5922</v>
      </c>
      <c r="F1973" s="6" t="str">
        <f>IFERROR(__xludf.DUMMYFUNCTION("GOOGLETRANSLATE(D1973,""en"",""it"")"),"Mi piacciono anche gli abeti e l'erba.")</f>
        <v>Mi piacciono anche gli abeti e l'erba.</v>
      </c>
      <c r="G1973" s="6" t="str">
        <f>IFERROR(__xludf.DUMMYFUNCTION("GOOGLETRANSLATE(E1973,""fr"",""it"")"),"Amo gli abeti e anche il prato.")</f>
        <v>Amo gli abeti e anche il prato.</v>
      </c>
    </row>
    <row r="1974">
      <c r="A1974" s="4">
        <v>1972.0</v>
      </c>
      <c r="B1974" s="5" t="s">
        <v>5923</v>
      </c>
      <c r="C1974" s="4">
        <v>1.0</v>
      </c>
      <c r="D1974" s="5" t="s">
        <v>5924</v>
      </c>
      <c r="E1974" s="5" t="s">
        <v>5925</v>
      </c>
      <c r="F1974" s="6" t="str">
        <f>IFERROR(__xludf.DUMMYFUNCTION("GOOGLETRANSLATE(D1974,""en"",""it"")"),"Mi piacciono anche l'erba e gli abeti.")</f>
        <v>Mi piacciono anche l'erba e gli abeti.</v>
      </c>
      <c r="G1974" s="6" t="str">
        <f>IFERROR(__xludf.DUMMYFUNCTION("GOOGLETRANSLATE(E1974,""fr"",""it"")"),"Adoro il prato e anche gli abeti.")</f>
        <v>Adoro il prato e anche gli abeti.</v>
      </c>
    </row>
    <row r="1975">
      <c r="A1975" s="4">
        <v>1973.0</v>
      </c>
      <c r="B1975" s="5" t="s">
        <v>5926</v>
      </c>
      <c r="C1975" s="4">
        <v>0.0</v>
      </c>
      <c r="D1975" s="5" t="s">
        <v>5927</v>
      </c>
      <c r="E1975" s="5" t="s">
        <v>5928</v>
      </c>
      <c r="F1975" s="6" t="str">
        <f>IFERROR(__xludf.DUMMYFUNCTION("GOOGLETRANSLATE(D1975,""en"",""it"")"),"Mi piacciono gli abeti e anche gli alberi.")</f>
        <v>Mi piacciono gli abeti e anche gli alberi.</v>
      </c>
      <c r="G1975" s="6" t="str">
        <f>IFERROR(__xludf.DUMMYFUNCTION("GOOGLETRANSLATE(E1975,""fr"",""it"")"),"Amo gli abeti e anche gli alberi.")</f>
        <v>Amo gli abeti e anche gli alberi.</v>
      </c>
    </row>
    <row r="1976">
      <c r="A1976" s="4">
        <v>1974.0</v>
      </c>
      <c r="B1976" s="5" t="s">
        <v>5929</v>
      </c>
      <c r="C1976" s="4">
        <v>0.0</v>
      </c>
      <c r="D1976" s="5" t="s">
        <v>5930</v>
      </c>
      <c r="E1976" s="5" t="s">
        <v>5931</v>
      </c>
      <c r="F1976" s="6" t="str">
        <f>IFERROR(__xludf.DUMMYFUNCTION("GOOGLETRANSLATE(D1976,""en"",""it"")"),"Mi piacciono anche gli alberi e gli abeti.")</f>
        <v>Mi piacciono anche gli alberi e gli abeti.</v>
      </c>
      <c r="G1976" s="6" t="str">
        <f>IFERROR(__xludf.DUMMYFUNCTION("GOOGLETRANSLATE(E1976,""fr"",""it"")"),"Mi piacciono gli alberi, e anche gli abeti.")</f>
        <v>Mi piacciono gli alberi, e anche gli abeti.</v>
      </c>
    </row>
    <row r="1977">
      <c r="A1977" s="4">
        <v>1975.0</v>
      </c>
      <c r="B1977" s="5" t="s">
        <v>5932</v>
      </c>
      <c r="C1977" s="4">
        <v>1.0</v>
      </c>
      <c r="D1977" s="5" t="s">
        <v>5933</v>
      </c>
      <c r="E1977" s="5" t="s">
        <v>5934</v>
      </c>
      <c r="F1977" s="6" t="str">
        <f>IFERROR(__xludf.DUMMYFUNCTION("GOOGLETRANSLATE(D1977,""en"",""it"")"),"Mi piacciono anche gli abeti e gli animali.")</f>
        <v>Mi piacciono anche gli abeti e gli animali.</v>
      </c>
      <c r="G1977" s="6" t="str">
        <f>IFERROR(__xludf.DUMMYFUNCTION("GOOGLETRANSLATE(E1977,""fr"",""it"")"),"Amo gli abeti e anche gli animali.")</f>
        <v>Amo gli abeti e anche gli animali.</v>
      </c>
    </row>
    <row r="1978">
      <c r="A1978" s="4">
        <v>1976.0</v>
      </c>
      <c r="B1978" s="5" t="s">
        <v>5935</v>
      </c>
      <c r="C1978" s="4">
        <v>1.0</v>
      </c>
      <c r="D1978" s="5" t="s">
        <v>5936</v>
      </c>
      <c r="E1978" s="5" t="s">
        <v>5937</v>
      </c>
      <c r="F1978" s="6" t="str">
        <f>IFERROR(__xludf.DUMMYFUNCTION("GOOGLETRANSLATE(D1978,""en"",""it"")"),"Mi piacciono anche gli animali e gli abeti.")</f>
        <v>Mi piacciono anche gli animali e gli abeti.</v>
      </c>
      <c r="G1978" s="6" t="str">
        <f>IFERROR(__xludf.DUMMYFUNCTION("GOOGLETRANSLATE(E1978,""fr"",""it"")"),"Amo gli animali, e anche gli abeti.")</f>
        <v>Amo gli animali, e anche gli abeti.</v>
      </c>
    </row>
    <row r="1979">
      <c r="A1979" s="4">
        <v>1977.0</v>
      </c>
      <c r="B1979" s="5" t="s">
        <v>5938</v>
      </c>
      <c r="C1979" s="4">
        <v>1.0</v>
      </c>
      <c r="D1979" s="5" t="s">
        <v>5939</v>
      </c>
      <c r="E1979" s="5" t="s">
        <v>5940</v>
      </c>
      <c r="F1979" s="6" t="str">
        <f>IFERROR(__xludf.DUMMYFUNCTION("GOOGLETRANSLATE(D1979,""en"",""it"")"),"Mi piacciono anche gli abeti e i cespugli.")</f>
        <v>Mi piacciono anche gli abeti e i cespugli.</v>
      </c>
      <c r="G1979" s="6" t="str">
        <f>IFERROR(__xludf.DUMMYFUNCTION("GOOGLETRANSLATE(E1979,""fr"",""it"")"),"Amo gli abeti e anche i cespugli.")</f>
        <v>Amo gli abeti e anche i cespugli.</v>
      </c>
    </row>
    <row r="1980">
      <c r="A1980" s="4">
        <v>1978.0</v>
      </c>
      <c r="B1980" s="5" t="s">
        <v>5941</v>
      </c>
      <c r="C1980" s="4">
        <v>1.0</v>
      </c>
      <c r="D1980" s="5" t="s">
        <v>5942</v>
      </c>
      <c r="E1980" s="5" t="s">
        <v>5943</v>
      </c>
      <c r="F1980" s="6" t="str">
        <f>IFERROR(__xludf.DUMMYFUNCTION("GOOGLETRANSLATE(D1980,""en"",""it"")"),"Mi piacciono anche i cespugli e gli abeti.")</f>
        <v>Mi piacciono anche i cespugli e gli abeti.</v>
      </c>
      <c r="G1980" s="6" t="str">
        <f>IFERROR(__xludf.DUMMYFUNCTION("GOOGLETRANSLATE(E1980,""fr"",""it"")"),"Amo i cespugli, e anche gli abeti.")</f>
        <v>Amo i cespugli, e anche gli abeti.</v>
      </c>
    </row>
    <row r="1981">
      <c r="A1981" s="4">
        <v>1979.0</v>
      </c>
      <c r="B1981" s="5" t="s">
        <v>5944</v>
      </c>
      <c r="C1981" s="4">
        <v>1.0</v>
      </c>
      <c r="D1981" s="5" t="s">
        <v>5945</v>
      </c>
      <c r="E1981" s="5" t="s">
        <v>5946</v>
      </c>
      <c r="F1981" s="6" t="str">
        <f>IFERROR(__xludf.DUMMYFUNCTION("GOOGLETRANSLATE(D1981,""en"",""it"")"),"Mi piacciono anche gli abeti e gli arbusti.")</f>
        <v>Mi piacciono anche gli abeti e gli arbusti.</v>
      </c>
      <c r="G1981" s="6" t="str">
        <f>IFERROR(__xludf.DUMMYFUNCTION("GOOGLETRANSLATE(E1981,""fr"",""it"")"),"Adoro gli abeti e anche gli arbusti.")</f>
        <v>Adoro gli abeti e anche gli arbusti.</v>
      </c>
    </row>
    <row r="1982">
      <c r="A1982" s="4">
        <v>1980.0</v>
      </c>
      <c r="B1982" s="5" t="s">
        <v>5947</v>
      </c>
      <c r="C1982" s="4">
        <v>1.0</v>
      </c>
      <c r="D1982" s="5" t="s">
        <v>5948</v>
      </c>
      <c r="E1982" s="5" t="s">
        <v>5949</v>
      </c>
      <c r="F1982" s="6" t="str">
        <f>IFERROR(__xludf.DUMMYFUNCTION("GOOGLETRANSLATE(D1982,""en"",""it"")"),"Mi piacciono anche gli arbusti e gli abeti.")</f>
        <v>Mi piacciono anche gli arbusti e gli abeti.</v>
      </c>
      <c r="G1982" s="6" t="str">
        <f>IFERROR(__xludf.DUMMYFUNCTION("GOOGLETRANSLATE(E1982,""fr"",""it"")"),"Amo gli arbusti, e anche gli abeti.")</f>
        <v>Amo gli arbusti, e anche gli abeti.</v>
      </c>
    </row>
    <row r="1983">
      <c r="A1983" s="4">
        <v>1981.0</v>
      </c>
      <c r="B1983" s="5" t="s">
        <v>5950</v>
      </c>
      <c r="C1983" s="4">
        <v>1.0</v>
      </c>
      <c r="D1983" s="5" t="s">
        <v>5951</v>
      </c>
      <c r="E1983" s="5" t="s">
        <v>5952</v>
      </c>
      <c r="F1983" s="6" t="str">
        <f>IFERROR(__xludf.DUMMYFUNCTION("GOOGLETRANSLATE(D1983,""en"",""it"")"),"Mi piacciono anche i pini e l'erba.")</f>
        <v>Mi piacciono anche i pini e l'erba.</v>
      </c>
      <c r="G1983" s="6" t="str">
        <f>IFERROR(__xludf.DUMMYFUNCTION("GOOGLETRANSLATE(E1983,""fr"",""it"")"),"Mi piacciono i pini, e anche il prato.")</f>
        <v>Mi piacciono i pini, e anche il prato.</v>
      </c>
    </row>
    <row r="1984">
      <c r="A1984" s="4">
        <v>1982.0</v>
      </c>
      <c r="B1984" s="5" t="s">
        <v>5953</v>
      </c>
      <c r="C1984" s="4">
        <v>1.0</v>
      </c>
      <c r="D1984" s="5" t="s">
        <v>5954</v>
      </c>
      <c r="E1984" s="5" t="s">
        <v>5955</v>
      </c>
      <c r="F1984" s="6" t="str">
        <f>IFERROR(__xludf.DUMMYFUNCTION("GOOGLETRANSLATE(D1984,""en"",""it"")"),"Mi piace anche l'erba e i pini.")</f>
        <v>Mi piace anche l'erba e i pini.</v>
      </c>
      <c r="G1984" s="6" t="str">
        <f>IFERROR(__xludf.DUMMYFUNCTION("GOOGLETRANSLATE(E1984,""fr"",""it"")"),"Adoro il prato, e anche i pini.")</f>
        <v>Adoro il prato, e anche i pini.</v>
      </c>
    </row>
    <row r="1985">
      <c r="A1985" s="4">
        <v>1983.0</v>
      </c>
      <c r="B1985" s="5" t="s">
        <v>5956</v>
      </c>
      <c r="C1985" s="4">
        <v>0.0</v>
      </c>
      <c r="D1985" s="5" t="s">
        <v>5957</v>
      </c>
      <c r="E1985" s="5" t="s">
        <v>5958</v>
      </c>
      <c r="F1985" s="6" t="str">
        <f>IFERROR(__xludf.DUMMYFUNCTION("GOOGLETRANSLATE(D1985,""en"",""it"")"),"Mi piacciono anche i pini e gli alberi.")</f>
        <v>Mi piacciono anche i pini e gli alberi.</v>
      </c>
      <c r="G1985" s="6" t="str">
        <f>IFERROR(__xludf.DUMMYFUNCTION("GOOGLETRANSLATE(E1985,""fr"",""it"")"),"Mi piacciono i pini e anche gli alberi.")</f>
        <v>Mi piacciono i pini e anche gli alberi.</v>
      </c>
    </row>
    <row r="1986">
      <c r="A1986" s="4">
        <v>1984.0</v>
      </c>
      <c r="B1986" s="5" t="s">
        <v>5959</v>
      </c>
      <c r="C1986" s="4">
        <v>0.0</v>
      </c>
      <c r="D1986" s="5" t="s">
        <v>5960</v>
      </c>
      <c r="E1986" s="5" t="s">
        <v>5961</v>
      </c>
      <c r="F1986" s="6" t="str">
        <f>IFERROR(__xludf.DUMMYFUNCTION("GOOGLETRANSLATE(D1986,""en"",""it"")"),"Mi piacciono anche gli alberi e i pini.")</f>
        <v>Mi piacciono anche gli alberi e i pini.</v>
      </c>
      <c r="G1986" s="6" t="str">
        <f>IFERROR(__xludf.DUMMYFUNCTION("GOOGLETRANSLATE(E1986,""fr"",""it"")"),"Mi piacciono gli alberi e anche i pini.")</f>
        <v>Mi piacciono gli alberi e anche i pini.</v>
      </c>
    </row>
    <row r="1987">
      <c r="A1987" s="4">
        <v>1985.0</v>
      </c>
      <c r="B1987" s="5" t="s">
        <v>5962</v>
      </c>
      <c r="C1987" s="4">
        <v>1.0</v>
      </c>
      <c r="D1987" s="5" t="s">
        <v>5963</v>
      </c>
      <c r="E1987" s="5" t="s">
        <v>5964</v>
      </c>
      <c r="F1987" s="6" t="str">
        <f>IFERROR(__xludf.DUMMYFUNCTION("GOOGLETRANSLATE(D1987,""en"",""it"")"),"Mi piacciono anche i pini e gli animali.")</f>
        <v>Mi piacciono anche i pini e gli animali.</v>
      </c>
      <c r="G1987" s="6" t="str">
        <f>IFERROR(__xludf.DUMMYFUNCTION("GOOGLETRANSLATE(E1987,""fr"",""it"")"),"Amo i pini e anche gli animali.")</f>
        <v>Amo i pini e anche gli animali.</v>
      </c>
    </row>
    <row r="1988">
      <c r="A1988" s="4">
        <v>1986.0</v>
      </c>
      <c r="B1988" s="5" t="s">
        <v>5965</v>
      </c>
      <c r="C1988" s="4">
        <v>1.0</v>
      </c>
      <c r="D1988" s="5" t="s">
        <v>5966</v>
      </c>
      <c r="E1988" s="5" t="s">
        <v>5967</v>
      </c>
      <c r="F1988" s="6" t="str">
        <f>IFERROR(__xludf.DUMMYFUNCTION("GOOGLETRANSLATE(D1988,""en"",""it"")"),"Mi piacciono anche gli animali e i pini.")</f>
        <v>Mi piacciono anche gli animali e i pini.</v>
      </c>
      <c r="G1988" s="6" t="str">
        <f>IFERROR(__xludf.DUMMYFUNCTION("GOOGLETRANSLATE(E1988,""fr"",""it"")"),"Amo gli animali, e anche i pini.")</f>
        <v>Amo gli animali, e anche i pini.</v>
      </c>
    </row>
    <row r="1989">
      <c r="A1989" s="4">
        <v>1987.0</v>
      </c>
      <c r="B1989" s="5" t="s">
        <v>5968</v>
      </c>
      <c r="C1989" s="4">
        <v>1.0</v>
      </c>
      <c r="D1989" s="5" t="s">
        <v>5969</v>
      </c>
      <c r="E1989" s="5" t="s">
        <v>5970</v>
      </c>
      <c r="F1989" s="6" t="str">
        <f>IFERROR(__xludf.DUMMYFUNCTION("GOOGLETRANSLATE(D1989,""en"",""it"")"),"Mi piacciono anche i pini e i cespugli.")</f>
        <v>Mi piacciono anche i pini e i cespugli.</v>
      </c>
      <c r="G1989" s="6" t="str">
        <f>IFERROR(__xludf.DUMMYFUNCTION("GOOGLETRANSLATE(E1989,""fr"",""it"")"),"Adoro i pini, e anche i cespugli.")</f>
        <v>Adoro i pini, e anche i cespugli.</v>
      </c>
    </row>
    <row r="1990">
      <c r="A1990" s="4">
        <v>1988.0</v>
      </c>
      <c r="B1990" s="5" t="s">
        <v>5971</v>
      </c>
      <c r="C1990" s="4">
        <v>1.0</v>
      </c>
      <c r="D1990" s="5" t="s">
        <v>5972</v>
      </c>
      <c r="E1990" s="5" t="s">
        <v>5973</v>
      </c>
      <c r="F1990" s="6" t="str">
        <f>IFERROR(__xludf.DUMMYFUNCTION("GOOGLETRANSLATE(D1990,""en"",""it"")"),"Mi piacciono anche i cespugli e i pini.")</f>
        <v>Mi piacciono anche i cespugli e i pini.</v>
      </c>
      <c r="G1990" s="6" t="str">
        <f>IFERROR(__xludf.DUMMYFUNCTION("GOOGLETRANSLATE(E1990,""fr"",""it"")"),"Amo i cespugli e anche i pini.")</f>
        <v>Amo i cespugli e anche i pini.</v>
      </c>
    </row>
    <row r="1991">
      <c r="A1991" s="4">
        <v>1989.0</v>
      </c>
      <c r="B1991" s="5" t="s">
        <v>5974</v>
      </c>
      <c r="C1991" s="4">
        <v>1.0</v>
      </c>
      <c r="D1991" s="5" t="s">
        <v>5975</v>
      </c>
      <c r="E1991" s="5" t="s">
        <v>5976</v>
      </c>
      <c r="F1991" s="6" t="str">
        <f>IFERROR(__xludf.DUMMYFUNCTION("GOOGLETRANSLATE(D1991,""en"",""it"")"),"Mi piacciono anche i pini e gli arbusti.")</f>
        <v>Mi piacciono anche i pini e gli arbusti.</v>
      </c>
      <c r="G1991" s="6" t="str">
        <f>IFERROR(__xludf.DUMMYFUNCTION("GOOGLETRANSLATE(E1991,""fr"",""it"")"),"Adoro i pini, e anche gli arbusti.")</f>
        <v>Adoro i pini, e anche gli arbusti.</v>
      </c>
    </row>
    <row r="1992">
      <c r="A1992" s="4">
        <v>1990.0</v>
      </c>
      <c r="B1992" s="5" t="s">
        <v>5977</v>
      </c>
      <c r="C1992" s="4">
        <v>1.0</v>
      </c>
      <c r="D1992" s="5" t="s">
        <v>5978</v>
      </c>
      <c r="E1992" s="5" t="s">
        <v>5979</v>
      </c>
      <c r="F1992" s="6" t="str">
        <f>IFERROR(__xludf.DUMMYFUNCTION("GOOGLETRANSLATE(D1992,""en"",""it"")"),"Mi piacciono anche gli arbusti e i pini.")</f>
        <v>Mi piacciono anche gli arbusti e i pini.</v>
      </c>
      <c r="G1992" s="6" t="str">
        <f>IFERROR(__xludf.DUMMYFUNCTION("GOOGLETRANSLATE(E1992,""fr"",""it"")"),"Amo gli arbusti, e anche i pini.")</f>
        <v>Amo gli arbusti, e anche i pini.</v>
      </c>
    </row>
    <row r="1993">
      <c r="A1993" s="4">
        <v>1991.0</v>
      </c>
      <c r="B1993" s="5" t="s">
        <v>5980</v>
      </c>
      <c r="C1993" s="4">
        <v>1.0</v>
      </c>
      <c r="D1993" s="5" t="s">
        <v>5981</v>
      </c>
      <c r="E1993" s="5" t="s">
        <v>5982</v>
      </c>
      <c r="F1993" s="6" t="str">
        <f>IFERROR(__xludf.DUMMYFUNCTION("GOOGLETRANSLATE(D1993,""en"",""it"")"),"Io uso anche poliestere e legno.")</f>
        <v>Io uso anche poliestere e legno.</v>
      </c>
      <c r="G1993" s="6" t="str">
        <f>IFERROR(__xludf.DUMMYFUNCTION("GOOGLETRANSLATE(E1993,""fr"",""it"")"),"Io uso il poliestere e anche il legno.")</f>
        <v>Io uso il poliestere e anche il legno.</v>
      </c>
    </row>
    <row r="1994">
      <c r="A1994" s="4">
        <v>1992.0</v>
      </c>
      <c r="B1994" s="5" t="s">
        <v>5983</v>
      </c>
      <c r="C1994" s="4">
        <v>1.0</v>
      </c>
      <c r="D1994" s="5" t="s">
        <v>5984</v>
      </c>
      <c r="E1994" s="5" t="s">
        <v>5985</v>
      </c>
      <c r="F1994" s="6" t="str">
        <f>IFERROR(__xludf.DUMMYFUNCTION("GOOGLETRANSLATE(D1994,""en"",""it"")"),"Io uso il legno e anche il poliestere.")</f>
        <v>Io uso il legno e anche il poliestere.</v>
      </c>
      <c r="G1994" s="6" t="str">
        <f>IFERROR(__xludf.DUMMYFUNCTION("GOOGLETRANSLATE(E1994,""fr"",""it"")"),"Io uso il legno e anche il poliestere.")</f>
        <v>Io uso il legno e anche il poliestere.</v>
      </c>
    </row>
    <row r="1995">
      <c r="A1995" s="4">
        <v>1993.0</v>
      </c>
      <c r="B1995" s="5" t="s">
        <v>5986</v>
      </c>
      <c r="C1995" s="4">
        <v>0.0</v>
      </c>
      <c r="D1995" s="5" t="s">
        <v>5987</v>
      </c>
      <c r="E1995" s="5" t="s">
        <v>5988</v>
      </c>
      <c r="F1995" s="6" t="str">
        <f>IFERROR(__xludf.DUMMYFUNCTION("GOOGLETRANSLATE(D1995,""en"",""it"")"),"Uso anche poliestere e plastica.")</f>
        <v>Uso anche poliestere e plastica.</v>
      </c>
      <c r="G1995" s="6" t="str">
        <f>IFERROR(__xludf.DUMMYFUNCTION("GOOGLETRANSLATE(E1995,""fr"",""it"")"),"Io uso il poliestere e anche la plastica.")</f>
        <v>Io uso il poliestere e anche la plastica.</v>
      </c>
    </row>
    <row r="1996">
      <c r="A1996" s="4">
        <v>1994.0</v>
      </c>
      <c r="B1996" s="5" t="s">
        <v>5989</v>
      </c>
      <c r="C1996" s="4">
        <v>0.0</v>
      </c>
      <c r="D1996" s="5" t="s">
        <v>5990</v>
      </c>
      <c r="E1996" s="5" t="s">
        <v>5991</v>
      </c>
      <c r="F1996" s="6" t="str">
        <f>IFERROR(__xludf.DUMMYFUNCTION("GOOGLETRANSLATE(D1996,""en"",""it"")"),"Io uso la plastica e anche il poliestere.")</f>
        <v>Io uso la plastica e anche il poliestere.</v>
      </c>
      <c r="G1996" s="6" t="str">
        <f>IFERROR(__xludf.DUMMYFUNCTION("GOOGLETRANSLATE(E1996,""fr"",""it"")"),"Io uso la plastica e anche il poliestere.")</f>
        <v>Io uso la plastica e anche il poliestere.</v>
      </c>
    </row>
    <row r="1997">
      <c r="A1997" s="4">
        <v>1995.0</v>
      </c>
      <c r="B1997" s="5" t="s">
        <v>5992</v>
      </c>
      <c r="C1997" s="4">
        <v>1.0</v>
      </c>
      <c r="D1997" s="5" t="s">
        <v>5993</v>
      </c>
      <c r="E1997" s="5" t="s">
        <v>5994</v>
      </c>
      <c r="F1997" s="6" t="str">
        <f>IFERROR(__xludf.DUMMYFUNCTION("GOOGLETRANSLATE(D1997,""en"",""it"")"),"Io uso la plastica e anche il legno.")</f>
        <v>Io uso la plastica e anche il legno.</v>
      </c>
      <c r="G1997" s="6" t="str">
        <f>IFERROR(__xludf.DUMMYFUNCTION("GOOGLETRANSLATE(E1997,""fr"",""it"")"),"Io uso la plastica e anche il legno.")</f>
        <v>Io uso la plastica e anche il legno.</v>
      </c>
    </row>
    <row r="1998">
      <c r="A1998" s="4">
        <v>1996.0</v>
      </c>
      <c r="B1998" s="5" t="s">
        <v>5995</v>
      </c>
      <c r="C1998" s="4">
        <v>1.0</v>
      </c>
      <c r="D1998" s="5" t="s">
        <v>5996</v>
      </c>
      <c r="E1998" s="5" t="s">
        <v>5997</v>
      </c>
      <c r="F1998" s="6" t="str">
        <f>IFERROR(__xludf.DUMMYFUNCTION("GOOGLETRANSLATE(D1998,""en"",""it"")"),"Uso anche in poliestere e cotone.")</f>
        <v>Uso anche in poliestere e cotone.</v>
      </c>
      <c r="G1998" s="6" t="str">
        <f>IFERROR(__xludf.DUMMYFUNCTION("GOOGLETRANSLATE(E1998,""fr"",""it"")"),"Io uso poliestere e anche cotone.")</f>
        <v>Io uso poliestere e anche cotone.</v>
      </c>
    </row>
    <row r="1999">
      <c r="A1999" s="4">
        <v>1997.0</v>
      </c>
      <c r="B1999" s="5" t="s">
        <v>5998</v>
      </c>
      <c r="C1999" s="4">
        <v>1.0</v>
      </c>
      <c r="D1999" s="5" t="s">
        <v>5999</v>
      </c>
      <c r="E1999" s="5" t="s">
        <v>6000</v>
      </c>
      <c r="F1999" s="6" t="str">
        <f>IFERROR(__xludf.DUMMYFUNCTION("GOOGLETRANSLATE(D1999,""en"",""it"")"),"Uso anche cotone e poliestere.")</f>
        <v>Uso anche cotone e poliestere.</v>
      </c>
      <c r="G1999" s="6" t="str">
        <f>IFERROR(__xludf.DUMMYFUNCTION("GOOGLETRANSLATE(E1999,""fr"",""it"")"),"Uso il cotone e anche il poliestere.")</f>
        <v>Uso il cotone e anche il poliestere.</v>
      </c>
    </row>
    <row r="2000">
      <c r="A2000" s="4">
        <v>1998.0</v>
      </c>
      <c r="B2000" s="5" t="s">
        <v>6001</v>
      </c>
      <c r="C2000" s="4">
        <v>1.0</v>
      </c>
      <c r="D2000" s="5" t="s">
        <v>6002</v>
      </c>
      <c r="E2000" s="5" t="s">
        <v>6003</v>
      </c>
      <c r="F2000" s="6" t="str">
        <f>IFERROR(__xludf.DUMMYFUNCTION("GOOGLETRANSLATE(D2000,""en"",""it"")"),"Io uso la plastica e anche il cotone.")</f>
        <v>Io uso la plastica e anche il cotone.</v>
      </c>
      <c r="G2000" s="6" t="str">
        <f>IFERROR(__xludf.DUMMYFUNCTION("GOOGLETRANSLATE(E2000,""fr"",""it"")"),"Io uso la plastica e anche il cotone.")</f>
        <v>Io uso la plastica e anche il cotone.</v>
      </c>
    </row>
    <row r="2001">
      <c r="A2001" s="4">
        <v>1999.0</v>
      </c>
      <c r="B2001" s="5" t="s">
        <v>6004</v>
      </c>
      <c r="C2001" s="4">
        <v>1.0</v>
      </c>
      <c r="D2001" s="5" t="s">
        <v>6005</v>
      </c>
      <c r="E2001" s="5" t="s">
        <v>6006</v>
      </c>
      <c r="F2001" s="6" t="str">
        <f>IFERROR(__xludf.DUMMYFUNCTION("GOOGLETRANSLATE(D2001,""en"",""it"")"),"Uso anche poliestere e vetro.")</f>
        <v>Uso anche poliestere e vetro.</v>
      </c>
      <c r="G2001" s="6" t="str">
        <f>IFERROR(__xludf.DUMMYFUNCTION("GOOGLETRANSLATE(E2001,""fr"",""it"")"),"Io uso il poliestere e anche il vetro.")</f>
        <v>Io uso il poliestere e anche il vetro.</v>
      </c>
    </row>
    <row r="2002">
      <c r="A2002" s="4">
        <v>2000.0</v>
      </c>
      <c r="B2002" s="5" t="s">
        <v>6007</v>
      </c>
      <c r="C2002" s="4">
        <v>1.0</v>
      </c>
      <c r="D2002" s="5" t="s">
        <v>6008</v>
      </c>
      <c r="E2002" s="5" t="s">
        <v>6009</v>
      </c>
      <c r="F2002" s="6" t="str">
        <f>IFERROR(__xludf.DUMMYFUNCTION("GOOGLETRANSLATE(D2002,""en"",""it"")"),"Io uso il vetro e anche il poliestere.")</f>
        <v>Io uso il vetro e anche il poliestere.</v>
      </c>
      <c r="G2002" s="6" t="str">
        <f>IFERROR(__xludf.DUMMYFUNCTION("GOOGLETRANSLATE(E2002,""fr"",""it"")"),"Io uso il vetro e anche il poliestere.")</f>
        <v>Io uso il vetro e anche il poliestere.</v>
      </c>
    </row>
    <row r="2003">
      <c r="A2003" s="4">
        <v>2001.0</v>
      </c>
      <c r="B2003" s="5" t="s">
        <v>6010</v>
      </c>
      <c r="C2003" s="4">
        <v>1.0</v>
      </c>
      <c r="D2003" s="5" t="s">
        <v>6011</v>
      </c>
      <c r="E2003" s="5" t="s">
        <v>6012</v>
      </c>
      <c r="F2003" s="6" t="str">
        <f>IFERROR(__xludf.DUMMYFUNCTION("GOOGLETRANSLATE(D2003,""en"",""it"")"),"Io uso la plastica e anche il vetro.")</f>
        <v>Io uso la plastica e anche il vetro.</v>
      </c>
      <c r="G2003" s="6" t="str">
        <f>IFERROR(__xludf.DUMMYFUNCTION("GOOGLETRANSLATE(E2003,""fr"",""it"")"),"Io uso la plastica e anche il vetro.")</f>
        <v>Io uso la plastica e anche il vetro.</v>
      </c>
    </row>
    <row r="2004">
      <c r="A2004" s="4">
        <v>2002.0</v>
      </c>
      <c r="B2004" s="5" t="s">
        <v>6013</v>
      </c>
      <c r="C2004" s="4">
        <v>1.0</v>
      </c>
      <c r="D2004" s="5" t="s">
        <v>6014</v>
      </c>
      <c r="E2004" s="5" t="s">
        <v>6015</v>
      </c>
      <c r="F2004" s="6" t="str">
        <f>IFERROR(__xludf.DUMMYFUNCTION("GOOGLETRANSLATE(D2004,""en"",""it"")"),"Io uso anche poliestere e pelle.")</f>
        <v>Io uso anche poliestere e pelle.</v>
      </c>
      <c r="G2004" s="6" t="str">
        <f>IFERROR(__xludf.DUMMYFUNCTION("GOOGLETRANSLATE(E2004,""fr"",""it"")"),"Io uso il poliestere e anche la pelle.")</f>
        <v>Io uso il poliestere e anche la pelle.</v>
      </c>
    </row>
    <row r="2005">
      <c r="A2005" s="4">
        <v>2003.0</v>
      </c>
      <c r="B2005" s="5" t="s">
        <v>6016</v>
      </c>
      <c r="C2005" s="4">
        <v>1.0</v>
      </c>
      <c r="D2005" s="5" t="s">
        <v>6017</v>
      </c>
      <c r="E2005" s="5" t="s">
        <v>6018</v>
      </c>
      <c r="F2005" s="6" t="str">
        <f>IFERROR(__xludf.DUMMYFUNCTION("GOOGLETRANSLATE(D2005,""en"",""it"")"),"Io uso la pelle e anche in poliestere.")</f>
        <v>Io uso la pelle e anche in poliestere.</v>
      </c>
      <c r="G2005" s="6" t="str">
        <f>IFERROR(__xludf.DUMMYFUNCTION("GOOGLETRANSLATE(E2005,""fr"",""it"")"),"Io uso la pelle e anche il poliestere.")</f>
        <v>Io uso la pelle e anche il poliestere.</v>
      </c>
    </row>
    <row r="2006">
      <c r="A2006" s="4">
        <v>2004.0</v>
      </c>
      <c r="B2006" s="5" t="s">
        <v>6019</v>
      </c>
      <c r="C2006" s="4">
        <v>1.0</v>
      </c>
      <c r="D2006" s="5" t="s">
        <v>6020</v>
      </c>
      <c r="E2006" s="5" t="s">
        <v>6021</v>
      </c>
      <c r="F2006" s="6" t="str">
        <f>IFERROR(__xludf.DUMMYFUNCTION("GOOGLETRANSLATE(D2006,""en"",""it"")"),"Io uso la plastica e anche in pelle.")</f>
        <v>Io uso la plastica e anche in pelle.</v>
      </c>
      <c r="G2006" s="6" t="str">
        <f>IFERROR(__xludf.DUMMYFUNCTION("GOOGLETRANSLATE(E2006,""fr"",""it"")"),"Io uso la plastica e anche la pelle.")</f>
        <v>Io uso la plastica e anche la pelle.</v>
      </c>
    </row>
    <row r="2007">
      <c r="A2007" s="4">
        <v>2005.0</v>
      </c>
      <c r="B2007" s="5" t="s">
        <v>6022</v>
      </c>
      <c r="C2007" s="4">
        <v>1.0</v>
      </c>
      <c r="D2007" s="5" t="s">
        <v>6023</v>
      </c>
      <c r="E2007" s="5" t="s">
        <v>6024</v>
      </c>
      <c r="F2007" s="6" t="str">
        <f>IFERROR(__xludf.DUMMYFUNCTION("GOOGLETRANSLATE(D2007,""en"",""it"")"),"Io uso il nylon e anche il legno.")</f>
        <v>Io uso il nylon e anche il legno.</v>
      </c>
      <c r="G2007" s="6" t="str">
        <f>IFERROR(__xludf.DUMMYFUNCTION("GOOGLETRANSLATE(E2007,""fr"",""it"")"),"Io uso il nylon e anche il legno.")</f>
        <v>Io uso il nylon e anche il legno.</v>
      </c>
    </row>
    <row r="2008">
      <c r="A2008" s="4">
        <v>2006.0</v>
      </c>
      <c r="B2008" s="5" t="s">
        <v>6025</v>
      </c>
      <c r="C2008" s="4">
        <v>1.0</v>
      </c>
      <c r="D2008" s="5" t="s">
        <v>6026</v>
      </c>
      <c r="E2008" s="5" t="s">
        <v>6027</v>
      </c>
      <c r="F2008" s="6" t="str">
        <f>IFERROR(__xludf.DUMMYFUNCTION("GOOGLETRANSLATE(D2008,""en"",""it"")"),"Io uso il legno e anche in nylon.")</f>
        <v>Io uso il legno e anche in nylon.</v>
      </c>
      <c r="G2008" s="6" t="str">
        <f>IFERROR(__xludf.DUMMYFUNCTION("GOOGLETRANSLATE(E2008,""fr"",""it"")"),"Io uso il legno e anche in nylon.")</f>
        <v>Io uso il legno e anche in nylon.</v>
      </c>
    </row>
    <row r="2009">
      <c r="A2009" s="4">
        <v>2007.0</v>
      </c>
      <c r="B2009" s="5" t="s">
        <v>6028</v>
      </c>
      <c r="C2009" s="4">
        <v>0.0</v>
      </c>
      <c r="D2009" s="5" t="s">
        <v>6029</v>
      </c>
      <c r="E2009" s="5" t="s">
        <v>6030</v>
      </c>
      <c r="F2009" s="6" t="str">
        <f>IFERROR(__xludf.DUMMYFUNCTION("GOOGLETRANSLATE(D2009,""en"",""it"")"),"Io uso il nylon e anche la plastica.")</f>
        <v>Io uso il nylon e anche la plastica.</v>
      </c>
      <c r="G2009" s="6" t="str">
        <f>IFERROR(__xludf.DUMMYFUNCTION("GOOGLETRANSLATE(E2009,""fr"",""it"")"),"Io uso nylon e anche la plastica.")</f>
        <v>Io uso nylon e anche la plastica.</v>
      </c>
    </row>
    <row r="2010">
      <c r="A2010" s="4">
        <v>2008.0</v>
      </c>
      <c r="B2010" s="5" t="s">
        <v>6031</v>
      </c>
      <c r="C2010" s="4">
        <v>0.0</v>
      </c>
      <c r="D2010" s="5" t="s">
        <v>6032</v>
      </c>
      <c r="E2010" s="5" t="s">
        <v>6033</v>
      </c>
      <c r="F2010" s="6" t="str">
        <f>IFERROR(__xludf.DUMMYFUNCTION("GOOGLETRANSLATE(D2010,""en"",""it"")"),"Io uso la plastica e anche in nylon.")</f>
        <v>Io uso la plastica e anche in nylon.</v>
      </c>
      <c r="G2010" s="6" t="str">
        <f>IFERROR(__xludf.DUMMYFUNCTION("GOOGLETRANSLATE(E2010,""fr"",""it"")"),"Io uso la plastica e anche il nylon.")</f>
        <v>Io uso la plastica e anche il nylon.</v>
      </c>
    </row>
    <row r="2011">
      <c r="A2011" s="4">
        <v>2009.0</v>
      </c>
      <c r="B2011" s="5" t="s">
        <v>6034</v>
      </c>
      <c r="C2011" s="4">
        <v>1.0</v>
      </c>
      <c r="D2011" s="5" t="s">
        <v>6035</v>
      </c>
      <c r="E2011" s="5" t="s">
        <v>6036</v>
      </c>
      <c r="F2011" s="6" t="str">
        <f>IFERROR(__xludf.DUMMYFUNCTION("GOOGLETRANSLATE(D2011,""en"",""it"")"),"Io uso il nylon e anche il cotone.")</f>
        <v>Io uso il nylon e anche il cotone.</v>
      </c>
      <c r="G2011" s="6" t="str">
        <f>IFERROR(__xludf.DUMMYFUNCTION("GOOGLETRANSLATE(E2011,""fr"",""it"")"),"Io uso il nylon e anche il cotone.")</f>
        <v>Io uso il nylon e anche il cotone.</v>
      </c>
    </row>
    <row r="2012">
      <c r="A2012" s="4">
        <v>2010.0</v>
      </c>
      <c r="B2012" s="5" t="s">
        <v>6037</v>
      </c>
      <c r="C2012" s="4">
        <v>1.0</v>
      </c>
      <c r="D2012" s="5" t="s">
        <v>6038</v>
      </c>
      <c r="E2012" s="5" t="s">
        <v>6039</v>
      </c>
      <c r="F2012" s="6" t="str">
        <f>IFERROR(__xludf.DUMMYFUNCTION("GOOGLETRANSLATE(D2012,""en"",""it"")"),"Uso anche il cotone e il nylon.")</f>
        <v>Uso anche il cotone e il nylon.</v>
      </c>
      <c r="G2012" s="6" t="str">
        <f>IFERROR(__xludf.DUMMYFUNCTION("GOOGLETRANSLATE(E2012,""fr"",""it"")"),"Io uso cotone e anche in nylon.")</f>
        <v>Io uso cotone e anche in nylon.</v>
      </c>
    </row>
    <row r="2013">
      <c r="A2013" s="4">
        <v>2011.0</v>
      </c>
      <c r="B2013" s="5" t="s">
        <v>6040</v>
      </c>
      <c r="C2013" s="4">
        <v>1.0</v>
      </c>
      <c r="D2013" s="5" t="s">
        <v>6041</v>
      </c>
      <c r="E2013" s="5" t="s">
        <v>6042</v>
      </c>
      <c r="F2013" s="6" t="str">
        <f>IFERROR(__xludf.DUMMYFUNCTION("GOOGLETRANSLATE(D2013,""en"",""it"")"),"Io uso il nylon e anche il vetro.")</f>
        <v>Io uso il nylon e anche il vetro.</v>
      </c>
      <c r="G2013" s="6" t="str">
        <f>IFERROR(__xludf.DUMMYFUNCTION("GOOGLETRANSLATE(E2013,""fr"",""it"")"),"Io uso il nylon e anche il vetro.")</f>
        <v>Io uso il nylon e anche il vetro.</v>
      </c>
    </row>
    <row r="2014">
      <c r="A2014" s="4">
        <v>2012.0</v>
      </c>
      <c r="B2014" s="5" t="s">
        <v>6043</v>
      </c>
      <c r="C2014" s="4">
        <v>1.0</v>
      </c>
      <c r="D2014" s="5" t="s">
        <v>6044</v>
      </c>
      <c r="E2014" s="5" t="s">
        <v>6045</v>
      </c>
      <c r="F2014" s="6" t="str">
        <f>IFERROR(__xludf.DUMMYFUNCTION("GOOGLETRANSLATE(D2014,""en"",""it"")"),"Io uso anche il vetro e il nylon.")</f>
        <v>Io uso anche il vetro e il nylon.</v>
      </c>
      <c r="G2014" s="6" t="str">
        <f>IFERROR(__xludf.DUMMYFUNCTION("GOOGLETRANSLATE(E2014,""fr"",""it"")"),"Io uso vetro e anche in nylon.")</f>
        <v>Io uso vetro e anche in nylon.</v>
      </c>
    </row>
    <row r="2015">
      <c r="A2015" s="4">
        <v>2013.0</v>
      </c>
      <c r="B2015" s="5" t="s">
        <v>6046</v>
      </c>
      <c r="C2015" s="4">
        <v>1.0</v>
      </c>
      <c r="D2015" s="5" t="s">
        <v>6047</v>
      </c>
      <c r="E2015" s="5" t="s">
        <v>6048</v>
      </c>
      <c r="F2015" s="6" t="str">
        <f>IFERROR(__xludf.DUMMYFUNCTION("GOOGLETRANSLATE(D2015,""en"",""it"")"),"Io uso il nylon e anche in pelle.")</f>
        <v>Io uso il nylon e anche in pelle.</v>
      </c>
      <c r="G2015" s="6" t="str">
        <f>IFERROR(__xludf.DUMMYFUNCTION("GOOGLETRANSLATE(E2015,""fr"",""it"")"),"Io uso il nylon, e anche la pelle.")</f>
        <v>Io uso il nylon, e anche la pelle.</v>
      </c>
    </row>
    <row r="2016">
      <c r="A2016" s="4">
        <v>2014.0</v>
      </c>
      <c r="B2016" s="5" t="s">
        <v>6049</v>
      </c>
      <c r="C2016" s="4">
        <v>1.0</v>
      </c>
      <c r="D2016" s="5" t="s">
        <v>6050</v>
      </c>
      <c r="E2016" s="5" t="s">
        <v>6051</v>
      </c>
      <c r="F2016" s="6" t="str">
        <f>IFERROR(__xludf.DUMMYFUNCTION("GOOGLETRANSLATE(D2016,""en"",""it"")"),"Io uso la pelle e anche in nylon.")</f>
        <v>Io uso la pelle e anche in nylon.</v>
      </c>
      <c r="G2016" s="6" t="str">
        <f>IFERROR(__xludf.DUMMYFUNCTION("GOOGLETRANSLATE(E2016,""fr"",""it"")"),"Io uso pelle e anche in nylon.")</f>
        <v>Io uso pelle e anche in nylon.</v>
      </c>
    </row>
    <row r="2017">
      <c r="A2017" s="4">
        <v>2015.0</v>
      </c>
      <c r="B2017" s="5" t="s">
        <v>6052</v>
      </c>
      <c r="C2017" s="4">
        <v>1.0</v>
      </c>
      <c r="D2017" s="5" t="s">
        <v>6053</v>
      </c>
      <c r="E2017" s="5" t="s">
        <v>6054</v>
      </c>
      <c r="F2017" s="6" t="str">
        <f>IFERROR(__xludf.DUMMYFUNCTION("GOOGLETRANSLATE(D2017,""en"",""it"")"),"Io uso anche il vinile e il legno.")</f>
        <v>Io uso anche il vinile e il legno.</v>
      </c>
      <c r="G2017" s="6" t="str">
        <f>IFERROR(__xludf.DUMMYFUNCTION("GOOGLETRANSLATE(E2017,""fr"",""it"")"),"Io uso il vinile e anche il legno.")</f>
        <v>Io uso il vinile e anche il legno.</v>
      </c>
    </row>
    <row r="2018">
      <c r="A2018" s="4">
        <v>2016.0</v>
      </c>
      <c r="B2018" s="5" t="s">
        <v>6055</v>
      </c>
      <c r="C2018" s="4">
        <v>1.0</v>
      </c>
      <c r="D2018" s="5" t="s">
        <v>6056</v>
      </c>
      <c r="E2018" s="5" t="s">
        <v>6057</v>
      </c>
      <c r="F2018" s="6" t="str">
        <f>IFERROR(__xludf.DUMMYFUNCTION("GOOGLETRANSLATE(D2018,""en"",""it"")"),"Io uso il legno e anche il vinile.")</f>
        <v>Io uso il legno e anche il vinile.</v>
      </c>
      <c r="G2018" s="6" t="str">
        <f>IFERROR(__xludf.DUMMYFUNCTION("GOOGLETRANSLATE(E2018,""fr"",""it"")"),"Io uso legno e anche vinile.")</f>
        <v>Io uso legno e anche vinile.</v>
      </c>
    </row>
    <row r="2019">
      <c r="A2019" s="4">
        <v>2017.0</v>
      </c>
      <c r="B2019" s="5" t="s">
        <v>6058</v>
      </c>
      <c r="C2019" s="4">
        <v>0.0</v>
      </c>
      <c r="D2019" s="5" t="s">
        <v>6059</v>
      </c>
      <c r="E2019" s="5" t="s">
        <v>6060</v>
      </c>
      <c r="F2019" s="6" t="str">
        <f>IFERROR(__xludf.DUMMYFUNCTION("GOOGLETRANSLATE(D2019,""en"",""it"")"),"Uso anche il vinile e la plastica.")</f>
        <v>Uso anche il vinile e la plastica.</v>
      </c>
      <c r="G2019" s="6" t="str">
        <f>IFERROR(__xludf.DUMMYFUNCTION("GOOGLETRANSLATE(E2019,""fr"",""it"")"),"Io uso il vinile e anche la plastica.")</f>
        <v>Io uso il vinile e anche la plastica.</v>
      </c>
    </row>
    <row r="2020">
      <c r="A2020" s="4">
        <v>2018.0</v>
      </c>
      <c r="B2020" s="5" t="s">
        <v>6061</v>
      </c>
      <c r="C2020" s="4">
        <v>0.0</v>
      </c>
      <c r="D2020" s="5" t="s">
        <v>6062</v>
      </c>
      <c r="E2020" s="5" t="s">
        <v>6063</v>
      </c>
      <c r="F2020" s="6" t="str">
        <f>IFERROR(__xludf.DUMMYFUNCTION("GOOGLETRANSLATE(D2020,""en"",""it"")"),"Io uso la plastica e anche il vinile.")</f>
        <v>Io uso la plastica e anche il vinile.</v>
      </c>
      <c r="G2020" s="6" t="str">
        <f>IFERROR(__xludf.DUMMYFUNCTION("GOOGLETRANSLATE(E2020,""fr"",""it"")"),"Io uso la plastica e anche il vinile.")</f>
        <v>Io uso la plastica e anche il vinile.</v>
      </c>
    </row>
    <row r="2021">
      <c r="A2021" s="4">
        <v>2019.0</v>
      </c>
      <c r="B2021" s="5" t="s">
        <v>6064</v>
      </c>
      <c r="C2021" s="4">
        <v>1.0</v>
      </c>
      <c r="D2021" s="5" t="s">
        <v>6065</v>
      </c>
      <c r="E2021" s="5" t="s">
        <v>6066</v>
      </c>
      <c r="F2021" s="6" t="str">
        <f>IFERROR(__xludf.DUMMYFUNCTION("GOOGLETRANSLATE(D2021,""en"",""it"")"),"Io uso anche il vinile e il cotone.")</f>
        <v>Io uso anche il vinile e il cotone.</v>
      </c>
      <c r="G2021" s="6" t="str">
        <f>IFERROR(__xludf.DUMMYFUNCTION("GOOGLETRANSLATE(E2021,""fr"",""it"")"),"Io uso il vinile e anche il cotone.")</f>
        <v>Io uso il vinile e anche il cotone.</v>
      </c>
    </row>
    <row r="2022">
      <c r="A2022" s="4">
        <v>2020.0</v>
      </c>
      <c r="B2022" s="5" t="s">
        <v>6067</v>
      </c>
      <c r="C2022" s="4">
        <v>1.0</v>
      </c>
      <c r="D2022" s="5" t="s">
        <v>6068</v>
      </c>
      <c r="E2022" s="5" t="s">
        <v>6069</v>
      </c>
      <c r="F2022" s="6" t="str">
        <f>IFERROR(__xludf.DUMMYFUNCTION("GOOGLETRANSLATE(D2022,""en"",""it"")"),"Uso anche cotone e vinile.")</f>
        <v>Uso anche cotone e vinile.</v>
      </c>
      <c r="G2022" s="6" t="str">
        <f>IFERROR(__xludf.DUMMYFUNCTION("GOOGLETRANSLATE(E2022,""fr"",""it"")"),"Io uso cotone e anche vinile.")</f>
        <v>Io uso cotone e anche vinile.</v>
      </c>
    </row>
    <row r="2023">
      <c r="A2023" s="4">
        <v>2021.0</v>
      </c>
      <c r="B2023" s="5" t="s">
        <v>6070</v>
      </c>
      <c r="C2023" s="4">
        <v>1.0</v>
      </c>
      <c r="D2023" s="5" t="s">
        <v>6071</v>
      </c>
      <c r="E2023" s="5" t="s">
        <v>6072</v>
      </c>
      <c r="F2023" s="6" t="str">
        <f>IFERROR(__xludf.DUMMYFUNCTION("GOOGLETRANSLATE(D2023,""en"",""it"")"),"Io uso il vinile e anche il vetro.")</f>
        <v>Io uso il vinile e anche il vetro.</v>
      </c>
      <c r="G2023" s="6" t="str">
        <f>IFERROR(__xludf.DUMMYFUNCTION("GOOGLETRANSLATE(E2023,""fr"",""it"")"),"Io uso il vinile e anche il vetro.")</f>
        <v>Io uso il vinile e anche il vetro.</v>
      </c>
    </row>
    <row r="2024">
      <c r="A2024" s="4">
        <v>2022.0</v>
      </c>
      <c r="B2024" s="5" t="s">
        <v>6073</v>
      </c>
      <c r="C2024" s="4">
        <v>1.0</v>
      </c>
      <c r="D2024" s="5" t="s">
        <v>6074</v>
      </c>
      <c r="E2024" s="5" t="s">
        <v>6075</v>
      </c>
      <c r="F2024" s="6" t="str">
        <f>IFERROR(__xludf.DUMMYFUNCTION("GOOGLETRANSLATE(D2024,""en"",""it"")"),"Io uso anche il vetro e il vinile.")</f>
        <v>Io uso anche il vetro e il vinile.</v>
      </c>
      <c r="G2024" s="6" t="str">
        <f>IFERROR(__xludf.DUMMYFUNCTION("GOOGLETRANSLATE(E2024,""fr"",""it"")"),"Io uso vetro e anche vinile.")</f>
        <v>Io uso vetro e anche vinile.</v>
      </c>
    </row>
    <row r="2025">
      <c r="A2025" s="4">
        <v>2023.0</v>
      </c>
      <c r="B2025" s="5" t="s">
        <v>6076</v>
      </c>
      <c r="C2025" s="4">
        <v>1.0</v>
      </c>
      <c r="D2025" s="5" t="s">
        <v>6077</v>
      </c>
      <c r="E2025" s="5" t="s">
        <v>6078</v>
      </c>
      <c r="F2025" s="6" t="str">
        <f>IFERROR(__xludf.DUMMYFUNCTION("GOOGLETRANSLATE(D2025,""en"",""it"")"),"Io uso anche il vinile e la pelle.")</f>
        <v>Io uso anche il vinile e la pelle.</v>
      </c>
      <c r="G2025" s="6" t="str">
        <f>IFERROR(__xludf.DUMMYFUNCTION("GOOGLETRANSLATE(E2025,""fr"",""it"")"),"Io uso il vinile e anche la pelle.")</f>
        <v>Io uso il vinile e anche la pelle.</v>
      </c>
    </row>
    <row r="2026">
      <c r="A2026" s="4">
        <v>2024.0</v>
      </c>
      <c r="B2026" s="5" t="s">
        <v>6079</v>
      </c>
      <c r="C2026" s="4">
        <v>1.0</v>
      </c>
      <c r="D2026" s="5" t="s">
        <v>6080</v>
      </c>
      <c r="E2026" s="5" t="s">
        <v>6081</v>
      </c>
      <c r="F2026" s="6" t="str">
        <f>IFERROR(__xludf.DUMMYFUNCTION("GOOGLETRANSLATE(D2026,""en"",""it"")"),"Io uso anche in pelle e vinile.")</f>
        <v>Io uso anche in pelle e vinile.</v>
      </c>
      <c r="G2026" s="6" t="str">
        <f>IFERROR(__xludf.DUMMYFUNCTION("GOOGLETRANSLATE(E2026,""fr"",""it"")"),"Io uso pelle e anche vinile.")</f>
        <v>Io uso pelle e anche vinile.</v>
      </c>
    </row>
    <row r="2027">
      <c r="A2027" s="4">
        <v>2025.0</v>
      </c>
      <c r="B2027" s="5" t="s">
        <v>6082</v>
      </c>
      <c r="C2027" s="4">
        <v>1.0</v>
      </c>
      <c r="D2027" s="5" t="s">
        <v>6083</v>
      </c>
      <c r="E2027" s="5" t="s">
        <v>6084</v>
      </c>
      <c r="F2027" s="6" t="str">
        <f>IFERROR(__xludf.DUMMYFUNCTION("GOOGLETRANSLATE(D2027,""en"",""it"")"),"Io uso anche il PVC e il legno.")</f>
        <v>Io uso anche il PVC e il legno.</v>
      </c>
      <c r="G2027" s="6" t="str">
        <f>IFERROR(__xludf.DUMMYFUNCTION("GOOGLETRANSLATE(E2027,""fr"",""it"")"),"Io uso il PVC e anche il legno.")</f>
        <v>Io uso il PVC e anche il legno.</v>
      </c>
    </row>
    <row r="2028">
      <c r="A2028" s="4">
        <v>2026.0</v>
      </c>
      <c r="B2028" s="5" t="s">
        <v>6085</v>
      </c>
      <c r="C2028" s="4">
        <v>1.0</v>
      </c>
      <c r="D2028" s="5" t="s">
        <v>6086</v>
      </c>
      <c r="E2028" s="5" t="s">
        <v>6087</v>
      </c>
      <c r="F2028" s="6" t="str">
        <f>IFERROR(__xludf.DUMMYFUNCTION("GOOGLETRANSLATE(D2028,""en"",""it"")"),"Io uso anche il legno e il PVC.")</f>
        <v>Io uso anche il legno e il PVC.</v>
      </c>
      <c r="G2028" s="6" t="str">
        <f>IFERROR(__xludf.DUMMYFUNCTION("GOOGLETRANSLATE(E2028,""fr"",""it"")"),"Io uso il legno e anche il PVC.")</f>
        <v>Io uso il legno e anche il PVC.</v>
      </c>
    </row>
    <row r="2029">
      <c r="A2029" s="4">
        <v>2027.0</v>
      </c>
      <c r="B2029" s="5" t="s">
        <v>6088</v>
      </c>
      <c r="C2029" s="4">
        <v>0.0</v>
      </c>
      <c r="D2029" s="5" t="s">
        <v>6089</v>
      </c>
      <c r="E2029" s="5" t="s">
        <v>6090</v>
      </c>
      <c r="F2029" s="6" t="str">
        <f>IFERROR(__xludf.DUMMYFUNCTION("GOOGLETRANSLATE(D2029,""en"",""it"")"),"Io uso il PVC e la plastica anche.")</f>
        <v>Io uso il PVC e la plastica anche.</v>
      </c>
      <c r="G2029" s="6" t="str">
        <f>IFERROR(__xludf.DUMMYFUNCTION("GOOGLETRANSLATE(E2029,""fr"",""it"")"),"Io uso il PVC e anche la plastica.")</f>
        <v>Io uso il PVC e anche la plastica.</v>
      </c>
    </row>
    <row r="2030">
      <c r="A2030" s="4">
        <v>2028.0</v>
      </c>
      <c r="B2030" s="5" t="s">
        <v>6091</v>
      </c>
      <c r="C2030" s="4">
        <v>0.0</v>
      </c>
      <c r="D2030" s="5" t="s">
        <v>6092</v>
      </c>
      <c r="E2030" s="5" t="s">
        <v>6093</v>
      </c>
      <c r="F2030" s="6" t="str">
        <f>IFERROR(__xludf.DUMMYFUNCTION("GOOGLETRANSLATE(D2030,""en"",""it"")"),"Uso anche la plastica e il PVC.")</f>
        <v>Uso anche la plastica e il PVC.</v>
      </c>
      <c r="G2030" s="6" t="str">
        <f>IFERROR(__xludf.DUMMYFUNCTION("GOOGLETRANSLATE(E2030,""fr"",""it"")"),"Io uso la plastica e anche il PVC.")</f>
        <v>Io uso la plastica e anche il PVC.</v>
      </c>
    </row>
    <row r="2031">
      <c r="A2031" s="4">
        <v>2029.0</v>
      </c>
      <c r="B2031" s="5" t="s">
        <v>6094</v>
      </c>
      <c r="C2031" s="4">
        <v>1.0</v>
      </c>
      <c r="D2031" s="5" t="s">
        <v>6095</v>
      </c>
      <c r="E2031" s="5" t="s">
        <v>6096</v>
      </c>
      <c r="F2031" s="6" t="str">
        <f>IFERROR(__xludf.DUMMYFUNCTION("GOOGLETRANSLATE(D2031,""en"",""it"")"),"Io uso il PVC e anche il cotone.")</f>
        <v>Io uso il PVC e anche il cotone.</v>
      </c>
      <c r="G2031" s="6" t="str">
        <f>IFERROR(__xludf.DUMMYFUNCTION("GOOGLETRANSLATE(E2031,""fr"",""it"")"),"Io uso il PVC e anche il cotone.")</f>
        <v>Io uso il PVC e anche il cotone.</v>
      </c>
    </row>
    <row r="2032">
      <c r="A2032" s="4">
        <v>2030.0</v>
      </c>
      <c r="B2032" s="5" t="s">
        <v>6097</v>
      </c>
      <c r="C2032" s="4">
        <v>1.0</v>
      </c>
      <c r="D2032" s="5" t="s">
        <v>6098</v>
      </c>
      <c r="E2032" s="5" t="s">
        <v>6099</v>
      </c>
      <c r="F2032" s="6" t="str">
        <f>IFERROR(__xludf.DUMMYFUNCTION("GOOGLETRANSLATE(D2032,""en"",""it"")"),"Io uso anche il cotone e il PVC.")</f>
        <v>Io uso anche il cotone e il PVC.</v>
      </c>
      <c r="G2032" s="6" t="str">
        <f>IFERROR(__xludf.DUMMYFUNCTION("GOOGLETRANSLATE(E2032,""fr"",""it"")"),"Io uso cotone e anche il PVC.")</f>
        <v>Io uso cotone e anche il PVC.</v>
      </c>
    </row>
    <row r="2033">
      <c r="A2033" s="4">
        <v>2031.0</v>
      </c>
      <c r="B2033" s="5" t="s">
        <v>6100</v>
      </c>
      <c r="C2033" s="4">
        <v>1.0</v>
      </c>
      <c r="D2033" s="5" t="s">
        <v>6101</v>
      </c>
      <c r="E2033" s="5" t="s">
        <v>6102</v>
      </c>
      <c r="F2033" s="6" t="str">
        <f>IFERROR(__xludf.DUMMYFUNCTION("GOOGLETRANSLATE(D2033,""en"",""it"")"),"Io uso il PVC e anche il vetro.")</f>
        <v>Io uso il PVC e anche il vetro.</v>
      </c>
      <c r="G2033" s="6" t="str">
        <f>IFERROR(__xludf.DUMMYFUNCTION("GOOGLETRANSLATE(E2033,""fr"",""it"")"),"Io uso il PVC e anche il vetro.")</f>
        <v>Io uso il PVC e anche il vetro.</v>
      </c>
    </row>
    <row r="2034">
      <c r="A2034" s="4">
        <v>2032.0</v>
      </c>
      <c r="B2034" s="5" t="s">
        <v>6103</v>
      </c>
      <c r="C2034" s="4">
        <v>1.0</v>
      </c>
      <c r="D2034" s="5" t="s">
        <v>6104</v>
      </c>
      <c r="E2034" s="5" t="s">
        <v>6105</v>
      </c>
      <c r="F2034" s="6" t="str">
        <f>IFERROR(__xludf.DUMMYFUNCTION("GOOGLETRANSLATE(D2034,""en"",""it"")"),"Io uso anche il vetro e il PVC.")</f>
        <v>Io uso anche il vetro e il PVC.</v>
      </c>
      <c r="G2034" s="6" t="str">
        <f>IFERROR(__xludf.DUMMYFUNCTION("GOOGLETRANSLATE(E2034,""fr"",""it"")"),"Io uso il vetro e anche il PVC.")</f>
        <v>Io uso il vetro e anche il PVC.</v>
      </c>
    </row>
    <row r="2035">
      <c r="A2035" s="4">
        <v>2033.0</v>
      </c>
      <c r="B2035" s="5" t="s">
        <v>6106</v>
      </c>
      <c r="C2035" s="4">
        <v>1.0</v>
      </c>
      <c r="D2035" s="5" t="s">
        <v>6107</v>
      </c>
      <c r="E2035" s="5" t="s">
        <v>6108</v>
      </c>
      <c r="F2035" s="6" t="str">
        <f>IFERROR(__xludf.DUMMYFUNCTION("GOOGLETRANSLATE(D2035,""en"",""it"")"),"Io uso il PVC e anche in pelle.")</f>
        <v>Io uso il PVC e anche in pelle.</v>
      </c>
      <c r="G2035" s="6" t="str">
        <f>IFERROR(__xludf.DUMMYFUNCTION("GOOGLETRANSLATE(E2035,""fr"",""it"")"),"Io uso il PVC e anche la pelle.")</f>
        <v>Io uso il PVC e anche la pelle.</v>
      </c>
    </row>
    <row r="2036">
      <c r="A2036" s="4">
        <v>2034.0</v>
      </c>
      <c r="B2036" s="5" t="s">
        <v>6109</v>
      </c>
      <c r="C2036" s="4">
        <v>1.0</v>
      </c>
      <c r="D2036" s="5" t="s">
        <v>6110</v>
      </c>
      <c r="E2036" s="5" t="s">
        <v>6111</v>
      </c>
      <c r="F2036" s="6" t="str">
        <f>IFERROR(__xludf.DUMMYFUNCTION("GOOGLETRANSLATE(D2036,""en"",""it"")"),"Io uso la pelle e anche in PVC.")</f>
        <v>Io uso la pelle e anche in PVC.</v>
      </c>
      <c r="G2036" s="6" t="str">
        <f>IFERROR(__xludf.DUMMYFUNCTION("GOOGLETRANSLATE(E2036,""fr"",""it"")"),"Io uso la pelle e anche il PVC.")</f>
        <v>Io uso la pelle e anche il PVC.</v>
      </c>
    </row>
    <row r="2037">
      <c r="A2037" s="4">
        <v>2035.0</v>
      </c>
      <c r="B2037" s="5" t="s">
        <v>6112</v>
      </c>
      <c r="C2037" s="4">
        <v>1.0</v>
      </c>
      <c r="D2037" s="5" t="s">
        <v>6113</v>
      </c>
      <c r="E2037" s="5" t="s">
        <v>6114</v>
      </c>
      <c r="F2037" s="6" t="str">
        <f>IFERROR(__xludf.DUMMYFUNCTION("GOOGLETRANSLATE(D2037,""en"",""it"")"),"Mi piacciono anche sedie e posate.")</f>
        <v>Mi piacciono anche sedie e posate.</v>
      </c>
      <c r="G2037" s="6" t="str">
        <f>IFERROR(__xludf.DUMMYFUNCTION("GOOGLETRANSLATE(E2037,""fr"",""it"")"),"Apprezzo le sedie e anche le posate.")</f>
        <v>Apprezzo le sedie e anche le posate.</v>
      </c>
    </row>
    <row r="2038">
      <c r="A2038" s="4">
        <v>2036.0</v>
      </c>
      <c r="B2038" s="5" t="s">
        <v>6115</v>
      </c>
      <c r="C2038" s="4">
        <v>1.0</v>
      </c>
      <c r="D2038" s="5" t="s">
        <v>6116</v>
      </c>
      <c r="E2038" s="5" t="s">
        <v>6117</v>
      </c>
      <c r="F2038" s="6" t="str">
        <f>IFERROR(__xludf.DUMMYFUNCTION("GOOGLETRANSLATE(D2038,""en"",""it"")"),"Mi piacciono anche le posate e le sedie.")</f>
        <v>Mi piacciono anche le posate e le sedie.</v>
      </c>
      <c r="G2038" s="6" t="str">
        <f>IFERROR(__xludf.DUMMYFUNCTION("GOOGLETRANSLATE(E2038,""fr"",""it"")"),"Apprezzo le posate, e anche le sedie.")</f>
        <v>Apprezzo le posate, e anche le sedie.</v>
      </c>
    </row>
    <row r="2039">
      <c r="A2039" s="4">
        <v>2037.0</v>
      </c>
      <c r="B2039" s="5" t="s">
        <v>6118</v>
      </c>
      <c r="C2039" s="4">
        <v>0.0</v>
      </c>
      <c r="D2039" s="5" t="s">
        <v>6119</v>
      </c>
      <c r="E2039" s="5" t="s">
        <v>6120</v>
      </c>
      <c r="F2039" s="6" t="str">
        <f>IFERROR(__xludf.DUMMYFUNCTION("GOOGLETRANSLATE(D2039,""en"",""it"")"),"Mi piacciono anche sedie e mobili.")</f>
        <v>Mi piacciono anche sedie e mobili.</v>
      </c>
      <c r="G2039" s="6" t="str">
        <f>IFERROR(__xludf.DUMMYFUNCTION("GOOGLETRANSLATE(E2039,""fr"",""it"")"),"Apprezzo le sedie e anche i mobili.")</f>
        <v>Apprezzo le sedie e anche i mobili.</v>
      </c>
    </row>
    <row r="2040">
      <c r="A2040" s="4">
        <v>2038.0</v>
      </c>
      <c r="B2040" s="5" t="s">
        <v>6121</v>
      </c>
      <c r="C2040" s="4">
        <v>0.0</v>
      </c>
      <c r="D2040" s="5" t="s">
        <v>6122</v>
      </c>
      <c r="E2040" s="5" t="s">
        <v>6123</v>
      </c>
      <c r="F2040" s="6" t="str">
        <f>IFERROR(__xludf.DUMMYFUNCTION("GOOGLETRANSLATE(D2040,""en"",""it"")"),"Mi piacciono i mobili e le sedie.")</f>
        <v>Mi piacciono i mobili e le sedie.</v>
      </c>
      <c r="G2040" s="6" t="str">
        <f>IFERROR(__xludf.DUMMYFUNCTION("GOOGLETRANSLATE(E2040,""fr"",""it"")"),"Apprezzo i mobili, e anche le sedie.")</f>
        <v>Apprezzo i mobili, e anche le sedie.</v>
      </c>
    </row>
    <row r="2041">
      <c r="A2041" s="4">
        <v>2039.0</v>
      </c>
      <c r="B2041" s="5" t="s">
        <v>6124</v>
      </c>
      <c r="C2041" s="4">
        <v>1.0</v>
      </c>
      <c r="D2041" s="5" t="s">
        <v>6125</v>
      </c>
      <c r="E2041" s="5" t="s">
        <v>6126</v>
      </c>
      <c r="F2041" s="6" t="str">
        <f>IFERROR(__xludf.DUMMYFUNCTION("GOOGLETRANSLATE(D2041,""en"",""it"")"),"Mi piacciono i mobili e le posate.")</f>
        <v>Mi piacciono i mobili e le posate.</v>
      </c>
      <c r="G2041" s="6" t="str">
        <f>IFERROR(__xludf.DUMMYFUNCTION("GOOGLETRANSLATE(E2041,""fr"",""it"")"),"Apprezzo i mobili, e anche le posate.")</f>
        <v>Apprezzo i mobili, e anche le posate.</v>
      </c>
    </row>
    <row r="2042">
      <c r="A2042" s="4">
        <v>2040.0</v>
      </c>
      <c r="B2042" s="5" t="s">
        <v>6127</v>
      </c>
      <c r="C2042" s="4">
        <v>1.0</v>
      </c>
      <c r="D2042" s="5" t="s">
        <v>6128</v>
      </c>
      <c r="E2042" s="5" t="s">
        <v>6129</v>
      </c>
      <c r="F2042" s="6" t="str">
        <f>IFERROR(__xludf.DUMMYFUNCTION("GOOGLETRANSLATE(D2042,""en"",""it"")"),"Mi piacciono anche sedie e dipinti.")</f>
        <v>Mi piacciono anche sedie e dipinti.</v>
      </c>
      <c r="G2042" s="6" t="str">
        <f>IFERROR(__xludf.DUMMYFUNCTION("GOOGLETRANSLATE(E2042,""fr"",""it"")"),"Apprezzo le sedie, e anche i dipinti.")</f>
        <v>Apprezzo le sedie, e anche i dipinti.</v>
      </c>
    </row>
    <row r="2043">
      <c r="A2043" s="4">
        <v>2041.0</v>
      </c>
      <c r="B2043" s="5" t="s">
        <v>6130</v>
      </c>
      <c r="C2043" s="4">
        <v>1.0</v>
      </c>
      <c r="D2043" s="5" t="s">
        <v>6131</v>
      </c>
      <c r="E2043" s="5" t="s">
        <v>6132</v>
      </c>
      <c r="F2043" s="6" t="str">
        <f>IFERROR(__xludf.DUMMYFUNCTION("GOOGLETRANSLATE(D2043,""en"",""it"")"),"Mi piacciono anche i dipinti e le sedie.")</f>
        <v>Mi piacciono anche i dipinti e le sedie.</v>
      </c>
      <c r="G2043" s="6" t="str">
        <f>IFERROR(__xludf.DUMMYFUNCTION("GOOGLETRANSLATE(E2043,""fr"",""it"")"),"Apprezzo i dipinti e anche le sedie.")</f>
        <v>Apprezzo i dipinti e anche le sedie.</v>
      </c>
    </row>
    <row r="2044">
      <c r="A2044" s="4">
        <v>2042.0</v>
      </c>
      <c r="B2044" s="5" t="s">
        <v>6133</v>
      </c>
      <c r="C2044" s="4">
        <v>1.0</v>
      </c>
      <c r="D2044" s="5" t="s">
        <v>6134</v>
      </c>
      <c r="E2044" s="5" t="s">
        <v>6135</v>
      </c>
      <c r="F2044" s="6" t="str">
        <f>IFERROR(__xludf.DUMMYFUNCTION("GOOGLETRANSLATE(D2044,""en"",""it"")"),"Mi piacciono anche i mobili e i dipinti.")</f>
        <v>Mi piacciono anche i mobili e i dipinti.</v>
      </c>
      <c r="G2044" s="6" t="str">
        <f>IFERROR(__xludf.DUMMYFUNCTION("GOOGLETRANSLATE(E2044,""fr"",""it"")"),"Apprezzo i mobili, e anche i dipinti.")</f>
        <v>Apprezzo i mobili, e anche i dipinti.</v>
      </c>
    </row>
    <row r="2045">
      <c r="A2045" s="4">
        <v>2043.0</v>
      </c>
      <c r="B2045" s="5" t="s">
        <v>6136</v>
      </c>
      <c r="C2045" s="4">
        <v>1.0</v>
      </c>
      <c r="D2045" s="5" t="s">
        <v>6137</v>
      </c>
      <c r="E2045" s="5" t="s">
        <v>6138</v>
      </c>
      <c r="F2045" s="6" t="str">
        <f>IFERROR(__xludf.DUMMYFUNCTION("GOOGLETRANSLATE(D2045,""en"",""it"")"),"Mi piacciono anche sedie e carta da parati.")</f>
        <v>Mi piacciono anche sedie e carta da parati.</v>
      </c>
      <c r="G2045" s="6" t="str">
        <f>IFERROR(__xludf.DUMMYFUNCTION("GOOGLETRANSLATE(E2045,""fr"",""it"")"),"Apprezzo le sedie e anche la carta da parati.")</f>
        <v>Apprezzo le sedie e anche la carta da parati.</v>
      </c>
    </row>
    <row r="2046">
      <c r="A2046" s="4">
        <v>2044.0</v>
      </c>
      <c r="B2046" s="5" t="s">
        <v>6139</v>
      </c>
      <c r="C2046" s="4">
        <v>1.0</v>
      </c>
      <c r="D2046" s="5" t="s">
        <v>6140</v>
      </c>
      <c r="E2046" s="5" t="s">
        <v>6141</v>
      </c>
      <c r="F2046" s="6" t="str">
        <f>IFERROR(__xludf.DUMMYFUNCTION("GOOGLETRANSLATE(D2046,""en"",""it"")"),"Mi piace anche la carta da parati e le sedie.")</f>
        <v>Mi piace anche la carta da parati e le sedie.</v>
      </c>
      <c r="G2046" s="6" t="str">
        <f>IFERROR(__xludf.DUMMYFUNCTION("GOOGLETRANSLATE(E2046,""fr"",""it"")"),"Apprezzo la carta da parati, e anche le sedie.")</f>
        <v>Apprezzo la carta da parati, e anche le sedie.</v>
      </c>
    </row>
    <row r="2047">
      <c r="A2047" s="4">
        <v>2045.0</v>
      </c>
      <c r="B2047" s="5" t="s">
        <v>6142</v>
      </c>
      <c r="C2047" s="4">
        <v>1.0</v>
      </c>
      <c r="D2047" s="5" t="s">
        <v>6143</v>
      </c>
      <c r="E2047" s="5" t="s">
        <v>6144</v>
      </c>
      <c r="F2047" s="6" t="str">
        <f>IFERROR(__xludf.DUMMYFUNCTION("GOOGLETRANSLATE(D2047,""en"",""it"")"),"Mi piacciono i mobili e la carta da parati.")</f>
        <v>Mi piacciono i mobili e la carta da parati.</v>
      </c>
      <c r="G2047" s="6" t="str">
        <f>IFERROR(__xludf.DUMMYFUNCTION("GOOGLETRANSLATE(E2047,""fr"",""it"")"),"Apprezzo i mobili e anche la carta da parati.")</f>
        <v>Apprezzo i mobili e anche la carta da parati.</v>
      </c>
    </row>
    <row r="2048">
      <c r="A2048" s="4">
        <v>2046.0</v>
      </c>
      <c r="B2048" s="5" t="s">
        <v>6145</v>
      </c>
      <c r="C2048" s="4">
        <v>1.0</v>
      </c>
      <c r="D2048" s="5" t="s">
        <v>6146</v>
      </c>
      <c r="E2048" s="5" t="s">
        <v>6147</v>
      </c>
      <c r="F2048" s="6" t="str">
        <f>IFERROR(__xludf.DUMMYFUNCTION("GOOGLETRANSLATE(D2048,""en"",""it"")"),"Mi piacciono anche sedie e parquet.")</f>
        <v>Mi piacciono anche sedie e parquet.</v>
      </c>
      <c r="G2048" s="6" t="str">
        <f>IFERROR(__xludf.DUMMYFUNCTION("GOOGLETRANSLATE(E2048,""fr"",""it"")"),"Apprezzo le sedie e anche il pavimento.")</f>
        <v>Apprezzo le sedie e anche il pavimento.</v>
      </c>
    </row>
    <row r="2049">
      <c r="A2049" s="4">
        <v>2047.0</v>
      </c>
      <c r="B2049" s="5" t="s">
        <v>6148</v>
      </c>
      <c r="C2049" s="4">
        <v>1.0</v>
      </c>
      <c r="D2049" s="5" t="s">
        <v>6149</v>
      </c>
      <c r="E2049" s="5" t="s">
        <v>6150</v>
      </c>
      <c r="F2049" s="6" t="str">
        <f>IFERROR(__xludf.DUMMYFUNCTION("GOOGLETRANSLATE(D2049,""en"",""it"")"),"Mi piace anche il parquet e le sedie.")</f>
        <v>Mi piace anche il parquet e le sedie.</v>
      </c>
      <c r="G2049" s="6" t="str">
        <f>IFERROR(__xludf.DUMMYFUNCTION("GOOGLETRANSLATE(E2049,""fr"",""it"")"),"Apprezzo il parquet e anche le sedie.")</f>
        <v>Apprezzo il parquet e anche le sedie.</v>
      </c>
    </row>
    <row r="2050">
      <c r="A2050" s="4">
        <v>2048.0</v>
      </c>
      <c r="B2050" s="5" t="s">
        <v>6151</v>
      </c>
      <c r="C2050" s="4">
        <v>1.0</v>
      </c>
      <c r="D2050" s="5" t="s">
        <v>6152</v>
      </c>
      <c r="E2050" s="5" t="s">
        <v>6153</v>
      </c>
      <c r="F2050" s="6" t="str">
        <f>IFERROR(__xludf.DUMMYFUNCTION("GOOGLETRANSLATE(D2050,""en"",""it"")"),"Mi piacciono anche i mobili e il parquet.")</f>
        <v>Mi piacciono anche i mobili e il parquet.</v>
      </c>
      <c r="G2050" s="6" t="str">
        <f>IFERROR(__xludf.DUMMYFUNCTION("GOOGLETRANSLATE(E2050,""fr"",""it"")"),"Apprezzo i mobili, e anche il pavimento.")</f>
        <v>Apprezzo i mobili, e anche il pavimento.</v>
      </c>
    </row>
    <row r="2051">
      <c r="A2051" s="4">
        <v>2049.0</v>
      </c>
      <c r="B2051" s="5" t="s">
        <v>6154</v>
      </c>
      <c r="C2051" s="4">
        <v>1.0</v>
      </c>
      <c r="D2051" s="5" t="s">
        <v>6155</v>
      </c>
      <c r="E2051" s="5" t="s">
        <v>6156</v>
      </c>
      <c r="F2051" s="6" t="str">
        <f>IFERROR(__xludf.DUMMYFUNCTION("GOOGLETRANSLATE(D2051,""en"",""it"")"),"Mi piacciono anche i tavoli e le posate.")</f>
        <v>Mi piacciono anche i tavoli e le posate.</v>
      </c>
      <c r="G2051" s="6" t="str">
        <f>IFERROR(__xludf.DUMMYFUNCTION("GOOGLETRANSLATE(E2051,""fr"",""it"")"),"Apprezzo i tavoli e anche le posate.")</f>
        <v>Apprezzo i tavoli e anche le posate.</v>
      </c>
    </row>
    <row r="2052">
      <c r="A2052" s="4">
        <v>2050.0</v>
      </c>
      <c r="B2052" s="5" t="s">
        <v>6157</v>
      </c>
      <c r="C2052" s="4">
        <v>1.0</v>
      </c>
      <c r="D2052" s="5" t="s">
        <v>6158</v>
      </c>
      <c r="E2052" s="5" t="s">
        <v>6159</v>
      </c>
      <c r="F2052" s="6" t="str">
        <f>IFERROR(__xludf.DUMMYFUNCTION("GOOGLETRANSLATE(D2052,""en"",""it"")"),"Mi piacciono anche le posate e i tavoli.")</f>
        <v>Mi piacciono anche le posate e i tavoli.</v>
      </c>
      <c r="G2052" s="6" t="str">
        <f>IFERROR(__xludf.DUMMYFUNCTION("GOOGLETRANSLATE(E2052,""fr"",""it"")"),"Apprezzo le posate, e anche i tavoli.")</f>
        <v>Apprezzo le posate, e anche i tavoli.</v>
      </c>
    </row>
    <row r="2053">
      <c r="A2053" s="4">
        <v>2051.0</v>
      </c>
      <c r="B2053" s="5" t="s">
        <v>6160</v>
      </c>
      <c r="C2053" s="4">
        <v>0.0</v>
      </c>
      <c r="D2053" s="5" t="s">
        <v>6161</v>
      </c>
      <c r="E2053" s="5" t="s">
        <v>6162</v>
      </c>
      <c r="F2053" s="6" t="str">
        <f>IFERROR(__xludf.DUMMYFUNCTION("GOOGLETRANSLATE(D2053,""en"",""it"")"),"Mi piacciono i tavoli e i mobili.")</f>
        <v>Mi piacciono i tavoli e i mobili.</v>
      </c>
      <c r="G2053" s="6" t="str">
        <f>IFERROR(__xludf.DUMMYFUNCTION("GOOGLETRANSLATE(E2053,""fr"",""it"")"),"Apprezzo i tavoli e anche i mobili.")</f>
        <v>Apprezzo i tavoli e anche i mobili.</v>
      </c>
    </row>
    <row r="2054">
      <c r="A2054" s="4">
        <v>2052.0</v>
      </c>
      <c r="B2054" s="5" t="s">
        <v>6163</v>
      </c>
      <c r="C2054" s="4">
        <v>0.0</v>
      </c>
      <c r="D2054" s="5" t="s">
        <v>6164</v>
      </c>
      <c r="E2054" s="5" t="s">
        <v>6165</v>
      </c>
      <c r="F2054" s="6" t="str">
        <f>IFERROR(__xludf.DUMMYFUNCTION("GOOGLETRANSLATE(D2054,""en"",""it"")"),"Mi piacciono i mobili e anche i tavoli.")</f>
        <v>Mi piacciono i mobili e anche i tavoli.</v>
      </c>
      <c r="G2054" s="6" t="str">
        <f>IFERROR(__xludf.DUMMYFUNCTION("GOOGLETRANSLATE(E2054,""fr"",""it"")"),"Apprezzo i mobili e anche i tavoli.")</f>
        <v>Apprezzo i mobili e anche i tavoli.</v>
      </c>
    </row>
    <row r="2055">
      <c r="A2055" s="4">
        <v>2053.0</v>
      </c>
      <c r="B2055" s="5" t="s">
        <v>6166</v>
      </c>
      <c r="C2055" s="4">
        <v>1.0</v>
      </c>
      <c r="D2055" s="5" t="s">
        <v>6167</v>
      </c>
      <c r="E2055" s="5" t="s">
        <v>6168</v>
      </c>
      <c r="F2055" s="6" t="str">
        <f>IFERROR(__xludf.DUMMYFUNCTION("GOOGLETRANSLATE(D2055,""en"",""it"")"),"Mi piacciono anche i tavoli e i dipinti.")</f>
        <v>Mi piacciono anche i tavoli e i dipinti.</v>
      </c>
      <c r="G2055" s="6" t="str">
        <f>IFERROR(__xludf.DUMMYFUNCTION("GOOGLETRANSLATE(E2055,""fr"",""it"")"),"Apprezzo i tavoli e anche i dipinti.")</f>
        <v>Apprezzo i tavoli e anche i dipinti.</v>
      </c>
    </row>
    <row r="2056">
      <c r="A2056" s="4">
        <v>2054.0</v>
      </c>
      <c r="B2056" s="5" t="s">
        <v>6169</v>
      </c>
      <c r="C2056" s="4">
        <v>1.0</v>
      </c>
      <c r="D2056" s="5" t="s">
        <v>6170</v>
      </c>
      <c r="E2056" s="5" t="s">
        <v>6171</v>
      </c>
      <c r="F2056" s="6" t="str">
        <f>IFERROR(__xludf.DUMMYFUNCTION("GOOGLETRANSLATE(D2056,""en"",""it"")"),"Mi piacciono anche i dipinti e i tavoli.")</f>
        <v>Mi piacciono anche i dipinti e i tavoli.</v>
      </c>
      <c r="G2056" s="6" t="str">
        <f>IFERROR(__xludf.DUMMYFUNCTION("GOOGLETRANSLATE(E2056,""fr"",""it"")"),"Apprezzo i dipinti e anche i tavoli.")</f>
        <v>Apprezzo i dipinti e anche i tavoli.</v>
      </c>
    </row>
    <row r="2057">
      <c r="A2057" s="4">
        <v>2055.0</v>
      </c>
      <c r="B2057" s="5" t="s">
        <v>6172</v>
      </c>
      <c r="C2057" s="4">
        <v>1.0</v>
      </c>
      <c r="D2057" s="5" t="s">
        <v>6173</v>
      </c>
      <c r="E2057" s="5" t="s">
        <v>6174</v>
      </c>
      <c r="F2057" s="6" t="str">
        <f>IFERROR(__xludf.DUMMYFUNCTION("GOOGLETRANSLATE(D2057,""en"",""it"")"),"Mi piacciono anche i tavoli e la carta da parati.")</f>
        <v>Mi piacciono anche i tavoli e la carta da parati.</v>
      </c>
      <c r="G2057" s="6" t="str">
        <f>IFERROR(__xludf.DUMMYFUNCTION("GOOGLETRANSLATE(E2057,""fr"",""it"")"),"Apprezzo i tavoli e anche la carta da parati.")</f>
        <v>Apprezzo i tavoli e anche la carta da parati.</v>
      </c>
    </row>
    <row r="2058">
      <c r="A2058" s="4">
        <v>2056.0</v>
      </c>
      <c r="B2058" s="5" t="s">
        <v>6175</v>
      </c>
      <c r="C2058" s="4">
        <v>1.0</v>
      </c>
      <c r="D2058" s="5" t="s">
        <v>6176</v>
      </c>
      <c r="E2058" s="5" t="s">
        <v>6177</v>
      </c>
      <c r="F2058" s="6" t="str">
        <f>IFERROR(__xludf.DUMMYFUNCTION("GOOGLETRANSLATE(D2058,""en"",""it"")"),"Mi piace anche lo sfondo e i tavoli.")</f>
        <v>Mi piace anche lo sfondo e i tavoli.</v>
      </c>
      <c r="G2058" s="6" t="str">
        <f>IFERROR(__xludf.DUMMYFUNCTION("GOOGLETRANSLATE(E2058,""fr"",""it"")"),"Apprezzo lo sfondo e anche i tavoli.")</f>
        <v>Apprezzo lo sfondo e anche i tavoli.</v>
      </c>
    </row>
    <row r="2059">
      <c r="A2059" s="4">
        <v>2057.0</v>
      </c>
      <c r="B2059" s="5" t="s">
        <v>6178</v>
      </c>
      <c r="C2059" s="4">
        <v>1.0</v>
      </c>
      <c r="D2059" s="5" t="s">
        <v>6179</v>
      </c>
      <c r="E2059" s="5" t="s">
        <v>6180</v>
      </c>
      <c r="F2059" s="6" t="str">
        <f>IFERROR(__xludf.DUMMYFUNCTION("GOOGLETRANSLATE(D2059,""en"",""it"")"),"Mi piacciono anche i tavoli e il parquet.")</f>
        <v>Mi piacciono anche i tavoli e il parquet.</v>
      </c>
      <c r="G2059" s="6" t="str">
        <f>IFERROR(__xludf.DUMMYFUNCTION("GOOGLETRANSLATE(E2059,""fr"",""it"")"),"Apprezzo i tavoli e anche il pavimento.")</f>
        <v>Apprezzo i tavoli e anche il pavimento.</v>
      </c>
    </row>
    <row r="2060">
      <c r="A2060" s="4">
        <v>2058.0</v>
      </c>
      <c r="B2060" s="5" t="s">
        <v>6181</v>
      </c>
      <c r="C2060" s="4">
        <v>1.0</v>
      </c>
      <c r="D2060" s="5" t="s">
        <v>6182</v>
      </c>
      <c r="E2060" s="5" t="s">
        <v>6183</v>
      </c>
      <c r="F2060" s="6" t="str">
        <f>IFERROR(__xludf.DUMMYFUNCTION("GOOGLETRANSLATE(D2060,""en"",""it"")"),"Mi piace anche il parquet e tavoli.")</f>
        <v>Mi piace anche il parquet e tavoli.</v>
      </c>
      <c r="G2060" s="6" t="str">
        <f>IFERROR(__xludf.DUMMYFUNCTION("GOOGLETRANSLATE(E2060,""fr"",""it"")"),"Apprezzo il pavimento, e anche i tavoli.")</f>
        <v>Apprezzo il pavimento, e anche i tavoli.</v>
      </c>
    </row>
    <row r="2061">
      <c r="A2061" s="4">
        <v>2059.0</v>
      </c>
      <c r="B2061" s="5" t="s">
        <v>6184</v>
      </c>
      <c r="C2061" s="4">
        <v>1.0</v>
      </c>
      <c r="D2061" s="5" t="s">
        <v>6185</v>
      </c>
      <c r="E2061" s="5" t="s">
        <v>6186</v>
      </c>
      <c r="F2061" s="6" t="str">
        <f>IFERROR(__xludf.DUMMYFUNCTION("GOOGLETRANSLATE(D2061,""en"",""it"")"),"Mi piacciono gli armadi e anche le posate.")</f>
        <v>Mi piacciono gli armadi e anche le posate.</v>
      </c>
      <c r="G2061" s="6" t="str">
        <f>IFERROR(__xludf.DUMMYFUNCTION("GOOGLETRANSLATE(E2061,""fr"",""it"")"),"Apprezzo gli armadietti e anche le posate.")</f>
        <v>Apprezzo gli armadietti e anche le posate.</v>
      </c>
    </row>
    <row r="2062">
      <c r="A2062" s="4">
        <v>2060.0</v>
      </c>
      <c r="B2062" s="5" t="s">
        <v>6187</v>
      </c>
      <c r="C2062" s="4">
        <v>1.0</v>
      </c>
      <c r="D2062" s="5" t="s">
        <v>6188</v>
      </c>
      <c r="E2062" s="5" t="s">
        <v>6189</v>
      </c>
      <c r="F2062" s="6" t="str">
        <f>IFERROR(__xludf.DUMMYFUNCTION("GOOGLETRANSLATE(D2062,""en"",""it"")"),"Mi piacciono le posate e anche gli armadi.")</f>
        <v>Mi piacciono le posate e anche gli armadi.</v>
      </c>
      <c r="G2062" s="6" t="str">
        <f>IFERROR(__xludf.DUMMYFUNCTION("GOOGLETRANSLATE(E2062,""fr"",""it"")"),"Apprezzo le posate, e anche gli armadietti.")</f>
        <v>Apprezzo le posate, e anche gli armadietti.</v>
      </c>
    </row>
    <row r="2063">
      <c r="A2063" s="4">
        <v>2061.0</v>
      </c>
      <c r="B2063" s="5" t="s">
        <v>6190</v>
      </c>
      <c r="C2063" s="4">
        <v>0.0</v>
      </c>
      <c r="D2063" s="5" t="s">
        <v>6191</v>
      </c>
      <c r="E2063" s="5" t="s">
        <v>6192</v>
      </c>
      <c r="F2063" s="6" t="str">
        <f>IFERROR(__xludf.DUMMYFUNCTION("GOOGLETRANSLATE(D2063,""en"",""it"")"),"Mi piacciono gli armadi e anche i mobili.")</f>
        <v>Mi piacciono gli armadi e anche i mobili.</v>
      </c>
      <c r="G2063" s="6" t="str">
        <f>IFERROR(__xludf.DUMMYFUNCTION("GOOGLETRANSLATE(E2063,""fr"",""it"")"),"Apprezzo gli armadietti, e anche i mobili.")</f>
        <v>Apprezzo gli armadietti, e anche i mobili.</v>
      </c>
    </row>
    <row r="2064">
      <c r="A2064" s="4">
        <v>2062.0</v>
      </c>
      <c r="B2064" s="5" t="s">
        <v>6193</v>
      </c>
      <c r="C2064" s="4">
        <v>0.0</v>
      </c>
      <c r="D2064" s="5" t="s">
        <v>6194</v>
      </c>
      <c r="E2064" s="5" t="s">
        <v>6195</v>
      </c>
      <c r="F2064" s="6" t="str">
        <f>IFERROR(__xludf.DUMMYFUNCTION("GOOGLETRANSLATE(D2064,""en"",""it"")"),"Mi piacciono i mobili e anche gli armadi.")</f>
        <v>Mi piacciono i mobili e anche gli armadi.</v>
      </c>
      <c r="G2064" s="6" t="str">
        <f>IFERROR(__xludf.DUMMYFUNCTION("GOOGLETRANSLATE(E2064,""fr"",""it"")"),"Apprezzo i mobili, e anche gli armadietti.")</f>
        <v>Apprezzo i mobili, e anche gli armadietti.</v>
      </c>
    </row>
    <row r="2065">
      <c r="A2065" s="4">
        <v>2063.0</v>
      </c>
      <c r="B2065" s="5" t="s">
        <v>6196</v>
      </c>
      <c r="C2065" s="4">
        <v>1.0</v>
      </c>
      <c r="D2065" s="5" t="s">
        <v>6197</v>
      </c>
      <c r="E2065" s="5" t="s">
        <v>6198</v>
      </c>
      <c r="F2065" s="6" t="str">
        <f>IFERROR(__xludf.DUMMYFUNCTION("GOOGLETRANSLATE(D2065,""en"",""it"")"),"Mi piacciono anche gli armadi e i dipinti.")</f>
        <v>Mi piacciono anche gli armadi e i dipinti.</v>
      </c>
      <c r="G2065" s="6" t="str">
        <f>IFERROR(__xludf.DUMMYFUNCTION("GOOGLETRANSLATE(E2065,""fr"",""it"")"),"Apprezzo gli armadietti, e anche i dipinti.")</f>
        <v>Apprezzo gli armadietti, e anche i dipinti.</v>
      </c>
    </row>
    <row r="2066">
      <c r="A2066" s="4">
        <v>2064.0</v>
      </c>
      <c r="B2066" s="5" t="s">
        <v>6199</v>
      </c>
      <c r="C2066" s="4">
        <v>1.0</v>
      </c>
      <c r="D2066" s="5" t="s">
        <v>6200</v>
      </c>
      <c r="E2066" s="5" t="s">
        <v>6201</v>
      </c>
      <c r="F2066" s="6" t="str">
        <f>IFERROR(__xludf.DUMMYFUNCTION("GOOGLETRANSLATE(D2066,""en"",""it"")"),"Mi piacciono anche i dipinti e gli armadi.")</f>
        <v>Mi piacciono anche i dipinti e gli armadi.</v>
      </c>
      <c r="G2066" s="6" t="str">
        <f>IFERROR(__xludf.DUMMYFUNCTION("GOOGLETRANSLATE(E2066,""fr"",""it"")"),"Apprezzo i dipinti e anche gli armadietti.")</f>
        <v>Apprezzo i dipinti e anche gli armadietti.</v>
      </c>
    </row>
    <row r="2067">
      <c r="A2067" s="4">
        <v>2065.0</v>
      </c>
      <c r="B2067" s="5" t="s">
        <v>6202</v>
      </c>
      <c r="C2067" s="4">
        <v>1.0</v>
      </c>
      <c r="D2067" s="5" t="s">
        <v>6203</v>
      </c>
      <c r="E2067" s="5" t="s">
        <v>6204</v>
      </c>
      <c r="F2067" s="6" t="str">
        <f>IFERROR(__xludf.DUMMYFUNCTION("GOOGLETRANSLATE(D2067,""en"",""it"")"),"Mi piacciono gli armadi e anche lo sfondo.")</f>
        <v>Mi piacciono gli armadi e anche lo sfondo.</v>
      </c>
      <c r="G2067" s="6" t="str">
        <f>IFERROR(__xludf.DUMMYFUNCTION("GOOGLETRANSLATE(E2067,""fr"",""it"")"),"Apprezzo gli armadietti e anche la carta da parati.")</f>
        <v>Apprezzo gli armadietti e anche la carta da parati.</v>
      </c>
    </row>
    <row r="2068">
      <c r="A2068" s="4">
        <v>2066.0</v>
      </c>
      <c r="B2068" s="5" t="s">
        <v>6205</v>
      </c>
      <c r="C2068" s="4">
        <v>1.0</v>
      </c>
      <c r="D2068" s="5" t="s">
        <v>6206</v>
      </c>
      <c r="E2068" s="5" t="s">
        <v>6207</v>
      </c>
      <c r="F2068" s="6" t="str">
        <f>IFERROR(__xludf.DUMMYFUNCTION("GOOGLETRANSLATE(D2068,""en"",""it"")"),"Mi piace la carta da parati e anche gli armadi.")</f>
        <v>Mi piace la carta da parati e anche gli armadi.</v>
      </c>
      <c r="G2068" s="6" t="str">
        <f>IFERROR(__xludf.DUMMYFUNCTION("GOOGLETRANSLATE(E2068,""fr"",""it"")"),"Apprezzo la carta da parati, e anche gli armadietti.")</f>
        <v>Apprezzo la carta da parati, e anche gli armadietti.</v>
      </c>
    </row>
    <row r="2069">
      <c r="A2069" s="4">
        <v>2067.0</v>
      </c>
      <c r="B2069" s="5" t="s">
        <v>6208</v>
      </c>
      <c r="C2069" s="4">
        <v>1.0</v>
      </c>
      <c r="D2069" s="5" t="s">
        <v>6209</v>
      </c>
      <c r="E2069" s="5" t="s">
        <v>6210</v>
      </c>
      <c r="F2069" s="6" t="str">
        <f>IFERROR(__xludf.DUMMYFUNCTION("GOOGLETRANSLATE(D2069,""en"",""it"")"),"Mi piacciono anche gli armadi e parquet.")</f>
        <v>Mi piacciono anche gli armadi e parquet.</v>
      </c>
      <c r="G2069" s="6" t="str">
        <f>IFERROR(__xludf.DUMMYFUNCTION("GOOGLETRANSLATE(E2069,""fr"",""it"")"),"Apprezzo gli armadietti e anche il pavimento.")</f>
        <v>Apprezzo gli armadietti e anche il pavimento.</v>
      </c>
    </row>
    <row r="2070">
      <c r="A2070" s="4">
        <v>2068.0</v>
      </c>
      <c r="B2070" s="5" t="s">
        <v>6211</v>
      </c>
      <c r="C2070" s="4">
        <v>1.0</v>
      </c>
      <c r="D2070" s="5" t="s">
        <v>6212</v>
      </c>
      <c r="E2070" s="5" t="s">
        <v>6213</v>
      </c>
      <c r="F2070" s="6" t="str">
        <f>IFERROR(__xludf.DUMMYFUNCTION("GOOGLETRANSLATE(D2070,""en"",""it"")"),"Mi piace il parquet e anche gli armadi.")</f>
        <v>Mi piace il parquet e anche gli armadi.</v>
      </c>
      <c r="G2070" s="6" t="str">
        <f>IFERROR(__xludf.DUMMYFUNCTION("GOOGLETRANSLATE(E2070,""fr"",""it"")"),"Apprezzo il pavimento, e anche gli armadietti.")</f>
        <v>Apprezzo il pavimento, e anche gli armadietti.</v>
      </c>
    </row>
    <row r="2071">
      <c r="A2071" s="4">
        <v>2069.0</v>
      </c>
      <c r="B2071" s="5" t="s">
        <v>6214</v>
      </c>
      <c r="C2071" s="4">
        <v>1.0</v>
      </c>
      <c r="D2071" s="5" t="s">
        <v>6215</v>
      </c>
      <c r="E2071" s="5" t="s">
        <v>6216</v>
      </c>
      <c r="F2071" s="6" t="str">
        <f>IFERROR(__xludf.DUMMYFUNCTION("GOOGLETRANSLATE(D2071,""en"",""it"")"),"Mi piacciono anche i letti e le posate.")</f>
        <v>Mi piacciono anche i letti e le posate.</v>
      </c>
      <c r="G2071" s="6" t="str">
        <f>IFERROR(__xludf.DUMMYFUNCTION("GOOGLETRANSLATE(E2071,""fr"",""it"")"),"Apprezzo i letti, e anche le posate.")</f>
        <v>Apprezzo i letti, e anche le posate.</v>
      </c>
    </row>
    <row r="2072">
      <c r="A2072" s="4">
        <v>2070.0</v>
      </c>
      <c r="B2072" s="5" t="s">
        <v>6217</v>
      </c>
      <c r="C2072" s="4">
        <v>1.0</v>
      </c>
      <c r="D2072" s="5" t="s">
        <v>6218</v>
      </c>
      <c r="E2072" s="5" t="s">
        <v>6219</v>
      </c>
      <c r="F2072" s="6" t="str">
        <f>IFERROR(__xludf.DUMMYFUNCTION("GOOGLETRANSLATE(D2072,""en"",""it"")"),"Mi piacciono anche le posate e i letti.")</f>
        <v>Mi piacciono anche le posate e i letti.</v>
      </c>
      <c r="G2072" s="6" t="str">
        <f>IFERROR(__xludf.DUMMYFUNCTION("GOOGLETRANSLATE(E2072,""fr"",""it"")"),"Apprezzo le posate, e anche i letti.")</f>
        <v>Apprezzo le posate, e anche i letti.</v>
      </c>
    </row>
    <row r="2073">
      <c r="A2073" s="4">
        <v>2071.0</v>
      </c>
      <c r="B2073" s="5" t="s">
        <v>6220</v>
      </c>
      <c r="C2073" s="4">
        <v>0.0</v>
      </c>
      <c r="D2073" s="5" t="s">
        <v>6221</v>
      </c>
      <c r="E2073" s="5" t="s">
        <v>6222</v>
      </c>
      <c r="F2073" s="6" t="str">
        <f>IFERROR(__xludf.DUMMYFUNCTION("GOOGLETRANSLATE(D2073,""en"",""it"")"),"Mi piacciono anche i letti e i mobili.")</f>
        <v>Mi piacciono anche i letti e i mobili.</v>
      </c>
      <c r="G2073" s="6" t="str">
        <f>IFERROR(__xludf.DUMMYFUNCTION("GOOGLETRANSLATE(E2073,""fr"",""it"")"),"Apprezzo i letti, e anche i mobili.")</f>
        <v>Apprezzo i letti, e anche i mobili.</v>
      </c>
    </row>
    <row r="2074">
      <c r="A2074" s="4">
        <v>2072.0</v>
      </c>
      <c r="B2074" s="5" t="s">
        <v>6223</v>
      </c>
      <c r="C2074" s="4">
        <v>0.0</v>
      </c>
      <c r="D2074" s="5" t="s">
        <v>6224</v>
      </c>
      <c r="E2074" s="5" t="s">
        <v>6225</v>
      </c>
      <c r="F2074" s="6" t="str">
        <f>IFERROR(__xludf.DUMMYFUNCTION("GOOGLETRANSLATE(D2074,""en"",""it"")"),"Mi piacciono i mobili e i letti anche.")</f>
        <v>Mi piacciono i mobili e i letti anche.</v>
      </c>
      <c r="G2074" s="6" t="str">
        <f>IFERROR(__xludf.DUMMYFUNCTION("GOOGLETRANSLATE(E2074,""fr"",""it"")"),"Apprezzo i mobili, e anche i letti.")</f>
        <v>Apprezzo i mobili, e anche i letti.</v>
      </c>
    </row>
    <row r="2075">
      <c r="A2075" s="4">
        <v>2073.0</v>
      </c>
      <c r="B2075" s="5" t="s">
        <v>6226</v>
      </c>
      <c r="C2075" s="4">
        <v>1.0</v>
      </c>
      <c r="D2075" s="5" t="s">
        <v>6227</v>
      </c>
      <c r="E2075" s="5" t="s">
        <v>6228</v>
      </c>
      <c r="F2075" s="6" t="str">
        <f>IFERROR(__xludf.DUMMYFUNCTION("GOOGLETRANSLATE(D2075,""en"",""it"")"),"Mi piacciono anche i letti e i dipinti.")</f>
        <v>Mi piacciono anche i letti e i dipinti.</v>
      </c>
      <c r="G2075" s="6" t="str">
        <f>IFERROR(__xludf.DUMMYFUNCTION("GOOGLETRANSLATE(E2075,""fr"",""it"")"),"Apprezzo i letti, e anche i dipinti.")</f>
        <v>Apprezzo i letti, e anche i dipinti.</v>
      </c>
    </row>
    <row r="2076">
      <c r="A2076" s="4">
        <v>2074.0</v>
      </c>
      <c r="B2076" s="5" t="s">
        <v>6229</v>
      </c>
      <c r="C2076" s="4">
        <v>1.0</v>
      </c>
      <c r="D2076" s="5" t="s">
        <v>6230</v>
      </c>
      <c r="E2076" s="5" t="s">
        <v>6231</v>
      </c>
      <c r="F2076" s="6" t="str">
        <f>IFERROR(__xludf.DUMMYFUNCTION("GOOGLETRANSLATE(D2076,""en"",""it"")"),"Mi piacciono anche i dipinti e i letti.")</f>
        <v>Mi piacciono anche i dipinti e i letti.</v>
      </c>
      <c r="G2076" s="6" t="str">
        <f>IFERROR(__xludf.DUMMYFUNCTION("GOOGLETRANSLATE(E2076,""fr"",""it"")"),"Apprezzo i dipinti e anche i letti.")</f>
        <v>Apprezzo i dipinti e anche i letti.</v>
      </c>
    </row>
    <row r="2077">
      <c r="A2077" s="4">
        <v>2075.0</v>
      </c>
      <c r="B2077" s="5" t="s">
        <v>6232</v>
      </c>
      <c r="C2077" s="4">
        <v>1.0</v>
      </c>
      <c r="D2077" s="5" t="s">
        <v>6233</v>
      </c>
      <c r="E2077" s="5" t="s">
        <v>6234</v>
      </c>
      <c r="F2077" s="6" t="str">
        <f>IFERROR(__xludf.DUMMYFUNCTION("GOOGLETRANSLATE(D2077,""en"",""it"")"),"Mi piacciono anche i letti e la carta da parati.")</f>
        <v>Mi piacciono anche i letti e la carta da parati.</v>
      </c>
      <c r="G2077" s="6" t="str">
        <f>IFERROR(__xludf.DUMMYFUNCTION("GOOGLETRANSLATE(E2077,""fr"",""it"")"),"Apprezzo i letti, e anche la carta da parati.")</f>
        <v>Apprezzo i letti, e anche la carta da parati.</v>
      </c>
    </row>
    <row r="2078">
      <c r="A2078" s="4">
        <v>2076.0</v>
      </c>
      <c r="B2078" s="5" t="s">
        <v>6235</v>
      </c>
      <c r="C2078" s="4">
        <v>1.0</v>
      </c>
      <c r="D2078" s="5" t="s">
        <v>6236</v>
      </c>
      <c r="E2078" s="5" t="s">
        <v>6237</v>
      </c>
      <c r="F2078" s="6" t="str">
        <f>IFERROR(__xludf.DUMMYFUNCTION("GOOGLETRANSLATE(D2078,""en"",""it"")"),"Mi piace anche lo sfondo e i letti.")</f>
        <v>Mi piace anche lo sfondo e i letti.</v>
      </c>
      <c r="G2078" s="6" t="str">
        <f>IFERROR(__xludf.DUMMYFUNCTION("GOOGLETRANSLATE(E2078,""fr"",""it"")"),"Apprezzo la carta da parati, e anche i letti.")</f>
        <v>Apprezzo la carta da parati, e anche i letti.</v>
      </c>
    </row>
    <row r="2079">
      <c r="A2079" s="4">
        <v>2077.0</v>
      </c>
      <c r="B2079" s="5" t="s">
        <v>6238</v>
      </c>
      <c r="C2079" s="4">
        <v>1.0</v>
      </c>
      <c r="D2079" s="5" t="s">
        <v>6239</v>
      </c>
      <c r="E2079" s="5" t="s">
        <v>6240</v>
      </c>
      <c r="F2079" s="6" t="str">
        <f>IFERROR(__xludf.DUMMYFUNCTION("GOOGLETRANSLATE(D2079,""en"",""it"")"),"Mi piacciono anche i letti e parquet.")</f>
        <v>Mi piacciono anche i letti e parquet.</v>
      </c>
      <c r="G2079" s="6" t="str">
        <f>IFERROR(__xludf.DUMMYFUNCTION("GOOGLETRANSLATE(E2079,""fr"",""it"")"),"Apprezzo i letti, e anche il pavimento.")</f>
        <v>Apprezzo i letti, e anche il pavimento.</v>
      </c>
    </row>
    <row r="2080">
      <c r="A2080" s="4">
        <v>2078.0</v>
      </c>
      <c r="B2080" s="5" t="s">
        <v>6241</v>
      </c>
      <c r="C2080" s="4">
        <v>1.0</v>
      </c>
      <c r="D2080" s="5" t="s">
        <v>6242</v>
      </c>
      <c r="E2080" s="5" t="s">
        <v>6243</v>
      </c>
      <c r="F2080" s="6" t="str">
        <f>IFERROR(__xludf.DUMMYFUNCTION("GOOGLETRANSLATE(D2080,""en"",""it"")"),"Mi piace il parquet e anche i letti.")</f>
        <v>Mi piace il parquet e anche i letti.</v>
      </c>
      <c r="G2080" s="6" t="str">
        <f>IFERROR(__xludf.DUMMYFUNCTION("GOOGLETRANSLATE(E2080,""fr"",""it"")"),"Apprezzo il parquet e anche i letti.")</f>
        <v>Apprezzo il parquet e anche i letti.</v>
      </c>
    </row>
    <row r="2081">
      <c r="A2081" s="4">
        <v>2079.0</v>
      </c>
      <c r="B2081" s="5" t="s">
        <v>6244</v>
      </c>
      <c r="C2081" s="4">
        <v>1.0</v>
      </c>
      <c r="D2081" s="5" t="s">
        <v>6245</v>
      </c>
      <c r="E2081" s="5" t="s">
        <v>6246</v>
      </c>
      <c r="F2081" s="6" t="str">
        <f>IFERROR(__xludf.DUMMYFUNCTION("GOOGLETRANSLATE(D2081,""en"",""it"")"),"Mi piace anche Merlot e Coca-Cola.")</f>
        <v>Mi piace anche Merlot e Coca-Cola.</v>
      </c>
      <c r="G2081" s="6" t="str">
        <f>IFERROR(__xludf.DUMMYFUNCTION("GOOGLETRANSLATE(E2081,""fr"",""it"")"),"Apprezzo Merlot, e anche Coca Cola.")</f>
        <v>Apprezzo Merlot, e anche Coca Cola.</v>
      </c>
    </row>
    <row r="2082">
      <c r="A2082" s="4">
        <v>2080.0</v>
      </c>
      <c r="B2082" s="5" t="s">
        <v>6247</v>
      </c>
      <c r="C2082" s="4">
        <v>1.0</v>
      </c>
      <c r="D2082" s="5" t="s">
        <v>6248</v>
      </c>
      <c r="E2082" s="5" t="s">
        <v>6249</v>
      </c>
      <c r="F2082" s="6" t="str">
        <f>IFERROR(__xludf.DUMMYFUNCTION("GOOGLETRANSLATE(D2082,""en"",""it"")"),"Mi piace anche Coca-Cola e Merlot.")</f>
        <v>Mi piace anche Coca-Cola e Merlot.</v>
      </c>
      <c r="G2082" s="6" t="str">
        <f>IFERROR(__xludf.DUMMYFUNCTION("GOOGLETRANSLATE(E2082,""fr"",""it"")"),"Apprezzo Coca Cola e anche Merlot.")</f>
        <v>Apprezzo Coca Cola e anche Merlot.</v>
      </c>
    </row>
    <row r="2083">
      <c r="A2083" s="4">
        <v>2081.0</v>
      </c>
      <c r="B2083" s="5" t="s">
        <v>6250</v>
      </c>
      <c r="C2083" s="4">
        <v>0.0</v>
      </c>
      <c r="D2083" s="5" t="s">
        <v>6251</v>
      </c>
      <c r="E2083" s="5" t="s">
        <v>6252</v>
      </c>
      <c r="F2083" s="6" t="str">
        <f>IFERROR(__xludf.DUMMYFUNCTION("GOOGLETRANSLATE(D2083,""en"",""it"")"),"Mi piace anche il merlot e il vino.")</f>
        <v>Mi piace anche il merlot e il vino.</v>
      </c>
      <c r="G2083" s="6" t="str">
        <f>IFERROR(__xludf.DUMMYFUNCTION("GOOGLETRANSLATE(E2083,""fr"",""it"")"),"Apprezzo Merlot e anche il vino.")</f>
        <v>Apprezzo Merlot e anche il vino.</v>
      </c>
    </row>
    <row r="2084">
      <c r="A2084" s="4">
        <v>2082.0</v>
      </c>
      <c r="B2084" s="5" t="s">
        <v>6253</v>
      </c>
      <c r="C2084" s="4">
        <v>0.0</v>
      </c>
      <c r="D2084" s="5" t="s">
        <v>6254</v>
      </c>
      <c r="E2084" s="5" t="s">
        <v>6255</v>
      </c>
      <c r="F2084" s="6" t="str">
        <f>IFERROR(__xludf.DUMMYFUNCTION("GOOGLETRANSLATE(D2084,""en"",""it"")"),"Mi piace anche il vino e il Merlot.")</f>
        <v>Mi piace anche il vino e il Merlot.</v>
      </c>
      <c r="G2084" s="6" t="str">
        <f>IFERROR(__xludf.DUMMYFUNCTION("GOOGLETRANSLATE(E2084,""fr"",""it"")"),"Apprezzo il vino e anche Merlot.")</f>
        <v>Apprezzo il vino e anche Merlot.</v>
      </c>
    </row>
    <row r="2085">
      <c r="A2085" s="4">
        <v>2083.0</v>
      </c>
      <c r="B2085" s="5" t="s">
        <v>6256</v>
      </c>
      <c r="C2085" s="4">
        <v>1.0</v>
      </c>
      <c r="D2085" s="5" t="s">
        <v>6257</v>
      </c>
      <c r="E2085" s="5" t="s">
        <v>6258</v>
      </c>
      <c r="F2085" s="6" t="str">
        <f>IFERROR(__xludf.DUMMYFUNCTION("GOOGLETRANSLATE(D2085,""en"",""it"")"),"Mi piace anche il vino e la coca-cola.")</f>
        <v>Mi piace anche il vino e la coca-cola.</v>
      </c>
      <c r="G2085" s="6" t="str">
        <f>IFERROR(__xludf.DUMMYFUNCTION("GOOGLETRANSLATE(E2085,""fr"",""it"")"),"Apprezzo il vino, e anche la coca cola.")</f>
        <v>Apprezzo il vino, e anche la coca cola.</v>
      </c>
    </row>
    <row r="2086">
      <c r="A2086" s="4">
        <v>2084.0</v>
      </c>
      <c r="B2086" s="5" t="s">
        <v>6259</v>
      </c>
      <c r="C2086" s="4">
        <v>1.0</v>
      </c>
      <c r="D2086" s="5" t="s">
        <v>6260</v>
      </c>
      <c r="E2086" s="5" t="s">
        <v>6261</v>
      </c>
      <c r="F2086" s="6" t="str">
        <f>IFERROR(__xludf.DUMMYFUNCTION("GOOGLETRANSLATE(D2086,""en"",""it"")"),"Mi piace anche il merlot e l'acqua.")</f>
        <v>Mi piace anche il merlot e l'acqua.</v>
      </c>
      <c r="G2086" s="6" t="str">
        <f>IFERROR(__xludf.DUMMYFUNCTION("GOOGLETRANSLATE(E2086,""fr"",""it"")"),"Apprezzo il Merlot e anche l'acqua.")</f>
        <v>Apprezzo il Merlot e anche l'acqua.</v>
      </c>
    </row>
    <row r="2087">
      <c r="A2087" s="4">
        <v>2085.0</v>
      </c>
      <c r="B2087" s="5" t="s">
        <v>6262</v>
      </c>
      <c r="C2087" s="4">
        <v>1.0</v>
      </c>
      <c r="D2087" s="5" t="s">
        <v>6263</v>
      </c>
      <c r="E2087" s="5" t="s">
        <v>6264</v>
      </c>
      <c r="F2087" s="6" t="str">
        <f>IFERROR(__xludf.DUMMYFUNCTION("GOOGLETRANSLATE(D2087,""en"",""it"")"),"Mi piace anche l'acqua e il Merlot.")</f>
        <v>Mi piace anche l'acqua e il Merlot.</v>
      </c>
      <c r="G2087" s="6" t="str">
        <f>IFERROR(__xludf.DUMMYFUNCTION("GOOGLETRANSLATE(E2087,""fr"",""it"")"),"Apprezzo l'acqua e anche Merlot.")</f>
        <v>Apprezzo l'acqua e anche Merlot.</v>
      </c>
    </row>
    <row r="2088">
      <c r="A2088" s="4">
        <v>2086.0</v>
      </c>
      <c r="B2088" s="5" t="s">
        <v>6265</v>
      </c>
      <c r="C2088" s="4">
        <v>1.0</v>
      </c>
      <c r="D2088" s="5" t="s">
        <v>6266</v>
      </c>
      <c r="E2088" s="5" t="s">
        <v>6267</v>
      </c>
      <c r="F2088" s="6" t="str">
        <f>IFERROR(__xludf.DUMMYFUNCTION("GOOGLETRANSLATE(D2088,""en"",""it"")"),"Mi piace anche il vino e l'acqua.")</f>
        <v>Mi piace anche il vino e l'acqua.</v>
      </c>
      <c r="G2088" s="6" t="str">
        <f>IFERROR(__xludf.DUMMYFUNCTION("GOOGLETRANSLATE(E2088,""fr"",""it"")"),"Apprezzo il vino e anche l'acqua.")</f>
        <v>Apprezzo il vino e anche l'acqua.</v>
      </c>
    </row>
    <row r="2089">
      <c r="A2089" s="4">
        <v>2087.0</v>
      </c>
      <c r="B2089" s="5" t="s">
        <v>6268</v>
      </c>
      <c r="C2089" s="4">
        <v>1.0</v>
      </c>
      <c r="D2089" s="5" t="s">
        <v>6269</v>
      </c>
      <c r="E2089" s="5" t="s">
        <v>6270</v>
      </c>
      <c r="F2089" s="6" t="str">
        <f>IFERROR(__xludf.DUMMYFUNCTION("GOOGLETRANSLATE(D2089,""en"",""it"")"),"Mi piace anche il merlot e sprite anche io.")</f>
        <v>Mi piace anche il merlot e sprite anche io.</v>
      </c>
      <c r="G2089" s="6" t="str">
        <f>IFERROR(__xludf.DUMMYFUNCTION("GOOGLETRANSLATE(E2089,""fr"",""it"")"),"Apprezzo Merlot e anche Sprite.")</f>
        <v>Apprezzo Merlot e anche Sprite.</v>
      </c>
    </row>
    <row r="2090">
      <c r="A2090" s="4">
        <v>2088.0</v>
      </c>
      <c r="B2090" s="5" t="s">
        <v>6271</v>
      </c>
      <c r="C2090" s="4">
        <v>1.0</v>
      </c>
      <c r="D2090" s="5" t="s">
        <v>6272</v>
      </c>
      <c r="E2090" s="5" t="s">
        <v>6273</v>
      </c>
      <c r="F2090" s="6" t="str">
        <f>IFERROR(__xludf.DUMMYFUNCTION("GOOGLETRANSLATE(D2090,""en"",""it"")"),"Mi piace anche Sprite e Merlot.")</f>
        <v>Mi piace anche Sprite e Merlot.</v>
      </c>
      <c r="G2090" s="6" t="str">
        <f>IFERROR(__xludf.DUMMYFUNCTION("GOOGLETRANSLATE(E2090,""fr"",""it"")"),"Apprezzo lo sprite, e anche Merlot.")</f>
        <v>Apprezzo lo sprite, e anche Merlot.</v>
      </c>
    </row>
    <row r="2091">
      <c r="A2091" s="4">
        <v>2089.0</v>
      </c>
      <c r="B2091" s="5" t="s">
        <v>6274</v>
      </c>
      <c r="C2091" s="4">
        <v>1.0</v>
      </c>
      <c r="D2091" s="5" t="s">
        <v>6275</v>
      </c>
      <c r="E2091" s="5" t="s">
        <v>6276</v>
      </c>
      <c r="F2091" s="6" t="str">
        <f>IFERROR(__xludf.DUMMYFUNCTION("GOOGLETRANSLATE(D2091,""en"",""it"")"),"Mi piace anche il vino e sprite.")</f>
        <v>Mi piace anche il vino e sprite.</v>
      </c>
      <c r="G2091" s="6" t="str">
        <f>IFERROR(__xludf.DUMMYFUNCTION("GOOGLETRANSLATE(E2091,""fr"",""it"")"),"Apprezzo il vino e anche sprite.")</f>
        <v>Apprezzo il vino e anche sprite.</v>
      </c>
    </row>
    <row r="2092">
      <c r="A2092" s="4">
        <v>2090.0</v>
      </c>
      <c r="B2092" s="5" t="s">
        <v>6277</v>
      </c>
      <c r="C2092" s="4">
        <v>1.0</v>
      </c>
      <c r="D2092" s="5" t="s">
        <v>6278</v>
      </c>
      <c r="E2092" s="5" t="s">
        <v>6279</v>
      </c>
      <c r="F2092" s="6" t="str">
        <f>IFERROR(__xludf.DUMMYFUNCTION("GOOGLETRANSLATE(D2092,""en"",""it"")"),"Mi piace anche il merlot e la birra.")</f>
        <v>Mi piace anche il merlot e la birra.</v>
      </c>
      <c r="G2092" s="6" t="str">
        <f>IFERROR(__xludf.DUMMYFUNCTION("GOOGLETRANSLATE(E2092,""fr"",""it"")"),"Apprezzo Merlot e anche la birra.")</f>
        <v>Apprezzo Merlot e anche la birra.</v>
      </c>
    </row>
    <row r="2093">
      <c r="A2093" s="4">
        <v>2091.0</v>
      </c>
      <c r="B2093" s="5" t="s">
        <v>6280</v>
      </c>
      <c r="C2093" s="4">
        <v>1.0</v>
      </c>
      <c r="D2093" s="5" t="s">
        <v>6281</v>
      </c>
      <c r="E2093" s="5" t="s">
        <v>6282</v>
      </c>
      <c r="F2093" s="6" t="str">
        <f>IFERROR(__xludf.DUMMYFUNCTION("GOOGLETRANSLATE(D2093,""en"",""it"")"),"Mi piace anche la birra e il merlot.")</f>
        <v>Mi piace anche la birra e il merlot.</v>
      </c>
      <c r="G2093" s="6" t="str">
        <f>IFERROR(__xludf.DUMMYFUNCTION("GOOGLETRANSLATE(E2093,""fr"",""it"")"),"Apprezzo la birra e anche Merlot.")</f>
        <v>Apprezzo la birra e anche Merlot.</v>
      </c>
    </row>
    <row r="2094">
      <c r="A2094" s="4">
        <v>2092.0</v>
      </c>
      <c r="B2094" s="5" t="s">
        <v>6283</v>
      </c>
      <c r="C2094" s="4">
        <v>1.0</v>
      </c>
      <c r="D2094" s="5" t="s">
        <v>6284</v>
      </c>
      <c r="E2094" s="5" t="s">
        <v>6285</v>
      </c>
      <c r="F2094" s="6" t="str">
        <f>IFERROR(__xludf.DUMMYFUNCTION("GOOGLETRANSLATE(D2094,""en"",""it"")"),"Mi piace anche il vino e la birra.")</f>
        <v>Mi piace anche il vino e la birra.</v>
      </c>
      <c r="G2094" s="6" t="str">
        <f>IFERROR(__xludf.DUMMYFUNCTION("GOOGLETRANSLATE(E2094,""fr"",""it"")"),"Apprezzo il vino e anche la birra.")</f>
        <v>Apprezzo il vino e anche la birra.</v>
      </c>
    </row>
    <row r="2095">
      <c r="A2095" s="4">
        <v>2093.0</v>
      </c>
      <c r="B2095" s="5" t="s">
        <v>6286</v>
      </c>
      <c r="C2095" s="4">
        <v>1.0</v>
      </c>
      <c r="D2095" s="5" t="s">
        <v>6287</v>
      </c>
      <c r="E2095" s="5" t="s">
        <v>6288</v>
      </c>
      <c r="F2095" s="6" t="str">
        <f>IFERROR(__xludf.DUMMYFUNCTION("GOOGLETRANSLATE(D2095,""en"",""it"")"),"Mi piacciono anche Chardonnay e Coca-Cola.")</f>
        <v>Mi piacciono anche Chardonnay e Coca-Cola.</v>
      </c>
      <c r="G2095" s="6" t="str">
        <f>IFERROR(__xludf.DUMMYFUNCTION("GOOGLETRANSLATE(E2095,""fr"",""it"")"),"Apprezzo Chardonnay e anche Coca Cola.")</f>
        <v>Apprezzo Chardonnay e anche Coca Cola.</v>
      </c>
    </row>
    <row r="2096">
      <c r="A2096" s="4">
        <v>2094.0</v>
      </c>
      <c r="B2096" s="5" t="s">
        <v>6289</v>
      </c>
      <c r="C2096" s="4">
        <v>1.0</v>
      </c>
      <c r="D2096" s="5" t="s">
        <v>6290</v>
      </c>
      <c r="E2096" s="5" t="s">
        <v>6291</v>
      </c>
      <c r="F2096" s="6" t="str">
        <f>IFERROR(__xludf.DUMMYFUNCTION("GOOGLETRANSLATE(D2096,""en"",""it"")"),"Mi piace anche Coca-Cola e Chardonnay.")</f>
        <v>Mi piace anche Coca-Cola e Chardonnay.</v>
      </c>
      <c r="G2096" s="6" t="str">
        <f>IFERROR(__xludf.DUMMYFUNCTION("GOOGLETRANSLATE(E2096,""fr"",""it"")"),"Apprezzo Coca Cola, e anche Chardonnay.")</f>
        <v>Apprezzo Coca Cola, e anche Chardonnay.</v>
      </c>
    </row>
    <row r="2097">
      <c r="A2097" s="4">
        <v>2095.0</v>
      </c>
      <c r="B2097" s="5" t="s">
        <v>6292</v>
      </c>
      <c r="C2097" s="4">
        <v>0.0</v>
      </c>
      <c r="D2097" s="5" t="s">
        <v>6293</v>
      </c>
      <c r="E2097" s="5" t="s">
        <v>6294</v>
      </c>
      <c r="F2097" s="6" t="str">
        <f>IFERROR(__xludf.DUMMYFUNCTION("GOOGLETRANSLATE(D2097,""en"",""it"")"),"Mi piacciono anche Chardonnay e anche il vino.")</f>
        <v>Mi piacciono anche Chardonnay e anche il vino.</v>
      </c>
      <c r="G2097" s="6" t="str">
        <f>IFERROR(__xludf.DUMMYFUNCTION("GOOGLETRANSLATE(E2097,""fr"",""it"")"),"Apprezzo Chardonnay e anche il vino.")</f>
        <v>Apprezzo Chardonnay e anche il vino.</v>
      </c>
    </row>
    <row r="2098">
      <c r="A2098" s="4">
        <v>2096.0</v>
      </c>
      <c r="B2098" s="5" t="s">
        <v>6295</v>
      </c>
      <c r="C2098" s="4">
        <v>0.0</v>
      </c>
      <c r="D2098" s="5" t="s">
        <v>6296</v>
      </c>
      <c r="E2098" s="5" t="s">
        <v>6297</v>
      </c>
      <c r="F2098" s="6" t="str">
        <f>IFERROR(__xludf.DUMMYFUNCTION("GOOGLETRANSLATE(D2098,""en"",""it"")"),"Mi piace anche il vino e Chardonnay.")</f>
        <v>Mi piace anche il vino e Chardonnay.</v>
      </c>
      <c r="G2098" s="6" t="str">
        <f>IFERROR(__xludf.DUMMYFUNCTION("GOOGLETRANSLATE(E2098,""fr"",""it"")"),"Apprezzo il vino, e anche Chardonnay.")</f>
        <v>Apprezzo il vino, e anche Chardonnay.</v>
      </c>
    </row>
    <row r="2099">
      <c r="A2099" s="4">
        <v>2097.0</v>
      </c>
      <c r="B2099" s="5" t="s">
        <v>6298</v>
      </c>
      <c r="C2099" s="4">
        <v>1.0</v>
      </c>
      <c r="D2099" s="5" t="s">
        <v>6299</v>
      </c>
      <c r="E2099" s="5" t="s">
        <v>6300</v>
      </c>
      <c r="F2099" s="6" t="str">
        <f>IFERROR(__xludf.DUMMYFUNCTION("GOOGLETRANSLATE(D2099,""en"",""it"")"),"Mi piacciono anche Chardonnay e anche l'acqua.")</f>
        <v>Mi piacciono anche Chardonnay e anche l'acqua.</v>
      </c>
      <c r="G2099" s="6" t="str">
        <f>IFERROR(__xludf.DUMMYFUNCTION("GOOGLETRANSLATE(E2099,""fr"",""it"")"),"Apprezzo Chardonnay e anche l'acqua.")</f>
        <v>Apprezzo Chardonnay e anche l'acqua.</v>
      </c>
    </row>
    <row r="2100">
      <c r="A2100" s="4">
        <v>2098.0</v>
      </c>
      <c r="B2100" s="5" t="s">
        <v>6301</v>
      </c>
      <c r="C2100" s="4">
        <v>1.0</v>
      </c>
      <c r="D2100" s="5" t="s">
        <v>6302</v>
      </c>
      <c r="E2100" s="5" t="s">
        <v>6303</v>
      </c>
      <c r="F2100" s="6" t="str">
        <f>IFERROR(__xludf.DUMMYFUNCTION("GOOGLETRANSLATE(D2100,""en"",""it"")"),"Mi piace anche l'acqua e Chardonnay.")</f>
        <v>Mi piace anche l'acqua e Chardonnay.</v>
      </c>
      <c r="G2100" s="6" t="str">
        <f>IFERROR(__xludf.DUMMYFUNCTION("GOOGLETRANSLATE(E2100,""fr"",""it"")"),"Apprezzo l'acqua e anche Chardonnay.")</f>
        <v>Apprezzo l'acqua e anche Chardonnay.</v>
      </c>
    </row>
    <row r="2101">
      <c r="A2101" s="4">
        <v>2099.0</v>
      </c>
      <c r="B2101" s="5" t="s">
        <v>6304</v>
      </c>
      <c r="C2101" s="4">
        <v>1.0</v>
      </c>
      <c r="D2101" s="5" t="s">
        <v>6305</v>
      </c>
      <c r="E2101" s="5" t="s">
        <v>6306</v>
      </c>
      <c r="F2101" s="6" t="str">
        <f>IFERROR(__xludf.DUMMYFUNCTION("GOOGLETRANSLATE(D2101,""en"",""it"")"),"Mi piace anche Chardonnay e sprite anche.")</f>
        <v>Mi piace anche Chardonnay e sprite anche.</v>
      </c>
      <c r="G2101" s="6" t="str">
        <f>IFERROR(__xludf.DUMMYFUNCTION("GOOGLETRANSLATE(E2101,""fr"",""it"")"),"Apprezzo lo Chardonnay e anche sprite.")</f>
        <v>Apprezzo lo Chardonnay e anche sprite.</v>
      </c>
    </row>
    <row r="2102">
      <c r="A2102" s="4">
        <v>2100.0</v>
      </c>
      <c r="B2102" s="5" t="s">
        <v>6307</v>
      </c>
      <c r="C2102" s="4">
        <v>1.0</v>
      </c>
      <c r="D2102" s="5" t="s">
        <v>6308</v>
      </c>
      <c r="E2102" s="5" t="s">
        <v>6309</v>
      </c>
      <c r="F2102" s="6" t="str">
        <f>IFERROR(__xludf.DUMMYFUNCTION("GOOGLETRANSLATE(D2102,""en"",""it"")"),"Mi piace anche sprite e chardonnay.")</f>
        <v>Mi piace anche sprite e chardonnay.</v>
      </c>
      <c r="G2102" s="6" t="str">
        <f>IFERROR(__xludf.DUMMYFUNCTION("GOOGLETRANSLATE(E2102,""fr"",""it"")"),"Apprezzo lo sprite, e anche Chardonnay.")</f>
        <v>Apprezzo lo sprite, e anche Chardonnay.</v>
      </c>
    </row>
    <row r="2103">
      <c r="A2103" s="4">
        <v>2101.0</v>
      </c>
      <c r="B2103" s="5" t="s">
        <v>6310</v>
      </c>
      <c r="C2103" s="4">
        <v>1.0</v>
      </c>
      <c r="D2103" s="5" t="s">
        <v>6311</v>
      </c>
      <c r="E2103" s="5" t="s">
        <v>6312</v>
      </c>
      <c r="F2103" s="6" t="str">
        <f>IFERROR(__xludf.DUMMYFUNCTION("GOOGLETRANSLATE(D2103,""en"",""it"")"),"Mi piacciono anche Chardonnay e anche la birra.")</f>
        <v>Mi piacciono anche Chardonnay e anche la birra.</v>
      </c>
      <c r="G2103" s="6" t="str">
        <f>IFERROR(__xludf.DUMMYFUNCTION("GOOGLETRANSLATE(E2103,""fr"",""it"")"),"Apprezzo Chardonnay e anche la birra.")</f>
        <v>Apprezzo Chardonnay e anche la birra.</v>
      </c>
    </row>
    <row r="2104">
      <c r="A2104" s="4">
        <v>2102.0</v>
      </c>
      <c r="B2104" s="5" t="s">
        <v>6313</v>
      </c>
      <c r="C2104" s="4">
        <v>1.0</v>
      </c>
      <c r="D2104" s="5" t="s">
        <v>6314</v>
      </c>
      <c r="E2104" s="5" t="s">
        <v>6315</v>
      </c>
      <c r="F2104" s="6" t="str">
        <f>IFERROR(__xludf.DUMMYFUNCTION("GOOGLETRANSLATE(D2104,""en"",""it"")"),"Mi piace anche la birra e Chardonnay.")</f>
        <v>Mi piace anche la birra e Chardonnay.</v>
      </c>
      <c r="G2104" s="6" t="str">
        <f>IFERROR(__xludf.DUMMYFUNCTION("GOOGLETRANSLATE(E2104,""fr"",""it"")"),"Apprezzo la birra e anche Chardonnay.")</f>
        <v>Apprezzo la birra e anche Chardonnay.</v>
      </c>
    </row>
    <row r="2105">
      <c r="A2105" s="4">
        <v>2103.0</v>
      </c>
      <c r="B2105" s="5" t="s">
        <v>6316</v>
      </c>
      <c r="C2105" s="4">
        <v>1.0</v>
      </c>
      <c r="D2105" s="5" t="s">
        <v>6317</v>
      </c>
      <c r="E2105" s="5" t="s">
        <v>6318</v>
      </c>
      <c r="F2105" s="6" t="str">
        <f>IFERROR(__xludf.DUMMYFUNCTION("GOOGLETRANSLATE(D2105,""en"",""it"")"),"Mi piace il Chianti e anche Coca-Cola.")</f>
        <v>Mi piace il Chianti e anche Coca-Cola.</v>
      </c>
      <c r="G2105" s="6" t="str">
        <f>IFERROR(__xludf.DUMMYFUNCTION("GOOGLETRANSLATE(E2105,""fr"",""it"")"),"Apprezzo il Chianti, e anche Coca Cola.")</f>
        <v>Apprezzo il Chianti, e anche Coca Cola.</v>
      </c>
    </row>
    <row r="2106">
      <c r="A2106" s="4">
        <v>2104.0</v>
      </c>
      <c r="B2106" s="5" t="s">
        <v>6319</v>
      </c>
      <c r="C2106" s="4">
        <v>1.0</v>
      </c>
      <c r="D2106" s="5" t="s">
        <v>6320</v>
      </c>
      <c r="E2106" s="5" t="s">
        <v>6321</v>
      </c>
      <c r="F2106" s="6" t="str">
        <f>IFERROR(__xludf.DUMMYFUNCTION("GOOGLETRANSLATE(D2106,""en"",""it"")"),"Mi piace anche Coca-Cola e il Chianti.")</f>
        <v>Mi piace anche Coca-Cola e il Chianti.</v>
      </c>
      <c r="G2106" s="6" t="str">
        <f>IFERROR(__xludf.DUMMYFUNCTION("GOOGLETRANSLATE(E2106,""fr"",""it"")"),"Apprezzo la coca cola e anche il Chianti.")</f>
        <v>Apprezzo la coca cola e anche il Chianti.</v>
      </c>
    </row>
    <row r="2107">
      <c r="A2107" s="4">
        <v>2105.0</v>
      </c>
      <c r="B2107" s="5" t="s">
        <v>6322</v>
      </c>
      <c r="C2107" s="4">
        <v>0.0</v>
      </c>
      <c r="D2107" s="5" t="s">
        <v>6323</v>
      </c>
      <c r="E2107" s="5" t="s">
        <v>6324</v>
      </c>
      <c r="F2107" s="6" t="str">
        <f>IFERROR(__xludf.DUMMYFUNCTION("GOOGLETRANSLATE(D2107,""en"",""it"")"),"Mi piace anche il Chianti e il vino.")</f>
        <v>Mi piace anche il Chianti e il vino.</v>
      </c>
      <c r="G2107" s="6" t="str">
        <f>IFERROR(__xludf.DUMMYFUNCTION("GOOGLETRANSLATE(E2107,""fr"",""it"")"),"Apprezzo il Chianti e anche il vino.")</f>
        <v>Apprezzo il Chianti e anche il vino.</v>
      </c>
    </row>
    <row r="2108">
      <c r="A2108" s="4">
        <v>2106.0</v>
      </c>
      <c r="B2108" s="5" t="s">
        <v>6325</v>
      </c>
      <c r="C2108" s="4">
        <v>0.0</v>
      </c>
      <c r="D2108" s="5" t="s">
        <v>6326</v>
      </c>
      <c r="E2108" s="5" t="s">
        <v>6327</v>
      </c>
      <c r="F2108" s="6" t="str">
        <f>IFERROR(__xludf.DUMMYFUNCTION("GOOGLETRANSLATE(D2108,""en"",""it"")"),"Mi piace anche il vino e il Chianti.")</f>
        <v>Mi piace anche il vino e il Chianti.</v>
      </c>
      <c r="G2108" s="6" t="str">
        <f>IFERROR(__xludf.DUMMYFUNCTION("GOOGLETRANSLATE(E2108,""fr"",""it"")"),"Apprezzo il vino e anche il Chianti.")</f>
        <v>Apprezzo il vino e anche il Chianti.</v>
      </c>
    </row>
    <row r="2109">
      <c r="A2109" s="4">
        <v>2107.0</v>
      </c>
      <c r="B2109" s="5" t="s">
        <v>6328</v>
      </c>
      <c r="C2109" s="4">
        <v>1.0</v>
      </c>
      <c r="D2109" s="5" t="s">
        <v>6329</v>
      </c>
      <c r="E2109" s="5" t="s">
        <v>6330</v>
      </c>
      <c r="F2109" s="6" t="str">
        <f>IFERROR(__xludf.DUMMYFUNCTION("GOOGLETRANSLATE(D2109,""en"",""it"")"),"Mi piace anche il Chianti e l'acqua.")</f>
        <v>Mi piace anche il Chianti e l'acqua.</v>
      </c>
      <c r="G2109" s="6" t="str">
        <f>IFERROR(__xludf.DUMMYFUNCTION("GOOGLETRANSLATE(E2109,""fr"",""it"")"),"Apprezzo il Chianti e anche l'acqua.")</f>
        <v>Apprezzo il Chianti e anche l'acqua.</v>
      </c>
    </row>
    <row r="2110">
      <c r="A2110" s="4">
        <v>2108.0</v>
      </c>
      <c r="B2110" s="5" t="s">
        <v>6331</v>
      </c>
      <c r="C2110" s="4">
        <v>1.0</v>
      </c>
      <c r="D2110" s="5" t="s">
        <v>6332</v>
      </c>
      <c r="E2110" s="5" t="s">
        <v>6333</v>
      </c>
      <c r="F2110" s="6" t="str">
        <f>IFERROR(__xludf.DUMMYFUNCTION("GOOGLETRANSLATE(D2110,""en"",""it"")"),"Mi piace anche l'acqua e il Chianti.")</f>
        <v>Mi piace anche l'acqua e il Chianti.</v>
      </c>
      <c r="G2110" s="6" t="str">
        <f>IFERROR(__xludf.DUMMYFUNCTION("GOOGLETRANSLATE(E2110,""fr"",""it"")"),"Apprezzo l'acqua e anche il Chianti.")</f>
        <v>Apprezzo l'acqua e anche il Chianti.</v>
      </c>
    </row>
    <row r="2111">
      <c r="A2111" s="4">
        <v>2109.0</v>
      </c>
      <c r="B2111" s="5" t="s">
        <v>6334</v>
      </c>
      <c r="C2111" s="4">
        <v>1.0</v>
      </c>
      <c r="D2111" s="5" t="s">
        <v>6335</v>
      </c>
      <c r="E2111" s="5" t="s">
        <v>6336</v>
      </c>
      <c r="F2111" s="6" t="str">
        <f>IFERROR(__xludf.DUMMYFUNCTION("GOOGLETRANSLATE(D2111,""en"",""it"")"),"Mi piace anche il Chianti e Sprite.")</f>
        <v>Mi piace anche il Chianti e Sprite.</v>
      </c>
      <c r="G2111" s="6" t="str">
        <f>IFERROR(__xludf.DUMMYFUNCTION("GOOGLETRANSLATE(E2111,""fr"",""it"")"),"Apprezzo il Chianti e anche sprite.")</f>
        <v>Apprezzo il Chianti e anche sprite.</v>
      </c>
    </row>
    <row r="2112">
      <c r="A2112" s="4">
        <v>2110.0</v>
      </c>
      <c r="B2112" s="5" t="s">
        <v>6337</v>
      </c>
      <c r="C2112" s="4">
        <v>1.0</v>
      </c>
      <c r="D2112" s="5" t="s">
        <v>6338</v>
      </c>
      <c r="E2112" s="5" t="s">
        <v>6339</v>
      </c>
      <c r="F2112" s="6" t="str">
        <f>IFERROR(__xludf.DUMMYFUNCTION("GOOGLETRANSLATE(D2112,""en"",""it"")"),"Mi piace anche sprite, e il Chianti.")</f>
        <v>Mi piace anche sprite, e il Chianti.</v>
      </c>
      <c r="G2112" s="6" t="str">
        <f>IFERROR(__xludf.DUMMYFUNCTION("GOOGLETRANSLATE(E2112,""fr"",""it"")"),"Apprezzo lo sprite, e anche il Chianti.")</f>
        <v>Apprezzo lo sprite, e anche il Chianti.</v>
      </c>
    </row>
    <row r="2113">
      <c r="A2113" s="4">
        <v>2111.0</v>
      </c>
      <c r="B2113" s="5" t="s">
        <v>6340</v>
      </c>
      <c r="C2113" s="4">
        <v>1.0</v>
      </c>
      <c r="D2113" s="5" t="s">
        <v>6341</v>
      </c>
      <c r="E2113" s="5" t="s">
        <v>6342</v>
      </c>
      <c r="F2113" s="6" t="str">
        <f>IFERROR(__xludf.DUMMYFUNCTION("GOOGLETRANSLATE(D2113,""en"",""it"")"),"Mi piace anche il Chianti e la birra.")</f>
        <v>Mi piace anche il Chianti e la birra.</v>
      </c>
      <c r="G2113" s="6" t="str">
        <f>IFERROR(__xludf.DUMMYFUNCTION("GOOGLETRANSLATE(E2113,""fr"",""it"")"),"Apprezzo il Chianti e anche la birra.")</f>
        <v>Apprezzo il Chianti e anche la birra.</v>
      </c>
    </row>
    <row r="2114">
      <c r="A2114" s="4">
        <v>2112.0</v>
      </c>
      <c r="B2114" s="5" t="s">
        <v>6343</v>
      </c>
      <c r="C2114" s="4">
        <v>1.0</v>
      </c>
      <c r="D2114" s="5" t="s">
        <v>6344</v>
      </c>
      <c r="E2114" s="5" t="s">
        <v>6345</v>
      </c>
      <c r="F2114" s="6" t="str">
        <f>IFERROR(__xludf.DUMMYFUNCTION("GOOGLETRANSLATE(D2114,""en"",""it"")"),"Mi piace anche la birra e il Chianti.")</f>
        <v>Mi piace anche la birra e il Chianti.</v>
      </c>
      <c r="G2114" s="6" t="str">
        <f>IFERROR(__xludf.DUMMYFUNCTION("GOOGLETRANSLATE(E2114,""fr"",""it"")"),"Apprezzo la birra e anche il Chianti.")</f>
        <v>Apprezzo la birra e anche il Chianti.</v>
      </c>
    </row>
    <row r="2115">
      <c r="A2115" s="4">
        <v>2113.0</v>
      </c>
      <c r="B2115" s="5" t="s">
        <v>6346</v>
      </c>
      <c r="C2115" s="4">
        <v>1.0</v>
      </c>
      <c r="D2115" s="5" t="s">
        <v>6347</v>
      </c>
      <c r="E2115" s="5" t="s">
        <v>6348</v>
      </c>
      <c r="F2115" s="6" t="str">
        <f>IFERROR(__xludf.DUMMYFUNCTION("GOOGLETRANSLATE(D2115,""en"",""it"")"),"Mi piace anche Zinfandel e Coca-Cola.")</f>
        <v>Mi piace anche Zinfandel e Coca-Cola.</v>
      </c>
      <c r="G2115" s="6" t="str">
        <f>IFERROR(__xludf.DUMMYFUNCTION("GOOGLETRANSLATE(E2115,""fr"",""it"")"),"Apprezzo Cabernet Sauvignon, e anche Coca Cola.")</f>
        <v>Apprezzo Cabernet Sauvignon, e anche Coca Cola.</v>
      </c>
    </row>
    <row r="2116">
      <c r="A2116" s="4">
        <v>2114.0</v>
      </c>
      <c r="B2116" s="5" t="s">
        <v>6349</v>
      </c>
      <c r="C2116" s="4">
        <v>1.0</v>
      </c>
      <c r="D2116" s="5" t="s">
        <v>6350</v>
      </c>
      <c r="E2116" s="5" t="s">
        <v>6351</v>
      </c>
      <c r="F2116" s="6" t="str">
        <f>IFERROR(__xludf.DUMMYFUNCTION("GOOGLETRANSLATE(D2116,""en"",""it"")"),"Mi piace anche Coca-Cola e Zinfandel.")</f>
        <v>Mi piace anche Coca-Cola e Zinfandel.</v>
      </c>
      <c r="G2116" s="6" t="str">
        <f>IFERROR(__xludf.DUMMYFUNCTION("GOOGLETRANSLATE(E2116,""fr"",""it"")"),"Apprezzo Coca Cola e anche Cabernet Sauvignon.")</f>
        <v>Apprezzo Coca Cola e anche Cabernet Sauvignon.</v>
      </c>
    </row>
    <row r="2117">
      <c r="A2117" s="4">
        <v>2115.0</v>
      </c>
      <c r="B2117" s="5" t="s">
        <v>6352</v>
      </c>
      <c r="C2117" s="4">
        <v>0.0</v>
      </c>
      <c r="D2117" s="5" t="s">
        <v>6353</v>
      </c>
      <c r="E2117" s="5" t="s">
        <v>6354</v>
      </c>
      <c r="F2117" s="6" t="str">
        <f>IFERROR(__xludf.DUMMYFUNCTION("GOOGLETRANSLATE(D2117,""en"",""it"")"),"Mi piace anche zinfandel e vino.")</f>
        <v>Mi piace anche zinfandel e vino.</v>
      </c>
      <c r="G2117" s="6" t="str">
        <f>IFERROR(__xludf.DUMMYFUNCTION("GOOGLETRANSLATE(E2117,""fr"",""it"")"),"Apprezzo Cabernet Sauvignon e anche il vino.")</f>
        <v>Apprezzo Cabernet Sauvignon e anche il vino.</v>
      </c>
    </row>
    <row r="2118">
      <c r="A2118" s="4">
        <v>2116.0</v>
      </c>
      <c r="B2118" s="5" t="s">
        <v>6355</v>
      </c>
      <c r="C2118" s="4">
        <v>0.0</v>
      </c>
      <c r="D2118" s="5" t="s">
        <v>6356</v>
      </c>
      <c r="E2118" s="5" t="s">
        <v>6357</v>
      </c>
      <c r="F2118" s="6" t="str">
        <f>IFERROR(__xludf.DUMMYFUNCTION("GOOGLETRANSLATE(D2118,""en"",""it"")"),"Mi piace anche il vino e Zinfandel.")</f>
        <v>Mi piace anche il vino e Zinfandel.</v>
      </c>
      <c r="G2118" s="6" t="str">
        <f>IFERROR(__xludf.DUMMYFUNCTION("GOOGLETRANSLATE(E2118,""fr"",""it"")"),"Apprezzo il vino e anche Cabernet Sauvignon.")</f>
        <v>Apprezzo il vino e anche Cabernet Sauvignon.</v>
      </c>
    </row>
    <row r="2119">
      <c r="A2119" s="4">
        <v>2117.0</v>
      </c>
      <c r="B2119" s="5" t="s">
        <v>6358</v>
      </c>
      <c r="C2119" s="4">
        <v>1.0</v>
      </c>
      <c r="D2119" s="5" t="s">
        <v>6359</v>
      </c>
      <c r="E2119" s="5" t="s">
        <v>6360</v>
      </c>
      <c r="F2119" s="6" t="str">
        <f>IFERROR(__xludf.DUMMYFUNCTION("GOOGLETRANSLATE(D2119,""en"",""it"")"),"Mi piace anche Zinfandel e anche l'acqua.")</f>
        <v>Mi piace anche Zinfandel e anche l'acqua.</v>
      </c>
      <c r="G2119" s="6" t="str">
        <f>IFERROR(__xludf.DUMMYFUNCTION("GOOGLETRANSLATE(E2119,""fr"",""it"")"),"Apprezzo Cabernet Sauvignon e anche acqua.")</f>
        <v>Apprezzo Cabernet Sauvignon e anche acqua.</v>
      </c>
    </row>
    <row r="2120">
      <c r="A2120" s="4">
        <v>2118.0</v>
      </c>
      <c r="B2120" s="5" t="s">
        <v>6361</v>
      </c>
      <c r="C2120" s="4">
        <v>1.0</v>
      </c>
      <c r="D2120" s="5" t="s">
        <v>6362</v>
      </c>
      <c r="E2120" s="5" t="s">
        <v>6363</v>
      </c>
      <c r="F2120" s="6" t="str">
        <f>IFERROR(__xludf.DUMMYFUNCTION("GOOGLETRANSLATE(D2120,""en"",""it"")"),"Mi piace anche l'acqua e Zinfandel.")</f>
        <v>Mi piace anche l'acqua e Zinfandel.</v>
      </c>
      <c r="G2120" s="6" t="str">
        <f>IFERROR(__xludf.DUMMYFUNCTION("GOOGLETRANSLATE(E2120,""fr"",""it"")"),"Apprezzo l'acqua e anche Cabernet Sauvignon.")</f>
        <v>Apprezzo l'acqua e anche Cabernet Sauvignon.</v>
      </c>
    </row>
    <row r="2121">
      <c r="A2121" s="4">
        <v>2119.0</v>
      </c>
      <c r="B2121" s="5" t="s">
        <v>6364</v>
      </c>
      <c r="C2121" s="4">
        <v>1.0</v>
      </c>
      <c r="D2121" s="5" t="s">
        <v>6365</v>
      </c>
      <c r="E2121" s="5" t="s">
        <v>6366</v>
      </c>
      <c r="F2121" s="6" t="str">
        <f>IFERROR(__xludf.DUMMYFUNCTION("GOOGLETRANSLATE(D2121,""en"",""it"")"),"Mi piace anche Zinfandel e sprite anche.")</f>
        <v>Mi piace anche Zinfandel e sprite anche.</v>
      </c>
      <c r="G2121" s="6" t="str">
        <f>IFERROR(__xludf.DUMMYFUNCTION("GOOGLETRANSLATE(E2121,""fr"",""it"")"),"Apprezzo Cabernet Sauvignon e anche sprite.")</f>
        <v>Apprezzo Cabernet Sauvignon e anche sprite.</v>
      </c>
    </row>
    <row r="2122">
      <c r="A2122" s="4">
        <v>2120.0</v>
      </c>
      <c r="B2122" s="5" t="s">
        <v>6367</v>
      </c>
      <c r="C2122" s="4">
        <v>1.0</v>
      </c>
      <c r="D2122" s="5" t="s">
        <v>6368</v>
      </c>
      <c r="E2122" s="5" t="s">
        <v>6369</v>
      </c>
      <c r="F2122" s="6" t="str">
        <f>IFERROR(__xludf.DUMMYFUNCTION("GOOGLETRANSLATE(D2122,""en"",""it"")"),"Mi piace anche sprite e zinfandel.")</f>
        <v>Mi piace anche sprite e zinfandel.</v>
      </c>
      <c r="G2122" s="6" t="str">
        <f>IFERROR(__xludf.DUMMYFUNCTION("GOOGLETRANSLATE(E2122,""fr"",""it"")"),"Apprezzo lo sprite, e anche Cabernet Sauvignon.")</f>
        <v>Apprezzo lo sprite, e anche Cabernet Sauvignon.</v>
      </c>
    </row>
    <row r="2123">
      <c r="A2123" s="4">
        <v>2121.0</v>
      </c>
      <c r="B2123" s="5" t="s">
        <v>6370</v>
      </c>
      <c r="C2123" s="4">
        <v>1.0</v>
      </c>
      <c r="D2123" s="5" t="s">
        <v>6371</v>
      </c>
      <c r="E2123" s="5" t="s">
        <v>6372</v>
      </c>
      <c r="F2123" s="6" t="str">
        <f>IFERROR(__xludf.DUMMYFUNCTION("GOOGLETRANSLATE(D2123,""en"",""it"")"),"Mi piace anche zinfandel e birra.")</f>
        <v>Mi piace anche zinfandel e birra.</v>
      </c>
      <c r="G2123" s="6" t="str">
        <f>IFERROR(__xludf.DUMMYFUNCTION("GOOGLETRANSLATE(E2123,""fr"",""it"")"),"Apprezzo Cabernet Sauvignon e anche la birra.")</f>
        <v>Apprezzo Cabernet Sauvignon e anche la birra.</v>
      </c>
    </row>
    <row r="2124">
      <c r="A2124" s="4">
        <v>2122.0</v>
      </c>
      <c r="B2124" s="5" t="s">
        <v>6373</v>
      </c>
      <c r="C2124" s="4">
        <v>1.0</v>
      </c>
      <c r="D2124" s="5" t="s">
        <v>6374</v>
      </c>
      <c r="E2124" s="5" t="s">
        <v>6375</v>
      </c>
      <c r="F2124" s="6" t="str">
        <f>IFERROR(__xludf.DUMMYFUNCTION("GOOGLETRANSLATE(D2124,""en"",""it"")"),"Mi piace anche la birra e Zinfandel.")</f>
        <v>Mi piace anche la birra e Zinfandel.</v>
      </c>
      <c r="G2124" s="6" t="str">
        <f>IFERROR(__xludf.DUMMYFUNCTION("GOOGLETRANSLATE(E2124,""fr"",""it"")"),"Apprezzo la birra e anche Cabernet Sauvignon.")</f>
        <v>Apprezzo la birra e anche Cabernet Sauvignon.</v>
      </c>
    </row>
    <row r="2125">
      <c r="A2125" s="4">
        <v>2123.0</v>
      </c>
      <c r="B2125" s="5" t="s">
        <v>6376</v>
      </c>
      <c r="C2125" s="4">
        <v>1.0</v>
      </c>
      <c r="D2125" s="5" t="s">
        <v>6377</v>
      </c>
      <c r="E2125" s="5" t="s">
        <v>6378</v>
      </c>
      <c r="F2125" s="6" t="str">
        <f>IFERROR(__xludf.DUMMYFUNCTION("GOOGLETRANSLATE(D2125,""en"",""it"")"),"Mi piace anche il rock e lo sport.")</f>
        <v>Mi piace anche il rock e lo sport.</v>
      </c>
      <c r="G2125" s="6" t="str">
        <f>IFERROR(__xludf.DUMMYFUNCTION("GOOGLETRANSLATE(E2125,""fr"",""it"")"),"Apprezzo il rock e anche gli sport.")</f>
        <v>Apprezzo il rock e anche gli sport.</v>
      </c>
    </row>
    <row r="2126">
      <c r="A2126" s="4">
        <v>2124.0</v>
      </c>
      <c r="B2126" s="5" t="s">
        <v>6379</v>
      </c>
      <c r="C2126" s="4">
        <v>1.0</v>
      </c>
      <c r="D2126" s="5" t="s">
        <v>6380</v>
      </c>
      <c r="E2126" s="5" t="s">
        <v>6381</v>
      </c>
      <c r="F2126" s="6" t="str">
        <f>IFERROR(__xludf.DUMMYFUNCTION("GOOGLETRANSLATE(D2126,""en"",""it"")"),"Mi piacciono anche gli sport e il rock.")</f>
        <v>Mi piacciono anche gli sport e il rock.</v>
      </c>
      <c r="G2126" s="6" t="str">
        <f>IFERROR(__xludf.DUMMYFUNCTION("GOOGLETRANSLATE(E2126,""fr"",""it"")"),"Apprezzo gli sport e anche rock.")</f>
        <v>Apprezzo gli sport e anche rock.</v>
      </c>
    </row>
    <row r="2127">
      <c r="A2127" s="4">
        <v>2125.0</v>
      </c>
      <c r="B2127" s="5" t="s">
        <v>6382</v>
      </c>
      <c r="C2127" s="4">
        <v>0.0</v>
      </c>
      <c r="D2127" s="5" t="s">
        <v>6383</v>
      </c>
      <c r="E2127" s="5" t="s">
        <v>6384</v>
      </c>
      <c r="F2127" s="6" t="str">
        <f>IFERROR(__xludf.DUMMYFUNCTION("GOOGLETRANSLATE(D2127,""en"",""it"")"),"Mi piace anche la roccia e la musica.")</f>
        <v>Mi piace anche la roccia e la musica.</v>
      </c>
      <c r="G2127" s="6" t="str">
        <f>IFERROR(__xludf.DUMMYFUNCTION("GOOGLETRANSLATE(E2127,""fr"",""it"")"),"Apprezzo la roccia e anche la musica.")</f>
        <v>Apprezzo la roccia e anche la musica.</v>
      </c>
    </row>
    <row r="2128">
      <c r="A2128" s="4">
        <v>2126.0</v>
      </c>
      <c r="B2128" s="5" t="s">
        <v>6385</v>
      </c>
      <c r="C2128" s="4">
        <v>0.0</v>
      </c>
      <c r="D2128" s="5" t="s">
        <v>6386</v>
      </c>
      <c r="E2128" s="5" t="s">
        <v>6387</v>
      </c>
      <c r="F2128" s="6" t="str">
        <f>IFERROR(__xludf.DUMMYFUNCTION("GOOGLETRANSLATE(D2128,""en"",""it"")"),"Mi piace anche la musica e la roccia.")</f>
        <v>Mi piace anche la musica e la roccia.</v>
      </c>
      <c r="G2128" s="6" t="str">
        <f>IFERROR(__xludf.DUMMYFUNCTION("GOOGLETRANSLATE(E2128,""fr"",""it"")"),"Apprezzo la musica e anche rock.")</f>
        <v>Apprezzo la musica e anche rock.</v>
      </c>
    </row>
    <row r="2129">
      <c r="A2129" s="4">
        <v>2127.0</v>
      </c>
      <c r="B2129" s="5" t="s">
        <v>6388</v>
      </c>
      <c r="C2129" s="4">
        <v>1.0</v>
      </c>
      <c r="D2129" s="5" t="s">
        <v>6389</v>
      </c>
      <c r="E2129" s="5" t="s">
        <v>6390</v>
      </c>
      <c r="F2129" s="6" t="str">
        <f>IFERROR(__xludf.DUMMYFUNCTION("GOOGLETRANSLATE(D2129,""en"",""it"")"),"Mi piace anche la musica e lo sport.")</f>
        <v>Mi piace anche la musica e lo sport.</v>
      </c>
      <c r="G2129" s="6" t="str">
        <f>IFERROR(__xludf.DUMMYFUNCTION("GOOGLETRANSLATE(E2129,""fr"",""it"")"),"Apprezzo la musica e anche gli sport.")</f>
        <v>Apprezzo la musica e anche gli sport.</v>
      </c>
    </row>
    <row r="2130">
      <c r="A2130" s="4">
        <v>2128.0</v>
      </c>
      <c r="B2130" s="5" t="s">
        <v>6391</v>
      </c>
      <c r="C2130" s="4">
        <v>1.0</v>
      </c>
      <c r="D2130" s="5" t="s">
        <v>6392</v>
      </c>
      <c r="E2130" s="5" t="s">
        <v>6393</v>
      </c>
      <c r="F2130" s="6" t="str">
        <f>IFERROR(__xludf.DUMMYFUNCTION("GOOGLETRANSLATE(D2130,""en"",""it"")"),"Mi piacciono anche il rock e i tavolini.")</f>
        <v>Mi piacciono anche il rock e i tavolini.</v>
      </c>
      <c r="G2130" s="6" t="str">
        <f>IFERROR(__xludf.DUMMYFUNCTION("GOOGLETRANSLATE(E2130,""fr"",""it"")"),"Apprezzo il rock e anche i giochi da tavolo.")</f>
        <v>Apprezzo il rock e anche i giochi da tavolo.</v>
      </c>
    </row>
    <row r="2131">
      <c r="A2131" s="4">
        <v>2129.0</v>
      </c>
      <c r="B2131" s="5" t="s">
        <v>6394</v>
      </c>
      <c r="C2131" s="4">
        <v>1.0</v>
      </c>
      <c r="D2131" s="5" t="s">
        <v>6395</v>
      </c>
      <c r="E2131" s="5" t="s">
        <v>6396</v>
      </c>
      <c r="F2131" s="6" t="str">
        <f>IFERROR(__xludf.DUMMYFUNCTION("GOOGLETRANSLATE(D2131,""en"",""it"")"),"Mi piacciono i boardgames e anche rock.")</f>
        <v>Mi piacciono i boardgames e anche rock.</v>
      </c>
      <c r="G2131" s="6" t="str">
        <f>IFERROR(__xludf.DUMMYFUNCTION("GOOGLETRANSLATE(E2131,""fr"",""it"")"),"Apprezzo i giochi da tavolo, e anche rock.")</f>
        <v>Apprezzo i giochi da tavolo, e anche rock.</v>
      </c>
    </row>
    <row r="2132">
      <c r="A2132" s="4">
        <v>2130.0</v>
      </c>
      <c r="B2132" s="5" t="s">
        <v>6397</v>
      </c>
      <c r="C2132" s="4">
        <v>1.0</v>
      </c>
      <c r="D2132" s="5" t="s">
        <v>6398</v>
      </c>
      <c r="E2132" s="5" t="s">
        <v>6399</v>
      </c>
      <c r="F2132" s="6" t="str">
        <f>IFERROR(__xludf.DUMMYFUNCTION("GOOGLETRANSLATE(D2132,""en"",""it"")"),"Mi piace anche la musica e i tavolini.")</f>
        <v>Mi piace anche la musica e i tavolini.</v>
      </c>
      <c r="G2132" s="6" t="str">
        <f>IFERROR(__xludf.DUMMYFUNCTION("GOOGLETRANSLATE(E2132,""fr"",""it"")"),"Apprezzo la musica e anche i giochi da tavolo.")</f>
        <v>Apprezzo la musica e anche i giochi da tavolo.</v>
      </c>
    </row>
    <row r="2133">
      <c r="A2133" s="4">
        <v>2131.0</v>
      </c>
      <c r="B2133" s="5" t="s">
        <v>6400</v>
      </c>
      <c r="C2133" s="4">
        <v>1.0</v>
      </c>
      <c r="D2133" s="5" t="s">
        <v>6401</v>
      </c>
      <c r="E2133" s="5" t="s">
        <v>6402</v>
      </c>
      <c r="F2133" s="6" t="str">
        <f>IFERROR(__xludf.DUMMYFUNCTION("GOOGLETRANSLATE(D2133,""en"",""it"")"),"Mi piace anche il rock e il cibo.")</f>
        <v>Mi piace anche il rock e il cibo.</v>
      </c>
      <c r="G2133" s="6" t="str">
        <f>IFERROR(__xludf.DUMMYFUNCTION("GOOGLETRANSLATE(E2133,""fr"",""it"")"),"Apprezzo il rock e anche gli alimenti.")</f>
        <v>Apprezzo il rock e anche gli alimenti.</v>
      </c>
    </row>
    <row r="2134">
      <c r="A2134" s="4">
        <v>2132.0</v>
      </c>
      <c r="B2134" s="5" t="s">
        <v>6403</v>
      </c>
      <c r="C2134" s="4">
        <v>1.0</v>
      </c>
      <c r="D2134" s="5" t="s">
        <v>6404</v>
      </c>
      <c r="E2134" s="5" t="s">
        <v>6405</v>
      </c>
      <c r="F2134" s="6" t="str">
        <f>IFERROR(__xludf.DUMMYFUNCTION("GOOGLETRANSLATE(D2134,""en"",""it"")"),"Mi piace anche il cibo e il rock.")</f>
        <v>Mi piace anche il cibo e il rock.</v>
      </c>
      <c r="G2134" s="6" t="str">
        <f>IFERROR(__xludf.DUMMYFUNCTION("GOOGLETRANSLATE(E2134,""fr"",""it"")"),"Apprezzo il cibo e anche il rock.")</f>
        <v>Apprezzo il cibo e anche il rock.</v>
      </c>
    </row>
    <row r="2135">
      <c r="A2135" s="4">
        <v>2133.0</v>
      </c>
      <c r="B2135" s="5" t="s">
        <v>6406</v>
      </c>
      <c r="C2135" s="4">
        <v>1.0</v>
      </c>
      <c r="D2135" s="5" t="s">
        <v>6407</v>
      </c>
      <c r="E2135" s="5" t="s">
        <v>6408</v>
      </c>
      <c r="F2135" s="6" t="str">
        <f>IFERROR(__xludf.DUMMYFUNCTION("GOOGLETRANSLATE(D2135,""en"",""it"")"),"Mi piace anche la musica e il cibo.")</f>
        <v>Mi piace anche la musica e il cibo.</v>
      </c>
      <c r="G2135" s="6" t="str">
        <f>IFERROR(__xludf.DUMMYFUNCTION("GOOGLETRANSLATE(E2135,""fr"",""it"")"),"Apprezzo la musica e anche gli alimenti.")</f>
        <v>Apprezzo la musica e anche gli alimenti.</v>
      </c>
    </row>
    <row r="2136">
      <c r="A2136" s="4">
        <v>2134.0</v>
      </c>
      <c r="B2136" s="5" t="s">
        <v>6409</v>
      </c>
      <c r="C2136" s="4">
        <v>1.0</v>
      </c>
      <c r="D2136" s="5" t="s">
        <v>6410</v>
      </c>
      <c r="E2136" s="5" t="s">
        <v>6411</v>
      </c>
      <c r="F2136" s="6" t="str">
        <f>IFERROR(__xludf.DUMMYFUNCTION("GOOGLETRANSLATE(D2136,""en"",""it"")"),"Mi piace anche il rock e i gioielli.")</f>
        <v>Mi piace anche il rock e i gioielli.</v>
      </c>
      <c r="G2136" s="6" t="str">
        <f>IFERROR(__xludf.DUMMYFUNCTION("GOOGLETRANSLATE(E2136,""fr"",""it"")"),"Apprezzo il rock, e anche gioielli.")</f>
        <v>Apprezzo il rock, e anche gioielli.</v>
      </c>
    </row>
    <row r="2137">
      <c r="A2137" s="4">
        <v>2135.0</v>
      </c>
      <c r="B2137" s="5" t="s">
        <v>6412</v>
      </c>
      <c r="C2137" s="4">
        <v>1.0</v>
      </c>
      <c r="D2137" s="5" t="s">
        <v>6413</v>
      </c>
      <c r="E2137" s="5" t="s">
        <v>6414</v>
      </c>
      <c r="F2137" s="6" t="str">
        <f>IFERROR(__xludf.DUMMYFUNCTION("GOOGLETRANSLATE(D2137,""en"",""it"")"),"Mi piacciono anche i gioielli e la roccia.")</f>
        <v>Mi piacciono anche i gioielli e la roccia.</v>
      </c>
      <c r="G2137" s="6" t="str">
        <f>IFERROR(__xludf.DUMMYFUNCTION("GOOGLETRANSLATE(E2137,""fr"",""it"")"),"Apprezzo gioielli e anche rock.")</f>
        <v>Apprezzo gioielli e anche rock.</v>
      </c>
    </row>
    <row r="2138">
      <c r="A2138" s="4">
        <v>2136.0</v>
      </c>
      <c r="B2138" s="5" t="s">
        <v>6415</v>
      </c>
      <c r="C2138" s="4">
        <v>1.0</v>
      </c>
      <c r="D2138" s="5" t="s">
        <v>6416</v>
      </c>
      <c r="E2138" s="5" t="s">
        <v>6417</v>
      </c>
      <c r="F2138" s="6" t="str">
        <f>IFERROR(__xludf.DUMMYFUNCTION("GOOGLETRANSLATE(D2138,""en"",""it"")"),"Mi piace anche la musica e i gioielli.")</f>
        <v>Mi piace anche la musica e i gioielli.</v>
      </c>
      <c r="G2138" s="6" t="str">
        <f>IFERROR(__xludf.DUMMYFUNCTION("GOOGLETRANSLATE(E2138,""fr"",""it"")"),"Apprezzo la musica e anche gioielli.")</f>
        <v>Apprezzo la musica e anche gioielli.</v>
      </c>
    </row>
    <row r="2139">
      <c r="A2139" s="4">
        <v>2137.0</v>
      </c>
      <c r="B2139" s="5" t="s">
        <v>6418</v>
      </c>
      <c r="C2139" s="4">
        <v>1.0</v>
      </c>
      <c r="D2139" s="5" t="s">
        <v>6419</v>
      </c>
      <c r="E2139" s="5" t="s">
        <v>6420</v>
      </c>
      <c r="F2139" s="6" t="str">
        <f>IFERROR(__xludf.DUMMYFUNCTION("GOOGLETRANSLATE(D2139,""en"",""it"")"),"Mi piace anche il jazz e lo sport.")</f>
        <v>Mi piace anche il jazz e lo sport.</v>
      </c>
      <c r="G2139" s="6" t="str">
        <f>IFERROR(__xludf.DUMMYFUNCTION("GOOGLETRANSLATE(E2139,""fr"",""it"")"),"Apprezzo il jazz e anche gli sport.")</f>
        <v>Apprezzo il jazz e anche gli sport.</v>
      </c>
    </row>
    <row r="2140">
      <c r="A2140" s="4">
        <v>2138.0</v>
      </c>
      <c r="B2140" s="5" t="s">
        <v>6421</v>
      </c>
      <c r="C2140" s="4">
        <v>1.0</v>
      </c>
      <c r="D2140" s="5" t="s">
        <v>6422</v>
      </c>
      <c r="E2140" s="5" t="s">
        <v>6423</v>
      </c>
      <c r="F2140" s="6" t="str">
        <f>IFERROR(__xludf.DUMMYFUNCTION("GOOGLETRANSLATE(D2140,""en"",""it"")"),"Mi piacciono anche gli sport e il jazz.")</f>
        <v>Mi piacciono anche gli sport e il jazz.</v>
      </c>
      <c r="G2140" s="6" t="str">
        <f>IFERROR(__xludf.DUMMYFUNCTION("GOOGLETRANSLATE(E2140,""fr"",""it"")"),"Apprezzo gli sport e anche il jazz.")</f>
        <v>Apprezzo gli sport e anche il jazz.</v>
      </c>
    </row>
    <row r="2141">
      <c r="A2141" s="4">
        <v>2139.0</v>
      </c>
      <c r="B2141" s="5" t="s">
        <v>6424</v>
      </c>
      <c r="C2141" s="4">
        <v>0.0</v>
      </c>
      <c r="D2141" s="5" t="s">
        <v>6425</v>
      </c>
      <c r="E2141" s="5" t="s">
        <v>6426</v>
      </c>
      <c r="F2141" s="6" t="str">
        <f>IFERROR(__xludf.DUMMYFUNCTION("GOOGLETRANSLATE(D2141,""en"",""it"")"),"Mi piace anche il jazz e la musica.")</f>
        <v>Mi piace anche il jazz e la musica.</v>
      </c>
      <c r="G2141" s="6" t="str">
        <f>IFERROR(__xludf.DUMMYFUNCTION("GOOGLETRANSLATE(E2141,""fr"",""it"")"),"Apprezzo il jazz, e anche la musica.")</f>
        <v>Apprezzo il jazz, e anche la musica.</v>
      </c>
    </row>
    <row r="2142">
      <c r="A2142" s="4">
        <v>2140.0</v>
      </c>
      <c r="B2142" s="5" t="s">
        <v>6427</v>
      </c>
      <c r="C2142" s="4">
        <v>0.0</v>
      </c>
      <c r="D2142" s="5" t="s">
        <v>6428</v>
      </c>
      <c r="E2142" s="5" t="s">
        <v>6429</v>
      </c>
      <c r="F2142" s="6" t="str">
        <f>IFERROR(__xludf.DUMMYFUNCTION("GOOGLETRANSLATE(D2142,""en"",""it"")"),"Mi piace anche la musica e il jazz.")</f>
        <v>Mi piace anche la musica e il jazz.</v>
      </c>
      <c r="G2142" s="6" t="str">
        <f>IFERROR(__xludf.DUMMYFUNCTION("GOOGLETRANSLATE(E2142,""fr"",""it"")"),"Apprezzo la musica e anche il jazz.")</f>
        <v>Apprezzo la musica e anche il jazz.</v>
      </c>
    </row>
    <row r="2143">
      <c r="A2143" s="4">
        <v>2141.0</v>
      </c>
      <c r="B2143" s="5" t="s">
        <v>6430</v>
      </c>
      <c r="C2143" s="4">
        <v>1.0</v>
      </c>
      <c r="D2143" s="5" t="s">
        <v>6431</v>
      </c>
      <c r="E2143" s="5" t="s">
        <v>6432</v>
      </c>
      <c r="F2143" s="6" t="str">
        <f>IFERROR(__xludf.DUMMYFUNCTION("GOOGLETRANSLATE(D2143,""en"",""it"")"),"Mi piace anche il jazz e i tavolini.")</f>
        <v>Mi piace anche il jazz e i tavolini.</v>
      </c>
      <c r="G2143" s="6" t="str">
        <f>IFERROR(__xludf.DUMMYFUNCTION("GOOGLETRANSLATE(E2143,""fr"",""it"")"),"Apprezzo il jazz, e anche i giochi da tavolo.")</f>
        <v>Apprezzo il jazz, e anche i giochi da tavolo.</v>
      </c>
    </row>
    <row r="2144">
      <c r="A2144" s="4">
        <v>2142.0</v>
      </c>
      <c r="B2144" s="5" t="s">
        <v>6433</v>
      </c>
      <c r="C2144" s="4">
        <v>1.0</v>
      </c>
      <c r="D2144" s="5" t="s">
        <v>6434</v>
      </c>
      <c r="E2144" s="5" t="s">
        <v>6435</v>
      </c>
      <c r="F2144" s="6" t="str">
        <f>IFERROR(__xludf.DUMMYFUNCTION("GOOGLETRANSLATE(D2144,""en"",""it"")"),"Mi piacciono anche i boardgames e il jazz.")</f>
        <v>Mi piacciono anche i boardgames e il jazz.</v>
      </c>
      <c r="G2144" s="6" t="str">
        <f>IFERROR(__xludf.DUMMYFUNCTION("GOOGLETRANSLATE(E2144,""fr"",""it"")"),"Apprezzo i giochi da tavolo, e anche il jazz.")</f>
        <v>Apprezzo i giochi da tavolo, e anche il jazz.</v>
      </c>
    </row>
    <row r="2145">
      <c r="A2145" s="4">
        <v>2143.0</v>
      </c>
      <c r="B2145" s="5" t="s">
        <v>6436</v>
      </c>
      <c r="C2145" s="4">
        <v>1.0</v>
      </c>
      <c r="D2145" s="5" t="s">
        <v>6437</v>
      </c>
      <c r="E2145" s="5" t="s">
        <v>6438</v>
      </c>
      <c r="F2145" s="6" t="str">
        <f>IFERROR(__xludf.DUMMYFUNCTION("GOOGLETRANSLATE(D2145,""en"",""it"")"),"Mi piace anche il jazz e il cibo.")</f>
        <v>Mi piace anche il jazz e il cibo.</v>
      </c>
      <c r="G2145" s="6" t="str">
        <f>IFERROR(__xludf.DUMMYFUNCTION("GOOGLETRANSLATE(E2145,""fr"",""it"")"),"Apprezzo il jazz e anche gli alimenti.")</f>
        <v>Apprezzo il jazz e anche gli alimenti.</v>
      </c>
    </row>
    <row r="2146">
      <c r="A2146" s="4">
        <v>2144.0</v>
      </c>
      <c r="B2146" s="5" t="s">
        <v>6439</v>
      </c>
      <c r="C2146" s="4">
        <v>1.0</v>
      </c>
      <c r="D2146" s="5" t="s">
        <v>6440</v>
      </c>
      <c r="E2146" s="5" t="s">
        <v>6441</v>
      </c>
      <c r="F2146" s="6" t="str">
        <f>IFERROR(__xludf.DUMMYFUNCTION("GOOGLETRANSLATE(D2146,""en"",""it"")"),"Mi piace anche il cibo e il jazz.")</f>
        <v>Mi piace anche il cibo e il jazz.</v>
      </c>
      <c r="G2146" s="6" t="str">
        <f>IFERROR(__xludf.DUMMYFUNCTION("GOOGLETRANSLATE(E2146,""fr"",""it"")"),"Apprezzo il cibo e anche il jazz.")</f>
        <v>Apprezzo il cibo e anche il jazz.</v>
      </c>
    </row>
    <row r="2147">
      <c r="A2147" s="4">
        <v>2145.0</v>
      </c>
      <c r="B2147" s="5" t="s">
        <v>6442</v>
      </c>
      <c r="C2147" s="4">
        <v>1.0</v>
      </c>
      <c r="D2147" s="5" t="s">
        <v>6443</v>
      </c>
      <c r="E2147" s="5" t="s">
        <v>6444</v>
      </c>
      <c r="F2147" s="6" t="str">
        <f>IFERROR(__xludf.DUMMYFUNCTION("GOOGLETRANSLATE(D2147,""en"",""it"")"),"Mi piace anche il jazz e i gioielli.")</f>
        <v>Mi piace anche il jazz e i gioielli.</v>
      </c>
      <c r="G2147" s="6" t="str">
        <f>IFERROR(__xludf.DUMMYFUNCTION("GOOGLETRANSLATE(E2147,""fr"",""it"")"),"Apprezzo il jazz, e anche gioielli.")</f>
        <v>Apprezzo il jazz, e anche gioielli.</v>
      </c>
    </row>
    <row r="2148">
      <c r="A2148" s="4">
        <v>2146.0</v>
      </c>
      <c r="B2148" s="5" t="s">
        <v>6445</v>
      </c>
      <c r="C2148" s="4">
        <v>1.0</v>
      </c>
      <c r="D2148" s="5" t="s">
        <v>6446</v>
      </c>
      <c r="E2148" s="5" t="s">
        <v>6447</v>
      </c>
      <c r="F2148" s="6" t="str">
        <f>IFERROR(__xludf.DUMMYFUNCTION("GOOGLETRANSLATE(D2148,""en"",""it"")"),"Mi piacciono anche i gioielli e il jazz.")</f>
        <v>Mi piacciono anche i gioielli e il jazz.</v>
      </c>
      <c r="G2148" s="6" t="str">
        <f>IFERROR(__xludf.DUMMYFUNCTION("GOOGLETRANSLATE(E2148,""fr"",""it"")"),"Apprezzo i gioielli e anche il jazz.")</f>
        <v>Apprezzo i gioielli e anche il jazz.</v>
      </c>
    </row>
    <row r="2149">
      <c r="A2149" s="4">
        <v>2147.0</v>
      </c>
      <c r="B2149" s="5" t="s">
        <v>6448</v>
      </c>
      <c r="C2149" s="4">
        <v>1.0</v>
      </c>
      <c r="D2149" s="5" t="s">
        <v>6449</v>
      </c>
      <c r="E2149" s="5" t="s">
        <v>6450</v>
      </c>
      <c r="F2149" s="6" t="str">
        <f>IFERROR(__xludf.DUMMYFUNCTION("GOOGLETRANSLATE(D2149,""en"",""it"")"),"Mi piace anche Techno e anche lo sport.")</f>
        <v>Mi piace anche Techno e anche lo sport.</v>
      </c>
      <c r="G2149" s="6" t="str">
        <f>IFERROR(__xludf.DUMMYFUNCTION("GOOGLETRANSLATE(E2149,""fr"",""it"")"),"Apprezzo il Techno e anche gli sport.")</f>
        <v>Apprezzo il Techno e anche gli sport.</v>
      </c>
    </row>
    <row r="2150">
      <c r="A2150" s="4">
        <v>2148.0</v>
      </c>
      <c r="B2150" s="5" t="s">
        <v>6451</v>
      </c>
      <c r="C2150" s="4">
        <v>1.0</v>
      </c>
      <c r="D2150" s="5" t="s">
        <v>6452</v>
      </c>
      <c r="E2150" s="5" t="s">
        <v>6453</v>
      </c>
      <c r="F2150" s="6" t="str">
        <f>IFERROR(__xludf.DUMMYFUNCTION("GOOGLETRANSLATE(D2150,""en"",""it"")"),"Mi piacciono gli sport e anche techno.")</f>
        <v>Mi piacciono gli sport e anche techno.</v>
      </c>
      <c r="G2150" s="6" t="str">
        <f>IFERROR(__xludf.DUMMYFUNCTION("GOOGLETRANSLATE(E2150,""fr"",""it"")"),"Apprezzo gli sport e anche Techno.")</f>
        <v>Apprezzo gli sport e anche Techno.</v>
      </c>
    </row>
    <row r="2151">
      <c r="A2151" s="4">
        <v>2149.0</v>
      </c>
      <c r="B2151" s="5" t="s">
        <v>6454</v>
      </c>
      <c r="C2151" s="4">
        <v>0.0</v>
      </c>
      <c r="D2151" s="5" t="s">
        <v>6455</v>
      </c>
      <c r="E2151" s="5" t="s">
        <v>6456</v>
      </c>
      <c r="F2151" s="6" t="str">
        <f>IFERROR(__xludf.DUMMYFUNCTION("GOOGLETRANSLATE(D2151,""en"",""it"")"),"Mi piace anche Techno e anche la musica.")</f>
        <v>Mi piace anche Techno e anche la musica.</v>
      </c>
      <c r="G2151" s="6" t="str">
        <f>IFERROR(__xludf.DUMMYFUNCTION("GOOGLETRANSLATE(E2151,""fr"",""it"")"),"Apprezzo il Techno, e anche la musica.")</f>
        <v>Apprezzo il Techno, e anche la musica.</v>
      </c>
    </row>
    <row r="2152">
      <c r="A2152" s="4">
        <v>2150.0</v>
      </c>
      <c r="B2152" s="5" t="s">
        <v>6457</v>
      </c>
      <c r="C2152" s="4">
        <v>0.0</v>
      </c>
      <c r="D2152" s="5" t="s">
        <v>6458</v>
      </c>
      <c r="E2152" s="5" t="s">
        <v>6459</v>
      </c>
      <c r="F2152" s="6" t="str">
        <f>IFERROR(__xludf.DUMMYFUNCTION("GOOGLETRANSLATE(D2152,""en"",""it"")"),"Mi piace anche la musica e il techno.")</f>
        <v>Mi piace anche la musica e il techno.</v>
      </c>
      <c r="G2152" s="6" t="str">
        <f>IFERROR(__xludf.DUMMYFUNCTION("GOOGLETRANSLATE(E2152,""fr"",""it"")"),"Apprezzo la musica e anche Techno.")</f>
        <v>Apprezzo la musica e anche Techno.</v>
      </c>
    </row>
    <row r="2153">
      <c r="A2153" s="4">
        <v>2151.0</v>
      </c>
      <c r="B2153" s="5" t="s">
        <v>6460</v>
      </c>
      <c r="C2153" s="4">
        <v>1.0</v>
      </c>
      <c r="D2153" s="5" t="s">
        <v>6461</v>
      </c>
      <c r="E2153" s="5" t="s">
        <v>6462</v>
      </c>
      <c r="F2153" s="6" t="str">
        <f>IFERROR(__xludf.DUMMYFUNCTION("GOOGLETRANSLATE(D2153,""en"",""it"")"),"Mi piace anche Techno e Boardgames.")</f>
        <v>Mi piace anche Techno e Boardgames.</v>
      </c>
      <c r="G2153" s="6" t="str">
        <f>IFERROR(__xludf.DUMMYFUNCTION("GOOGLETRANSLATE(E2153,""fr"",""it"")"),"Apprezzo il Techno, e anche i giochi da tavolo.")</f>
        <v>Apprezzo il Techno, e anche i giochi da tavolo.</v>
      </c>
    </row>
    <row r="2154">
      <c r="A2154" s="4">
        <v>2152.0</v>
      </c>
      <c r="B2154" s="5" t="s">
        <v>6463</v>
      </c>
      <c r="C2154" s="4">
        <v>1.0</v>
      </c>
      <c r="D2154" s="5" t="s">
        <v>6464</v>
      </c>
      <c r="E2154" s="5" t="s">
        <v>6465</v>
      </c>
      <c r="F2154" s="6" t="str">
        <f>IFERROR(__xludf.DUMMYFUNCTION("GOOGLETRANSLATE(D2154,""en"",""it"")"),"Mi piacciono i Boardgames e anche Techno.")</f>
        <v>Mi piacciono i Boardgames e anche Techno.</v>
      </c>
      <c r="G2154" s="6" t="str">
        <f>IFERROR(__xludf.DUMMYFUNCTION("GOOGLETRANSLATE(E2154,""fr"",""it"")"),"Apprezzo i giochi da tavolo, e anche il Techno.")</f>
        <v>Apprezzo i giochi da tavolo, e anche il Techno.</v>
      </c>
    </row>
    <row r="2155">
      <c r="A2155" s="4">
        <v>2153.0</v>
      </c>
      <c r="B2155" s="5" t="s">
        <v>6466</v>
      </c>
      <c r="C2155" s="4">
        <v>1.0</v>
      </c>
      <c r="D2155" s="5" t="s">
        <v>6467</v>
      </c>
      <c r="E2155" s="5" t="s">
        <v>6468</v>
      </c>
      <c r="F2155" s="6" t="str">
        <f>IFERROR(__xludf.DUMMYFUNCTION("GOOGLETRANSLATE(D2155,""en"",""it"")"),"Mi piace anche Techno e anche il cibo.")</f>
        <v>Mi piace anche Techno e anche il cibo.</v>
      </c>
      <c r="G2155" s="6" t="str">
        <f>IFERROR(__xludf.DUMMYFUNCTION("GOOGLETRANSLATE(E2155,""fr"",""it"")"),"Apprezzo il techno e anche gli alimenti.")</f>
        <v>Apprezzo il techno e anche gli alimenti.</v>
      </c>
    </row>
    <row r="2156">
      <c r="A2156" s="4">
        <v>2154.0</v>
      </c>
      <c r="B2156" s="5" t="s">
        <v>6469</v>
      </c>
      <c r="C2156" s="4">
        <v>1.0</v>
      </c>
      <c r="D2156" s="5" t="s">
        <v>6470</v>
      </c>
      <c r="E2156" s="5" t="s">
        <v>6471</v>
      </c>
      <c r="F2156" s="6" t="str">
        <f>IFERROR(__xludf.DUMMYFUNCTION("GOOGLETRANSLATE(D2156,""en"",""it"")"),"Mi piace anche il cibo e il techno.")</f>
        <v>Mi piace anche il cibo e il techno.</v>
      </c>
      <c r="G2156" s="6" t="str">
        <f>IFERROR(__xludf.DUMMYFUNCTION("GOOGLETRANSLATE(E2156,""fr"",""it"")"),"Apprezzo il cibo e anche techno.")</f>
        <v>Apprezzo il cibo e anche techno.</v>
      </c>
    </row>
    <row r="2157">
      <c r="A2157" s="4">
        <v>2155.0</v>
      </c>
      <c r="B2157" s="5" t="s">
        <v>6472</v>
      </c>
      <c r="C2157" s="4">
        <v>1.0</v>
      </c>
      <c r="D2157" s="5" t="s">
        <v>6473</v>
      </c>
      <c r="E2157" s="5" t="s">
        <v>6474</v>
      </c>
      <c r="F2157" s="6" t="str">
        <f>IFERROR(__xludf.DUMMYFUNCTION("GOOGLETRANSLATE(D2157,""en"",""it"")"),"Mi piace anche techno e gioielli.")</f>
        <v>Mi piace anche techno e gioielli.</v>
      </c>
      <c r="G2157" s="6" t="str">
        <f>IFERROR(__xludf.DUMMYFUNCTION("GOOGLETRANSLATE(E2157,""fr"",""it"")"),"Apprezzo il Techno, e anche gioielli.")</f>
        <v>Apprezzo il Techno, e anche gioielli.</v>
      </c>
    </row>
    <row r="2158">
      <c r="A2158" s="4">
        <v>2156.0</v>
      </c>
      <c r="B2158" s="5" t="s">
        <v>6475</v>
      </c>
      <c r="C2158" s="4">
        <v>1.0</v>
      </c>
      <c r="D2158" s="5" t="s">
        <v>6476</v>
      </c>
      <c r="E2158" s="5" t="s">
        <v>6477</v>
      </c>
      <c r="F2158" s="6" t="str">
        <f>IFERROR(__xludf.DUMMYFUNCTION("GOOGLETRANSLATE(D2158,""en"",""it"")"),"Mi piacciono anche i gioielli e il techno.")</f>
        <v>Mi piacciono anche i gioielli e il techno.</v>
      </c>
      <c r="G2158" s="6" t="str">
        <f>IFERROR(__xludf.DUMMYFUNCTION("GOOGLETRANSLATE(E2158,""fr"",""it"")"),"Apprezzo gioielli e anche techno.")</f>
        <v>Apprezzo gioielli e anche techno.</v>
      </c>
    </row>
    <row r="2159">
      <c r="A2159" s="4">
        <v>2157.0</v>
      </c>
      <c r="B2159" s="5" t="s">
        <v>6478</v>
      </c>
      <c r="C2159" s="4">
        <v>1.0</v>
      </c>
      <c r="D2159" s="5" t="s">
        <v>6479</v>
      </c>
      <c r="E2159" s="5" t="s">
        <v>6480</v>
      </c>
      <c r="F2159" s="6" t="str">
        <f>IFERROR(__xludf.DUMMYFUNCTION("GOOGLETRANSLATE(D2159,""en"",""it"")"),"Mi piacciono anche il blues e lo sport.")</f>
        <v>Mi piacciono anche il blues e lo sport.</v>
      </c>
      <c r="G2159" s="6" t="str">
        <f>IFERROR(__xludf.DUMMYFUNCTION("GOOGLETRANSLATE(E2159,""fr"",""it"")"),"Apprezzo il blues e anche gli sport.")</f>
        <v>Apprezzo il blues e anche gli sport.</v>
      </c>
    </row>
    <row r="2160">
      <c r="A2160" s="4">
        <v>2158.0</v>
      </c>
      <c r="B2160" s="5" t="s">
        <v>6481</v>
      </c>
      <c r="C2160" s="4">
        <v>1.0</v>
      </c>
      <c r="D2160" s="5" t="s">
        <v>6482</v>
      </c>
      <c r="E2160" s="5" t="s">
        <v>6483</v>
      </c>
      <c r="F2160" s="6" t="str">
        <f>IFERROR(__xludf.DUMMYFUNCTION("GOOGLETRANSLATE(D2160,""en"",""it"")"),"Mi piacciono anche gli sport e il blues.")</f>
        <v>Mi piacciono anche gli sport e il blues.</v>
      </c>
      <c r="G2160" s="6" t="str">
        <f>IFERROR(__xludf.DUMMYFUNCTION("GOOGLETRANSLATE(E2160,""fr"",""it"")"),"Apprezzo gli sport, e anche il blues.")</f>
        <v>Apprezzo gli sport, e anche il blues.</v>
      </c>
    </row>
    <row r="2161">
      <c r="A2161" s="4">
        <v>2159.0</v>
      </c>
      <c r="B2161" s="5" t="s">
        <v>6484</v>
      </c>
      <c r="C2161" s="4">
        <v>0.0</v>
      </c>
      <c r="D2161" s="5" t="s">
        <v>6485</v>
      </c>
      <c r="E2161" s="5" t="s">
        <v>6486</v>
      </c>
      <c r="F2161" s="6" t="str">
        <f>IFERROR(__xludf.DUMMYFUNCTION("GOOGLETRANSLATE(D2161,""en"",""it"")"),"Mi piacciono anche il blues e la musica.")</f>
        <v>Mi piacciono anche il blues e la musica.</v>
      </c>
      <c r="G2161" s="6" t="str">
        <f>IFERROR(__xludf.DUMMYFUNCTION("GOOGLETRANSLATE(E2161,""fr"",""it"")"),"Apprezzo il blues e anche la musica.")</f>
        <v>Apprezzo il blues e anche la musica.</v>
      </c>
    </row>
    <row r="2162">
      <c r="A2162" s="4">
        <v>2160.0</v>
      </c>
      <c r="B2162" s="5" t="s">
        <v>6487</v>
      </c>
      <c r="C2162" s="4">
        <v>0.0</v>
      </c>
      <c r="D2162" s="5" t="s">
        <v>6488</v>
      </c>
      <c r="E2162" s="5" t="s">
        <v>6489</v>
      </c>
      <c r="F2162" s="6" t="str">
        <f>IFERROR(__xludf.DUMMYFUNCTION("GOOGLETRANSLATE(D2162,""en"",""it"")"),"Mi piace anche la musica e il blues.")</f>
        <v>Mi piace anche la musica e il blues.</v>
      </c>
      <c r="G2162" s="6" t="str">
        <f>IFERROR(__xludf.DUMMYFUNCTION("GOOGLETRANSLATE(E2162,""fr"",""it"")"),"Apprezzo la musica e anche il blues.")</f>
        <v>Apprezzo la musica e anche il blues.</v>
      </c>
    </row>
    <row r="2163">
      <c r="A2163" s="4">
        <v>2161.0</v>
      </c>
      <c r="B2163" s="5" t="s">
        <v>6490</v>
      </c>
      <c r="C2163" s="4">
        <v>1.0</v>
      </c>
      <c r="D2163" s="5" t="s">
        <v>6491</v>
      </c>
      <c r="E2163" s="5" t="s">
        <v>6492</v>
      </c>
      <c r="F2163" s="6" t="str">
        <f>IFERROR(__xludf.DUMMYFUNCTION("GOOGLETRANSLATE(D2163,""en"",""it"")"),"Mi piacciono il blues e i tavolini anche.")</f>
        <v>Mi piacciono il blues e i tavolini anche.</v>
      </c>
      <c r="G2163" s="6" t="str">
        <f>IFERROR(__xludf.DUMMYFUNCTION("GOOGLETRANSLATE(E2163,""fr"",""it"")"),"Apprezzo il Blues, e anche i giochi da tavolo.")</f>
        <v>Apprezzo il Blues, e anche i giochi da tavolo.</v>
      </c>
    </row>
    <row r="2164">
      <c r="A2164" s="4">
        <v>2162.0</v>
      </c>
      <c r="B2164" s="5" t="s">
        <v>6493</v>
      </c>
      <c r="C2164" s="4">
        <v>1.0</v>
      </c>
      <c r="D2164" s="5" t="s">
        <v>6494</v>
      </c>
      <c r="E2164" s="5" t="s">
        <v>6495</v>
      </c>
      <c r="F2164" s="6" t="str">
        <f>IFERROR(__xludf.DUMMYFUNCTION("GOOGLETRANSLATE(D2164,""en"",""it"")"),"Mi piacciono anche i boardgames e Blues.")</f>
        <v>Mi piacciono anche i boardgames e Blues.</v>
      </c>
      <c r="G2164" s="6" t="str">
        <f>IFERROR(__xludf.DUMMYFUNCTION("GOOGLETRANSLATE(E2164,""fr"",""it"")"),"Apprezzo i giochi da tavolo, e anche il blues.")</f>
        <v>Apprezzo i giochi da tavolo, e anche il blues.</v>
      </c>
    </row>
    <row r="2165">
      <c r="A2165" s="4">
        <v>2163.0</v>
      </c>
      <c r="B2165" s="5" t="s">
        <v>6496</v>
      </c>
      <c r="C2165" s="4">
        <v>1.0</v>
      </c>
      <c r="D2165" s="5" t="s">
        <v>6497</v>
      </c>
      <c r="E2165" s="5" t="s">
        <v>6498</v>
      </c>
      <c r="F2165" s="6" t="str">
        <f>IFERROR(__xludf.DUMMYFUNCTION("GOOGLETRANSLATE(D2165,""en"",""it"")"),"Mi piacciono anche il blues e il cibo.")</f>
        <v>Mi piacciono anche il blues e il cibo.</v>
      </c>
      <c r="G2165" s="6" t="str">
        <f>IFERROR(__xludf.DUMMYFUNCTION("GOOGLETRANSLATE(E2165,""fr"",""it"")"),"Apprezzo il blues e anche gli alimenti.")</f>
        <v>Apprezzo il blues e anche gli alimenti.</v>
      </c>
    </row>
    <row r="2166">
      <c r="A2166" s="4">
        <v>2164.0</v>
      </c>
      <c r="B2166" s="5" t="s">
        <v>6499</v>
      </c>
      <c r="C2166" s="4">
        <v>1.0</v>
      </c>
      <c r="D2166" s="5" t="s">
        <v>6500</v>
      </c>
      <c r="E2166" s="5" t="s">
        <v>6501</v>
      </c>
      <c r="F2166" s="6" t="str">
        <f>IFERROR(__xludf.DUMMYFUNCTION("GOOGLETRANSLATE(D2166,""en"",""it"")"),"Mi piace anche il cibo e il blues.")</f>
        <v>Mi piace anche il cibo e il blues.</v>
      </c>
      <c r="G2166" s="6" t="str">
        <f>IFERROR(__xludf.DUMMYFUNCTION("GOOGLETRANSLATE(E2166,""fr"",""it"")"),"Apprezzo il cibo, e anche il blues.")</f>
        <v>Apprezzo il cibo, e anche il blues.</v>
      </c>
    </row>
    <row r="2167">
      <c r="A2167" s="4">
        <v>2165.0</v>
      </c>
      <c r="B2167" s="5" t="s">
        <v>6502</v>
      </c>
      <c r="C2167" s="4">
        <v>1.0</v>
      </c>
      <c r="D2167" s="5" t="s">
        <v>6503</v>
      </c>
      <c r="E2167" s="5" t="s">
        <v>6504</v>
      </c>
      <c r="F2167" s="6" t="str">
        <f>IFERROR(__xludf.DUMMYFUNCTION("GOOGLETRANSLATE(D2167,""en"",""it"")"),"Mi piacciono anche il blues e i gioielli.")</f>
        <v>Mi piacciono anche il blues e i gioielli.</v>
      </c>
      <c r="G2167" s="6" t="str">
        <f>IFERROR(__xludf.DUMMYFUNCTION("GOOGLETRANSLATE(E2167,""fr"",""it"")"),"Apprezzo il blues e anche gioielli.")</f>
        <v>Apprezzo il blues e anche gioielli.</v>
      </c>
    </row>
    <row r="2168">
      <c r="A2168" s="4">
        <v>2166.0</v>
      </c>
      <c r="B2168" s="5" t="s">
        <v>6505</v>
      </c>
      <c r="C2168" s="4">
        <v>1.0</v>
      </c>
      <c r="D2168" s="5" t="s">
        <v>6506</v>
      </c>
      <c r="E2168" s="5" t="s">
        <v>6507</v>
      </c>
      <c r="F2168" s="6" t="str">
        <f>IFERROR(__xludf.DUMMYFUNCTION("GOOGLETRANSLATE(D2168,""en"",""it"")"),"Mi piacciono anche i gioielli e il blues.")</f>
        <v>Mi piacciono anche i gioielli e il blues.</v>
      </c>
      <c r="G2168" s="6" t="str">
        <f>IFERROR(__xludf.DUMMYFUNCTION("GOOGLETRANSLATE(E2168,""fr"",""it"")"),"Apprezzo gioielli, e anche il blues.")</f>
        <v>Apprezzo gioielli, e anche il blues.</v>
      </c>
    </row>
    <row r="2169">
      <c r="A2169" s="4">
        <v>2167.0</v>
      </c>
      <c r="B2169" s="5" t="s">
        <v>6508</v>
      </c>
      <c r="C2169" s="4">
        <v>0.0</v>
      </c>
      <c r="D2169" s="5" t="s">
        <v>6509</v>
      </c>
      <c r="E2169" s="5" t="s">
        <v>6510</v>
      </c>
      <c r="F2169" s="6" t="str">
        <f>IFERROR(__xludf.DUMMYFUNCTION("GOOGLETRANSLATE(D2169,""en"",""it"")"),"Mi piace il prosciutto, tranne il pesce.")</f>
        <v>Mi piace il prosciutto, tranne il pesce.</v>
      </c>
      <c r="G2169" s="6" t="str">
        <f>IFERROR(__xludf.DUMMYFUNCTION("GOOGLETRANSLATE(E2169,""fr"",""it"")"),"Adoro il prosciutto tranne il pesce.")</f>
        <v>Adoro il prosciutto tranne il pesce.</v>
      </c>
    </row>
    <row r="2170">
      <c r="A2170" s="4">
        <v>2168.0</v>
      </c>
      <c r="B2170" s="5" t="s">
        <v>6511</v>
      </c>
      <c r="C2170" s="4">
        <v>0.0</v>
      </c>
      <c r="D2170" s="5" t="s">
        <v>6512</v>
      </c>
      <c r="E2170" s="5" t="s">
        <v>6513</v>
      </c>
      <c r="F2170" s="6" t="str">
        <f>IFERROR(__xludf.DUMMYFUNCTION("GOOGLETRANSLATE(D2170,""en"",""it"")"),"Mi piace il pesce, tranne il prosciutto.")</f>
        <v>Mi piace il pesce, tranne il prosciutto.</v>
      </c>
      <c r="G2170" s="6" t="str">
        <f>IFERROR(__xludf.DUMMYFUNCTION("GOOGLETRANSLATE(E2170,""fr"",""it"")"),"Amo il pesce tranne il prosciutto.")</f>
        <v>Amo il pesce tranne il prosciutto.</v>
      </c>
    </row>
    <row r="2171">
      <c r="A2171" s="4">
        <v>2169.0</v>
      </c>
      <c r="B2171" s="5" t="s">
        <v>6514</v>
      </c>
      <c r="C2171" s="4">
        <v>0.0</v>
      </c>
      <c r="D2171" s="5" t="s">
        <v>6515</v>
      </c>
      <c r="E2171" s="5" t="s">
        <v>6516</v>
      </c>
      <c r="F2171" s="6" t="str">
        <f>IFERROR(__xludf.DUMMYFUNCTION("GOOGLETRANSLATE(D2171,""en"",""it"")"),"Mi piace il prosciutto, tranne il maiale.")</f>
        <v>Mi piace il prosciutto, tranne il maiale.</v>
      </c>
      <c r="G2171" s="6" t="str">
        <f>IFERROR(__xludf.DUMMYFUNCTION("GOOGLETRANSLATE(E2171,""fr"",""it"")"),"Adoro il prosciutto tranne il maiale.")</f>
        <v>Adoro il prosciutto tranne il maiale.</v>
      </c>
    </row>
    <row r="2172">
      <c r="A2172" s="4">
        <v>2170.0</v>
      </c>
      <c r="B2172" s="5" t="s">
        <v>6517</v>
      </c>
      <c r="C2172" s="4">
        <v>1.0</v>
      </c>
      <c r="D2172" s="5" t="s">
        <v>6518</v>
      </c>
      <c r="E2172" s="5" t="s">
        <v>6519</v>
      </c>
      <c r="F2172" s="6" t="str">
        <f>IFERROR(__xludf.DUMMYFUNCTION("GOOGLETRANSLATE(D2172,""en"",""it"")"),"Mi piace il maiale, tranne il prosciutto.")</f>
        <v>Mi piace il maiale, tranne il prosciutto.</v>
      </c>
      <c r="G2172" s="6" t="str">
        <f>IFERROR(__xludf.DUMMYFUNCTION("GOOGLETRANSLATE(E2172,""fr"",""it"")"),"Amo il maiale, tranne il prosciutto.")</f>
        <v>Amo il maiale, tranne il prosciutto.</v>
      </c>
    </row>
    <row r="2173">
      <c r="A2173" s="4">
        <v>2171.0</v>
      </c>
      <c r="B2173" s="5" t="s">
        <v>6520</v>
      </c>
      <c r="C2173" s="4">
        <v>0.0</v>
      </c>
      <c r="D2173" s="5" t="s">
        <v>6521</v>
      </c>
      <c r="E2173" s="5" t="s">
        <v>6522</v>
      </c>
      <c r="F2173" s="6" t="str">
        <f>IFERROR(__xludf.DUMMYFUNCTION("GOOGLETRANSLATE(D2173,""en"",""it"")"),"Mi piace il maiale, tranne il pesce.")</f>
        <v>Mi piace il maiale, tranne il pesce.</v>
      </c>
      <c r="G2173" s="6" t="str">
        <f>IFERROR(__xludf.DUMMYFUNCTION("GOOGLETRANSLATE(E2173,""fr"",""it"")"),"Amo il maiale, tranne il pesce.")</f>
        <v>Amo il maiale, tranne il pesce.</v>
      </c>
    </row>
    <row r="2174">
      <c r="A2174" s="4">
        <v>2172.0</v>
      </c>
      <c r="B2174" s="5" t="s">
        <v>6523</v>
      </c>
      <c r="C2174" s="4">
        <v>0.0</v>
      </c>
      <c r="D2174" s="5" t="s">
        <v>6524</v>
      </c>
      <c r="E2174" s="5" t="s">
        <v>6525</v>
      </c>
      <c r="F2174" s="6" t="str">
        <f>IFERROR(__xludf.DUMMYFUNCTION("GOOGLETRANSLATE(D2174,""en"",""it"")"),"Mi piace il prosciutto, tranne i broccoli.")</f>
        <v>Mi piace il prosciutto, tranne i broccoli.</v>
      </c>
      <c r="G2174" s="6" t="str">
        <f>IFERROR(__xludf.DUMMYFUNCTION("GOOGLETRANSLATE(E2174,""fr"",""it"")"),"Adoro il prosciutto tranne i broccoli.")</f>
        <v>Adoro il prosciutto tranne i broccoli.</v>
      </c>
    </row>
    <row r="2175">
      <c r="A2175" s="4">
        <v>2173.0</v>
      </c>
      <c r="B2175" s="5" t="s">
        <v>6526</v>
      </c>
      <c r="C2175" s="4">
        <v>0.0</v>
      </c>
      <c r="D2175" s="5" t="s">
        <v>6527</v>
      </c>
      <c r="E2175" s="5" t="s">
        <v>6528</v>
      </c>
      <c r="F2175" s="6" t="str">
        <f>IFERROR(__xludf.DUMMYFUNCTION("GOOGLETRANSLATE(D2175,""en"",""it"")"),"Mi piacciono i broccoli, tranne il prosciutto.")</f>
        <v>Mi piacciono i broccoli, tranne il prosciutto.</v>
      </c>
      <c r="G2175" s="6" t="str">
        <f>IFERROR(__xludf.DUMMYFUNCTION("GOOGLETRANSLATE(E2175,""fr"",""it"")"),"Adoro i broccoli tranne il prosciutto.")</f>
        <v>Adoro i broccoli tranne il prosciutto.</v>
      </c>
    </row>
    <row r="2176">
      <c r="A2176" s="4">
        <v>2174.0</v>
      </c>
      <c r="B2176" s="5" t="s">
        <v>6529</v>
      </c>
      <c r="C2176" s="4">
        <v>1.0</v>
      </c>
      <c r="D2176" s="5" t="s">
        <v>6530</v>
      </c>
      <c r="E2176" s="5" t="s">
        <v>6531</v>
      </c>
      <c r="F2176" s="6" t="str">
        <f>IFERROR(__xludf.DUMMYFUNCTION("GOOGLETRANSLATE(D2176,""en"",""it"")"),"Mi piace anche il prosciutto e il pesce.")</f>
        <v>Mi piace anche il prosciutto e il pesce.</v>
      </c>
      <c r="G2176" s="6" t="str">
        <f>IFERROR(__xludf.DUMMYFUNCTION("GOOGLETRANSLATE(E2176,""fr"",""it"")"),"Amo il prosciutto, e anche il pesce.")</f>
        <v>Amo il prosciutto, e anche il pesce.</v>
      </c>
    </row>
    <row r="2177">
      <c r="A2177" s="4">
        <v>2175.0</v>
      </c>
      <c r="B2177" s="5" t="s">
        <v>6532</v>
      </c>
      <c r="C2177" s="4">
        <v>1.0</v>
      </c>
      <c r="D2177" s="5" t="s">
        <v>6533</v>
      </c>
      <c r="E2177" s="5" t="s">
        <v>6534</v>
      </c>
      <c r="F2177" s="6" t="str">
        <f>IFERROR(__xludf.DUMMYFUNCTION("GOOGLETRANSLATE(D2177,""en"",""it"")"),"Mi piace anche il pesce e il prosciutto.")</f>
        <v>Mi piace anche il pesce e il prosciutto.</v>
      </c>
      <c r="G2177" s="6" t="str">
        <f>IFERROR(__xludf.DUMMYFUNCTION("GOOGLETRANSLATE(E2177,""fr"",""it"")"),"Mi piacciono i pesci e anche il prosciutto.")</f>
        <v>Mi piacciono i pesci e anche il prosciutto.</v>
      </c>
    </row>
    <row r="2178">
      <c r="A2178" s="4">
        <v>2176.0</v>
      </c>
      <c r="B2178" s="5" t="s">
        <v>6535</v>
      </c>
      <c r="C2178" s="4">
        <v>0.0</v>
      </c>
      <c r="D2178" s="5" t="s">
        <v>6536</v>
      </c>
      <c r="E2178" s="5" t="s">
        <v>6537</v>
      </c>
      <c r="F2178" s="6" t="str">
        <f>IFERROR(__xludf.DUMMYFUNCTION("GOOGLETRANSLATE(D2178,""en"",""it"")"),"Mi piace anche il prosciutto e la carne di maiale.")</f>
        <v>Mi piace anche il prosciutto e la carne di maiale.</v>
      </c>
      <c r="G2178" s="6" t="str">
        <f>IFERROR(__xludf.DUMMYFUNCTION("GOOGLETRANSLATE(E2178,""fr"",""it"")"),"Adoro il prosciutto e anche il maiale.")</f>
        <v>Adoro il prosciutto e anche il maiale.</v>
      </c>
    </row>
    <row r="2179">
      <c r="A2179" s="4">
        <v>2177.0</v>
      </c>
      <c r="B2179" s="5" t="s">
        <v>6538</v>
      </c>
      <c r="C2179" s="4">
        <v>0.0</v>
      </c>
      <c r="D2179" s="5" t="s">
        <v>6539</v>
      </c>
      <c r="E2179" s="5" t="s">
        <v>6540</v>
      </c>
      <c r="F2179" s="6" t="str">
        <f>IFERROR(__xludf.DUMMYFUNCTION("GOOGLETRANSLATE(D2179,""en"",""it"")"),"Mi piace anche il maiale e il prosciutto.")</f>
        <v>Mi piace anche il maiale e il prosciutto.</v>
      </c>
      <c r="G2179" s="6" t="str">
        <f>IFERROR(__xludf.DUMMYFUNCTION("GOOGLETRANSLATE(E2179,""fr"",""it"")"),"Amo il maiale e anche il prosciutto.")</f>
        <v>Amo il maiale e anche il prosciutto.</v>
      </c>
    </row>
    <row r="2180">
      <c r="A2180" s="4">
        <v>2178.0</v>
      </c>
      <c r="B2180" s="5" t="s">
        <v>6541</v>
      </c>
      <c r="C2180" s="4">
        <v>1.0</v>
      </c>
      <c r="D2180" s="5" t="s">
        <v>6542</v>
      </c>
      <c r="E2180" s="5" t="s">
        <v>6543</v>
      </c>
      <c r="F2180" s="6" t="str">
        <f>IFERROR(__xludf.DUMMYFUNCTION("GOOGLETRANSLATE(D2180,""en"",""it"")"),"Mi piace anche il maiale e il pesce.")</f>
        <v>Mi piace anche il maiale e il pesce.</v>
      </c>
      <c r="G2180" s="6" t="str">
        <f>IFERROR(__xludf.DUMMYFUNCTION("GOOGLETRANSLATE(E2180,""fr"",""it"")"),"Amo il maiale e anche il pesce.")</f>
        <v>Amo il maiale e anche il pesce.</v>
      </c>
    </row>
    <row r="2181">
      <c r="A2181" s="4">
        <v>2179.0</v>
      </c>
      <c r="B2181" s="5" t="s">
        <v>6544</v>
      </c>
      <c r="C2181" s="4">
        <v>1.0</v>
      </c>
      <c r="D2181" s="5" t="s">
        <v>6545</v>
      </c>
      <c r="E2181" s="5" t="s">
        <v>6546</v>
      </c>
      <c r="F2181" s="6" t="str">
        <f>IFERROR(__xludf.DUMMYFUNCTION("GOOGLETRANSLATE(D2181,""en"",""it"")"),"Mi piace anche il prosciutto e i broccoli.")</f>
        <v>Mi piace anche il prosciutto e i broccoli.</v>
      </c>
      <c r="G2181" s="6" t="str">
        <f>IFERROR(__xludf.DUMMYFUNCTION("GOOGLETRANSLATE(E2181,""fr"",""it"")"),"Adoro il prosciutto e anche i broccoli.")</f>
        <v>Adoro il prosciutto e anche i broccoli.</v>
      </c>
    </row>
    <row r="2182">
      <c r="A2182" s="4">
        <v>2180.0</v>
      </c>
      <c r="B2182" s="5" t="s">
        <v>6547</v>
      </c>
      <c r="C2182" s="4">
        <v>1.0</v>
      </c>
      <c r="D2182" s="5" t="s">
        <v>6548</v>
      </c>
      <c r="E2182" s="5" t="s">
        <v>6549</v>
      </c>
      <c r="F2182" s="6" t="str">
        <f>IFERROR(__xludf.DUMMYFUNCTION("GOOGLETRANSLATE(D2182,""en"",""it"")"),"Mi piacciono anche i broccoli e il prosciutto.")</f>
        <v>Mi piacciono anche i broccoli e il prosciutto.</v>
      </c>
      <c r="G2182" s="6" t="str">
        <f>IFERROR(__xludf.DUMMYFUNCTION("GOOGLETRANSLATE(E2182,""fr"",""it"")"),"Adoro i broccoli e anche il prosciutto.")</f>
        <v>Adoro i broccoli e anche il prosciutto.</v>
      </c>
    </row>
    <row r="2183">
      <c r="A2183" s="4">
        <v>2181.0</v>
      </c>
      <c r="B2183" s="5" t="s">
        <v>6550</v>
      </c>
      <c r="C2183" s="4">
        <v>1.0</v>
      </c>
      <c r="D2183" s="5" t="s">
        <v>6551</v>
      </c>
      <c r="E2183" s="5" t="s">
        <v>6552</v>
      </c>
      <c r="F2183" s="6" t="str">
        <f>IFERROR(__xludf.DUMMYFUNCTION("GOOGLETRANSLATE(D2183,""en"",""it"")"),"Mi piace anche il maiale e i broccoli.")</f>
        <v>Mi piace anche il maiale e i broccoli.</v>
      </c>
      <c r="G2183" s="6" t="str">
        <f>IFERROR(__xludf.DUMMYFUNCTION("GOOGLETRANSLATE(E2183,""fr"",""it"")"),"Amo la carne di maiale e anche i broccoli.")</f>
        <v>Amo la carne di maiale e anche i broccoli.</v>
      </c>
    </row>
    <row r="2184">
      <c r="A2184" s="4">
        <v>2182.0</v>
      </c>
      <c r="B2184" s="5" t="s">
        <v>6553</v>
      </c>
      <c r="C2184" s="4">
        <v>1.0</v>
      </c>
      <c r="D2184" s="5" t="s">
        <v>6554</v>
      </c>
      <c r="E2184" s="5" t="s">
        <v>6555</v>
      </c>
      <c r="F2184" s="6" t="str">
        <f>IFERROR(__xludf.DUMMYFUNCTION("GOOGLETRANSLATE(D2184,""en"",""it"")"),"Mi piace anche il prosciutto e le mele.")</f>
        <v>Mi piace anche il prosciutto e le mele.</v>
      </c>
      <c r="G2184" s="6" t="str">
        <f>IFERROR(__xludf.DUMMYFUNCTION("GOOGLETRANSLATE(E2184,""fr"",""it"")"),"Amo il prosciutto, e anche le mele.")</f>
        <v>Amo il prosciutto, e anche le mele.</v>
      </c>
    </row>
    <row r="2185">
      <c r="A2185" s="4">
        <v>2183.0</v>
      </c>
      <c r="B2185" s="5" t="s">
        <v>6556</v>
      </c>
      <c r="C2185" s="4">
        <v>1.0</v>
      </c>
      <c r="D2185" s="5" t="s">
        <v>6557</v>
      </c>
      <c r="E2185" s="5" t="s">
        <v>6558</v>
      </c>
      <c r="F2185" s="6" t="str">
        <f>IFERROR(__xludf.DUMMYFUNCTION("GOOGLETRANSLATE(D2185,""en"",""it"")"),"Mi piacciono anche le mele e il prosciutto.")</f>
        <v>Mi piacciono anche le mele e il prosciutto.</v>
      </c>
      <c r="G2185" s="6" t="str">
        <f>IFERROR(__xludf.DUMMYFUNCTION("GOOGLETRANSLATE(E2185,""fr"",""it"")"),"Amo le mele e anche il prosciutto.")</f>
        <v>Amo le mele e anche il prosciutto.</v>
      </c>
    </row>
    <row r="2186">
      <c r="A2186" s="4">
        <v>2184.0</v>
      </c>
      <c r="B2186" s="5" t="s">
        <v>6559</v>
      </c>
      <c r="C2186" s="4">
        <v>1.0</v>
      </c>
      <c r="D2186" s="5" t="s">
        <v>6560</v>
      </c>
      <c r="E2186" s="5" t="s">
        <v>6561</v>
      </c>
      <c r="F2186" s="6" t="str">
        <f>IFERROR(__xludf.DUMMYFUNCTION("GOOGLETRANSLATE(D2186,""en"",""it"")"),"Mi piace anche la carne di maiale e le mele.")</f>
        <v>Mi piace anche la carne di maiale e le mele.</v>
      </c>
      <c r="G2186" s="6" t="str">
        <f>IFERROR(__xludf.DUMMYFUNCTION("GOOGLETRANSLATE(E2186,""fr"",""it"")"),"Mi piace la carne di maiale e anche le mele.")</f>
        <v>Mi piace la carne di maiale e anche le mele.</v>
      </c>
    </row>
    <row r="2187">
      <c r="A2187" s="4">
        <v>2185.0</v>
      </c>
      <c r="B2187" s="5" t="s">
        <v>6562</v>
      </c>
      <c r="C2187" s="4">
        <v>1.0</v>
      </c>
      <c r="D2187" s="5" t="s">
        <v>6563</v>
      </c>
      <c r="E2187" s="5" t="s">
        <v>6564</v>
      </c>
      <c r="F2187" s="6" t="str">
        <f>IFERROR(__xludf.DUMMYFUNCTION("GOOGLETRANSLATE(D2187,""en"",""it"")"),"Mi piace anche il prosciutto e le carote.")</f>
        <v>Mi piace anche il prosciutto e le carote.</v>
      </c>
      <c r="G2187" s="6" t="str">
        <f>IFERROR(__xludf.DUMMYFUNCTION("GOOGLETRANSLATE(E2187,""fr"",""it"")"),"Adoro il prosciutto e anche le carote.")</f>
        <v>Adoro il prosciutto e anche le carote.</v>
      </c>
    </row>
    <row r="2188">
      <c r="A2188" s="4">
        <v>2186.0</v>
      </c>
      <c r="B2188" s="5" t="s">
        <v>6565</v>
      </c>
      <c r="C2188" s="4">
        <v>1.0</v>
      </c>
      <c r="D2188" s="5" t="s">
        <v>6566</v>
      </c>
      <c r="E2188" s="5" t="s">
        <v>6567</v>
      </c>
      <c r="F2188" s="6" t="str">
        <f>IFERROR(__xludf.DUMMYFUNCTION("GOOGLETRANSLATE(D2188,""en"",""it"")"),"Mi piacciono anche le carote e il prosciutto.")</f>
        <v>Mi piacciono anche le carote e il prosciutto.</v>
      </c>
      <c r="G2188" s="6" t="str">
        <f>IFERROR(__xludf.DUMMYFUNCTION("GOOGLETRANSLATE(E2188,""fr"",""it"")"),"Adoro le carote e anche il prosciutto.")</f>
        <v>Adoro le carote e anche il prosciutto.</v>
      </c>
    </row>
    <row r="2189">
      <c r="A2189" s="4">
        <v>2187.0</v>
      </c>
      <c r="B2189" s="5" t="s">
        <v>6568</v>
      </c>
      <c r="C2189" s="4">
        <v>1.0</v>
      </c>
      <c r="D2189" s="5" t="s">
        <v>6569</v>
      </c>
      <c r="E2189" s="5" t="s">
        <v>6570</v>
      </c>
      <c r="F2189" s="6" t="str">
        <f>IFERROR(__xludf.DUMMYFUNCTION("GOOGLETRANSLATE(D2189,""en"",""it"")"),"Mi piace anche la carne di maiale e le carote.")</f>
        <v>Mi piace anche la carne di maiale e le carote.</v>
      </c>
      <c r="G2189" s="6" t="str">
        <f>IFERROR(__xludf.DUMMYFUNCTION("GOOGLETRANSLATE(E2189,""fr"",""it"")"),"Mi piace la carne di maiale e anche le carote.")</f>
        <v>Mi piace la carne di maiale e anche le carote.</v>
      </c>
    </row>
    <row r="2190">
      <c r="A2190" s="4">
        <v>2188.0</v>
      </c>
      <c r="B2190" s="5" t="s">
        <v>6571</v>
      </c>
      <c r="C2190" s="4">
        <v>1.0</v>
      </c>
      <c r="D2190" s="5" t="s">
        <v>6572</v>
      </c>
      <c r="E2190" s="5" t="s">
        <v>6573</v>
      </c>
      <c r="F2190" s="6" t="str">
        <f>IFERROR(__xludf.DUMMYFUNCTION("GOOGLETRANSLATE(D2190,""en"",""it"")"),"Mi piace anche il prosciutto e il pesce.")</f>
        <v>Mi piace anche il prosciutto e il pesce.</v>
      </c>
      <c r="G2190" s="6" t="str">
        <f>IFERROR(__xludf.DUMMYFUNCTION("GOOGLETRANSLATE(E2190,""fr"",""it"")"),"Adoro il prosciutto, e anche il pesce.")</f>
        <v>Adoro il prosciutto, e anche il pesce.</v>
      </c>
    </row>
    <row r="2191">
      <c r="A2191" s="4">
        <v>2189.0</v>
      </c>
      <c r="B2191" s="5" t="s">
        <v>6574</v>
      </c>
      <c r="C2191" s="4">
        <v>1.0</v>
      </c>
      <c r="D2191" s="5" t="s">
        <v>6575</v>
      </c>
      <c r="E2191" s="5" t="s">
        <v>6576</v>
      </c>
      <c r="F2191" s="6" t="str">
        <f>IFERROR(__xludf.DUMMYFUNCTION("GOOGLETRANSLATE(D2191,""en"",""it"")"),"Mi piace anche il pesce e il prosciutto.")</f>
        <v>Mi piace anche il pesce e il prosciutto.</v>
      </c>
      <c r="G2191" s="6" t="str">
        <f>IFERROR(__xludf.DUMMYFUNCTION("GOOGLETRANSLATE(E2191,""fr"",""it"")"),"Amo il pesce, e anche il prosciutto.")</f>
        <v>Amo il pesce, e anche il prosciutto.</v>
      </c>
    </row>
    <row r="2192">
      <c r="A2192" s="4">
        <v>2190.0</v>
      </c>
      <c r="B2192" s="5" t="s">
        <v>6577</v>
      </c>
      <c r="C2192" s="4">
        <v>0.0</v>
      </c>
      <c r="D2192" s="5" t="s">
        <v>6578</v>
      </c>
      <c r="E2192" s="5" t="s">
        <v>6579</v>
      </c>
      <c r="F2192" s="6" t="str">
        <f>IFERROR(__xludf.DUMMYFUNCTION("GOOGLETRANSLATE(D2192,""en"",""it"")"),"Mi piace anche il prosciutto e la carne di maiale.")</f>
        <v>Mi piace anche il prosciutto e la carne di maiale.</v>
      </c>
      <c r="G2192" s="6" t="str">
        <f>IFERROR(__xludf.DUMMYFUNCTION("GOOGLETRANSLATE(E2192,""fr"",""it"")"),"Amo il prosciutto, e anche il maiale.")</f>
        <v>Amo il prosciutto, e anche il maiale.</v>
      </c>
    </row>
    <row r="2193">
      <c r="A2193" s="4">
        <v>2191.0</v>
      </c>
      <c r="B2193" s="5" t="s">
        <v>6580</v>
      </c>
      <c r="C2193" s="4">
        <v>0.0</v>
      </c>
      <c r="D2193" s="5" t="s">
        <v>6581</v>
      </c>
      <c r="E2193" s="5" t="s">
        <v>6582</v>
      </c>
      <c r="F2193" s="6" t="str">
        <f>IFERROR(__xludf.DUMMYFUNCTION("GOOGLETRANSLATE(D2193,""en"",""it"")"),"Mi piace anche il maiale e il prosciutto.")</f>
        <v>Mi piace anche il maiale e il prosciutto.</v>
      </c>
      <c r="G2193" s="6" t="str">
        <f>IFERROR(__xludf.DUMMYFUNCTION("GOOGLETRANSLATE(E2193,""fr"",""it"")"),"Mi piace la carne di maiale e anche il prosciutto.")</f>
        <v>Mi piace la carne di maiale e anche il prosciutto.</v>
      </c>
    </row>
    <row r="2194">
      <c r="A2194" s="4">
        <v>2192.0</v>
      </c>
      <c r="B2194" s="5" t="s">
        <v>6583</v>
      </c>
      <c r="C2194" s="4">
        <v>1.0</v>
      </c>
      <c r="D2194" s="5" t="s">
        <v>6584</v>
      </c>
      <c r="E2194" s="5" t="s">
        <v>6585</v>
      </c>
      <c r="F2194" s="6" t="str">
        <f>IFERROR(__xludf.DUMMYFUNCTION("GOOGLETRANSLATE(D2194,""en"",""it"")"),"Mi piace anche il prosciutto e i broccoli.")</f>
        <v>Mi piace anche il prosciutto e i broccoli.</v>
      </c>
      <c r="G2194" s="6" t="str">
        <f>IFERROR(__xludf.DUMMYFUNCTION("GOOGLETRANSLATE(E2194,""fr"",""it"")"),"Adoro il prosciutto e anche i broccoli.")</f>
        <v>Adoro il prosciutto e anche i broccoli.</v>
      </c>
    </row>
    <row r="2195">
      <c r="A2195" s="4">
        <v>2193.0</v>
      </c>
      <c r="B2195" s="5" t="s">
        <v>6586</v>
      </c>
      <c r="C2195" s="4">
        <v>1.0</v>
      </c>
      <c r="D2195" s="5" t="s">
        <v>6587</v>
      </c>
      <c r="E2195" s="5" t="s">
        <v>6588</v>
      </c>
      <c r="F2195" s="6" t="str">
        <f>IFERROR(__xludf.DUMMYFUNCTION("GOOGLETRANSLATE(D2195,""en"",""it"")"),"Mi piacciono anche i broccoli e il prosciutto.")</f>
        <v>Mi piacciono anche i broccoli e il prosciutto.</v>
      </c>
      <c r="G2195" s="6" t="str">
        <f>IFERROR(__xludf.DUMMYFUNCTION("GOOGLETRANSLATE(E2195,""fr"",""it"")"),"Adoro i broccoli e anche il prosciutto.")</f>
        <v>Adoro i broccoli e anche il prosciutto.</v>
      </c>
    </row>
    <row r="2196">
      <c r="A2196" s="4">
        <v>2194.0</v>
      </c>
      <c r="B2196" s="5" t="s">
        <v>6589</v>
      </c>
      <c r="C2196" s="4">
        <v>0.0</v>
      </c>
      <c r="D2196" s="5" t="s">
        <v>6590</v>
      </c>
      <c r="E2196" s="5" t="s">
        <v>6591</v>
      </c>
      <c r="F2196" s="6" t="str">
        <f>IFERROR(__xludf.DUMMYFUNCTION("GOOGLETRANSLATE(D2196,""en"",""it"")"),"Mi piace il maiale, tranne i broccoli.")</f>
        <v>Mi piace il maiale, tranne i broccoli.</v>
      </c>
      <c r="G2196" s="6" t="str">
        <f>IFERROR(__xludf.DUMMYFUNCTION("GOOGLETRANSLATE(E2196,""fr"",""it"")"),"Amo il maiale, tranne i broccoli.")</f>
        <v>Amo il maiale, tranne i broccoli.</v>
      </c>
    </row>
    <row r="2197">
      <c r="A2197" s="4">
        <v>2195.0</v>
      </c>
      <c r="B2197" s="5" t="s">
        <v>6592</v>
      </c>
      <c r="C2197" s="4">
        <v>1.0</v>
      </c>
      <c r="D2197" s="5" t="s">
        <v>6593</v>
      </c>
      <c r="E2197" s="5" t="s">
        <v>6594</v>
      </c>
      <c r="F2197" s="6" t="str">
        <f>IFERROR(__xludf.DUMMYFUNCTION("GOOGLETRANSLATE(D2197,""en"",""it"")"),"Mi piace il prosciutto e anche le mele.")</f>
        <v>Mi piace il prosciutto e anche le mele.</v>
      </c>
      <c r="G2197" s="6" t="str">
        <f>IFERROR(__xludf.DUMMYFUNCTION("GOOGLETRANSLATE(E2197,""fr"",""it"")"),"Mi piace il prosciutto, e anche le mele.")</f>
        <v>Mi piace il prosciutto, e anche le mele.</v>
      </c>
    </row>
    <row r="2198">
      <c r="A2198" s="4">
        <v>2196.0</v>
      </c>
      <c r="B2198" s="5" t="s">
        <v>6595</v>
      </c>
      <c r="C2198" s="4">
        <v>1.0</v>
      </c>
      <c r="D2198" s="5" t="s">
        <v>6596</v>
      </c>
      <c r="E2198" s="5" t="s">
        <v>6597</v>
      </c>
      <c r="F2198" s="6" t="str">
        <f>IFERROR(__xludf.DUMMYFUNCTION("GOOGLETRANSLATE(D2198,""en"",""it"")"),"Mi piacciono anche le mele e il prosciutto.")</f>
        <v>Mi piacciono anche le mele e il prosciutto.</v>
      </c>
      <c r="G2198" s="6" t="str">
        <f>IFERROR(__xludf.DUMMYFUNCTION("GOOGLETRANSLATE(E2198,""fr"",""it"")"),"Amo le mele e anche il prosciutto.")</f>
        <v>Amo le mele e anche il prosciutto.</v>
      </c>
    </row>
    <row r="2199">
      <c r="A2199" s="4">
        <v>2197.0</v>
      </c>
      <c r="B2199" s="5" t="s">
        <v>6598</v>
      </c>
      <c r="C2199" s="4">
        <v>1.0</v>
      </c>
      <c r="D2199" s="5" t="s">
        <v>6599</v>
      </c>
      <c r="E2199" s="5" t="s">
        <v>6600</v>
      </c>
      <c r="F2199" s="6" t="str">
        <f>IFERROR(__xludf.DUMMYFUNCTION("GOOGLETRANSLATE(D2199,""en"",""it"")"),"Mi piace anche il prosciutto e le carote.")</f>
        <v>Mi piace anche il prosciutto e le carote.</v>
      </c>
      <c r="G2199" s="6" t="str">
        <f>IFERROR(__xludf.DUMMYFUNCTION("GOOGLETRANSLATE(E2199,""fr"",""it"")"),"Adoro il prosciutto e anche le carote.")</f>
        <v>Adoro il prosciutto e anche le carote.</v>
      </c>
    </row>
    <row r="2200">
      <c r="A2200" s="4">
        <v>2198.0</v>
      </c>
      <c r="B2200" s="5" t="s">
        <v>6601</v>
      </c>
      <c r="C2200" s="4">
        <v>1.0</v>
      </c>
      <c r="D2200" s="5" t="s">
        <v>6602</v>
      </c>
      <c r="E2200" s="5" t="s">
        <v>6603</v>
      </c>
      <c r="F2200" s="6" t="str">
        <f>IFERROR(__xludf.DUMMYFUNCTION("GOOGLETRANSLATE(D2200,""en"",""it"")"),"Mi piacciono anche le carote e il prosciutto.")</f>
        <v>Mi piacciono anche le carote e il prosciutto.</v>
      </c>
      <c r="G2200" s="6" t="str">
        <f>IFERROR(__xludf.DUMMYFUNCTION("GOOGLETRANSLATE(E2200,""fr"",""it"")"),"Mi piacciono le carote, e anche il prosciutto.")</f>
        <v>Mi piacciono le carote, e anche il prosciutto.</v>
      </c>
    </row>
    <row r="2201">
      <c r="A2201" s="4">
        <v>2199.0</v>
      </c>
      <c r="B2201" s="5" t="s">
        <v>6604</v>
      </c>
      <c r="C2201" s="4">
        <v>0.0</v>
      </c>
      <c r="D2201" s="5" t="s">
        <v>6605</v>
      </c>
      <c r="E2201" s="5" t="s">
        <v>6606</v>
      </c>
      <c r="F2201" s="6" t="str">
        <f>IFERROR(__xludf.DUMMYFUNCTION("GOOGLETRANSLATE(D2201,""en"",""it"")"),"Mi piace il prosciutto, ad eccezione delle mele.")</f>
        <v>Mi piace il prosciutto, ad eccezione delle mele.</v>
      </c>
      <c r="G2201" s="6" t="str">
        <f>IFERROR(__xludf.DUMMYFUNCTION("GOOGLETRANSLATE(E2201,""fr"",""it"")"),"Adoro il prosciutto tranne le mele.")</f>
        <v>Adoro il prosciutto tranne le mele.</v>
      </c>
    </row>
    <row r="2202">
      <c r="A2202" s="4">
        <v>2200.0</v>
      </c>
      <c r="B2202" s="5" t="s">
        <v>6607</v>
      </c>
      <c r="C2202" s="4">
        <v>1.0</v>
      </c>
      <c r="D2202" s="5" t="s">
        <v>6608</v>
      </c>
      <c r="E2202" s="5" t="s">
        <v>6609</v>
      </c>
      <c r="F2202" s="6" t="str">
        <f>IFERROR(__xludf.DUMMYFUNCTION("GOOGLETRANSLATE(D2202,""en"",""it"")"),"Mi piace anche la pancetta e il pesce.")</f>
        <v>Mi piace anche la pancetta e il pesce.</v>
      </c>
      <c r="G2202" s="6" t="str">
        <f>IFERROR(__xludf.DUMMYFUNCTION("GOOGLETRANSLATE(E2202,""fr"",""it"")"),"Amo la pancetta, e anche il pesce.")</f>
        <v>Amo la pancetta, e anche il pesce.</v>
      </c>
    </row>
    <row r="2203">
      <c r="A2203" s="4">
        <v>2201.0</v>
      </c>
      <c r="B2203" s="5" t="s">
        <v>6610</v>
      </c>
      <c r="C2203" s="4">
        <v>1.0</v>
      </c>
      <c r="D2203" s="5" t="s">
        <v>6611</v>
      </c>
      <c r="E2203" s="5" t="s">
        <v>6612</v>
      </c>
      <c r="F2203" s="6" t="str">
        <f>IFERROR(__xludf.DUMMYFUNCTION("GOOGLETRANSLATE(D2203,""en"",""it"")"),"Mi piace anche il pesce e la pancetta.")</f>
        <v>Mi piace anche il pesce e la pancetta.</v>
      </c>
      <c r="G2203" s="6" t="str">
        <f>IFERROR(__xludf.DUMMYFUNCTION("GOOGLETRANSLATE(E2203,""fr"",""it"")"),"Mi piace il pesce, e anche la pancetta.")</f>
        <v>Mi piace il pesce, e anche la pancetta.</v>
      </c>
    </row>
    <row r="2204">
      <c r="A2204" s="4">
        <v>2202.0</v>
      </c>
      <c r="B2204" s="5" t="s">
        <v>6613</v>
      </c>
      <c r="C2204" s="4">
        <v>0.0</v>
      </c>
      <c r="D2204" s="5" t="s">
        <v>6614</v>
      </c>
      <c r="E2204" s="5" t="s">
        <v>6615</v>
      </c>
      <c r="F2204" s="6" t="str">
        <f>IFERROR(__xludf.DUMMYFUNCTION("GOOGLETRANSLATE(D2204,""en"",""it"")"),"Mi piace anche la pancetta e la carne di maiale.")</f>
        <v>Mi piace anche la pancetta e la carne di maiale.</v>
      </c>
      <c r="G2204" s="6" t="str">
        <f>IFERROR(__xludf.DUMMYFUNCTION("GOOGLETRANSLATE(E2204,""fr"",""it"")"),"Amo la pancetta e anche la carne di maiale.")</f>
        <v>Amo la pancetta e anche la carne di maiale.</v>
      </c>
    </row>
    <row r="2205">
      <c r="A2205" s="4">
        <v>2203.0</v>
      </c>
      <c r="B2205" s="5" t="s">
        <v>6616</v>
      </c>
      <c r="C2205" s="4">
        <v>0.0</v>
      </c>
      <c r="D2205" s="5" t="s">
        <v>6617</v>
      </c>
      <c r="E2205" s="5" t="s">
        <v>6618</v>
      </c>
      <c r="F2205" s="6" t="str">
        <f>IFERROR(__xludf.DUMMYFUNCTION("GOOGLETRANSLATE(D2205,""en"",""it"")"),"Mi piace anche la carne di maiale e la pancetta.")</f>
        <v>Mi piace anche la carne di maiale e la pancetta.</v>
      </c>
      <c r="G2205" s="6" t="str">
        <f>IFERROR(__xludf.DUMMYFUNCTION("GOOGLETRANSLATE(E2205,""fr"",""it"")"),"Amo il maiale e anche la pancetta.")</f>
        <v>Amo il maiale e anche la pancetta.</v>
      </c>
    </row>
    <row r="2206">
      <c r="A2206" s="4">
        <v>2204.0</v>
      </c>
      <c r="B2206" s="5" t="s">
        <v>6619</v>
      </c>
      <c r="C2206" s="4">
        <v>1.0</v>
      </c>
      <c r="D2206" s="5" t="s">
        <v>6620</v>
      </c>
      <c r="E2206" s="5" t="s">
        <v>6621</v>
      </c>
      <c r="F2206" s="6" t="str">
        <f>IFERROR(__xludf.DUMMYFUNCTION("GOOGLETRANSLATE(D2206,""en"",""it"")"),"Mi piace anche la pancetta e i broccoli.")</f>
        <v>Mi piace anche la pancetta e i broccoli.</v>
      </c>
      <c r="G2206" s="6" t="str">
        <f>IFERROR(__xludf.DUMMYFUNCTION("GOOGLETRANSLATE(E2206,""fr"",""it"")"),"Amo la pancetta e anche i broccoli.")</f>
        <v>Amo la pancetta e anche i broccoli.</v>
      </c>
    </row>
    <row r="2207">
      <c r="A2207" s="4">
        <v>2205.0</v>
      </c>
      <c r="B2207" s="5" t="s">
        <v>6622</v>
      </c>
      <c r="C2207" s="4">
        <v>1.0</v>
      </c>
      <c r="D2207" s="5" t="s">
        <v>6623</v>
      </c>
      <c r="E2207" s="5" t="s">
        <v>6624</v>
      </c>
      <c r="F2207" s="6" t="str">
        <f>IFERROR(__xludf.DUMMYFUNCTION("GOOGLETRANSLATE(D2207,""en"",""it"")"),"Mi piacciono anche i broccoli e il bacon.")</f>
        <v>Mi piacciono anche i broccoli e il bacon.</v>
      </c>
      <c r="G2207" s="6" t="str">
        <f>IFERROR(__xludf.DUMMYFUNCTION("GOOGLETRANSLATE(E2207,""fr"",""it"")"),"Adoro i broccoli e anche la pancetta.")</f>
        <v>Adoro i broccoli e anche la pancetta.</v>
      </c>
    </row>
    <row r="2208">
      <c r="A2208" s="4">
        <v>2206.0</v>
      </c>
      <c r="B2208" s="5" t="s">
        <v>6625</v>
      </c>
      <c r="C2208" s="4">
        <v>0.0</v>
      </c>
      <c r="D2208" s="5" t="s">
        <v>6626</v>
      </c>
      <c r="E2208" s="5" t="s">
        <v>6627</v>
      </c>
      <c r="F2208" s="6" t="str">
        <f>IFERROR(__xludf.DUMMYFUNCTION("GOOGLETRANSLATE(D2208,""en"",""it"")"),"Mi piacciono le mele, tranne il prosciutto.")</f>
        <v>Mi piacciono le mele, tranne il prosciutto.</v>
      </c>
      <c r="G2208" s="6" t="str">
        <f>IFERROR(__xludf.DUMMYFUNCTION("GOOGLETRANSLATE(E2208,""fr"",""it"")"),"Amo le mele, tranne il prosciutto.")</f>
        <v>Amo le mele, tranne il prosciutto.</v>
      </c>
    </row>
    <row r="2209">
      <c r="A2209" s="4">
        <v>2207.0</v>
      </c>
      <c r="B2209" s="5" t="s">
        <v>6628</v>
      </c>
      <c r="C2209" s="4">
        <v>1.0</v>
      </c>
      <c r="D2209" s="5" t="s">
        <v>6629</v>
      </c>
      <c r="E2209" s="5" t="s">
        <v>6630</v>
      </c>
      <c r="F2209" s="6" t="str">
        <f>IFERROR(__xludf.DUMMYFUNCTION("GOOGLETRANSLATE(D2209,""en"",""it"")"),"Mi piace anche la pancetta e le mele.")</f>
        <v>Mi piace anche la pancetta e le mele.</v>
      </c>
      <c r="G2209" s="6" t="str">
        <f>IFERROR(__xludf.DUMMYFUNCTION("GOOGLETRANSLATE(E2209,""fr"",""it"")"),"Amo la pancetta e anche le mele.")</f>
        <v>Amo la pancetta e anche le mele.</v>
      </c>
    </row>
    <row r="2210">
      <c r="A2210" s="4">
        <v>2208.0</v>
      </c>
      <c r="B2210" s="5" t="s">
        <v>6631</v>
      </c>
      <c r="C2210" s="4">
        <v>1.0</v>
      </c>
      <c r="D2210" s="5" t="s">
        <v>6632</v>
      </c>
      <c r="E2210" s="5" t="s">
        <v>6633</v>
      </c>
      <c r="F2210" s="6" t="str">
        <f>IFERROR(__xludf.DUMMYFUNCTION("GOOGLETRANSLATE(D2210,""en"",""it"")"),"Mi piacciono anche le mele e la pancetta.")</f>
        <v>Mi piacciono anche le mele e la pancetta.</v>
      </c>
      <c r="G2210" s="6" t="str">
        <f>IFERROR(__xludf.DUMMYFUNCTION("GOOGLETRANSLATE(E2210,""fr"",""it"")"),"Amo le mele e anche la pancetta.")</f>
        <v>Amo le mele e anche la pancetta.</v>
      </c>
    </row>
    <row r="2211">
      <c r="A2211" s="4">
        <v>2209.0</v>
      </c>
      <c r="B2211" s="5" t="s">
        <v>6634</v>
      </c>
      <c r="C2211" s="4">
        <v>1.0</v>
      </c>
      <c r="D2211" s="5" t="s">
        <v>6635</v>
      </c>
      <c r="E2211" s="5" t="s">
        <v>6636</v>
      </c>
      <c r="F2211" s="6" t="str">
        <f>IFERROR(__xludf.DUMMYFUNCTION("GOOGLETRANSLATE(D2211,""en"",""it"")"),"Mi piacciono anche la pancetta e le carote.")</f>
        <v>Mi piacciono anche la pancetta e le carote.</v>
      </c>
      <c r="G2211" s="6" t="str">
        <f>IFERROR(__xludf.DUMMYFUNCTION("GOOGLETRANSLATE(E2211,""fr"",""it"")"),"Amo la pancetta e anche le carote.")</f>
        <v>Amo la pancetta e anche le carote.</v>
      </c>
    </row>
    <row r="2212">
      <c r="A2212" s="4">
        <v>2210.0</v>
      </c>
      <c r="B2212" s="5" t="s">
        <v>6637</v>
      </c>
      <c r="C2212" s="4">
        <v>1.0</v>
      </c>
      <c r="D2212" s="5" t="s">
        <v>6638</v>
      </c>
      <c r="E2212" s="5" t="s">
        <v>6639</v>
      </c>
      <c r="F2212" s="6" t="str">
        <f>IFERROR(__xludf.DUMMYFUNCTION("GOOGLETRANSLATE(D2212,""en"",""it"")"),"Mi piacciono anche le carote e la pancetta.")</f>
        <v>Mi piacciono anche le carote e la pancetta.</v>
      </c>
      <c r="G2212" s="6" t="str">
        <f>IFERROR(__xludf.DUMMYFUNCTION("GOOGLETRANSLATE(E2212,""fr"",""it"")"),"Mi piacciono le carote, e anche la pancetta.")</f>
        <v>Mi piacciono le carote, e anche la pancetta.</v>
      </c>
    </row>
    <row r="2213">
      <c r="A2213" s="4">
        <v>2211.0</v>
      </c>
      <c r="B2213" s="5" t="s">
        <v>6640</v>
      </c>
      <c r="C2213" s="4">
        <v>1.0</v>
      </c>
      <c r="D2213" s="5" t="s">
        <v>6641</v>
      </c>
      <c r="E2213" s="5" t="s">
        <v>6642</v>
      </c>
      <c r="F2213" s="6" t="str">
        <f>IFERROR(__xludf.DUMMYFUNCTION("GOOGLETRANSLATE(D2213,""en"",""it"")"),"Mi piace il lardo e anche i pesci.")</f>
        <v>Mi piace il lardo e anche i pesci.</v>
      </c>
      <c r="G2213" s="6" t="str">
        <f>IFERROR(__xludf.DUMMYFUNCTION("GOOGLETRANSLATE(E2213,""fr"",""it"")"),"Mi piace la pancetta, e anche il pesce.")</f>
        <v>Mi piace la pancetta, e anche il pesce.</v>
      </c>
    </row>
    <row r="2214">
      <c r="A2214" s="4">
        <v>2212.0</v>
      </c>
      <c r="B2214" s="5" t="s">
        <v>6643</v>
      </c>
      <c r="C2214" s="4">
        <v>1.0</v>
      </c>
      <c r="D2214" s="5" t="s">
        <v>6644</v>
      </c>
      <c r="E2214" s="5" t="s">
        <v>6645</v>
      </c>
      <c r="F2214" s="6" t="str">
        <f>IFERROR(__xludf.DUMMYFUNCTION("GOOGLETRANSLATE(D2214,""en"",""it"")"),"Mi piace anche il pesce e il lardo.")</f>
        <v>Mi piace anche il pesce e il lardo.</v>
      </c>
      <c r="G2214" s="6" t="str">
        <f>IFERROR(__xludf.DUMMYFUNCTION("GOOGLETRANSLATE(E2214,""fr"",""it"")"),"Mi piace il pesce e anche il bacon.")</f>
        <v>Mi piace il pesce e anche il bacon.</v>
      </c>
    </row>
    <row r="2215">
      <c r="A2215" s="4">
        <v>2213.0</v>
      </c>
      <c r="B2215" s="5" t="s">
        <v>6646</v>
      </c>
      <c r="C2215" s="4">
        <v>0.0</v>
      </c>
      <c r="D2215" s="5" t="s">
        <v>6647</v>
      </c>
      <c r="E2215" s="5" t="s">
        <v>6648</v>
      </c>
      <c r="F2215" s="6" t="str">
        <f>IFERROR(__xludf.DUMMYFUNCTION("GOOGLETRANSLATE(D2215,""en"",""it"")"),"Mi piace il lardo, e anche la carne di maiale.")</f>
        <v>Mi piace il lardo, e anche la carne di maiale.</v>
      </c>
      <c r="G2215" s="6" t="str">
        <f>IFERROR(__xludf.DUMMYFUNCTION("GOOGLETRANSLATE(E2215,""fr"",""it"")"),"Mi piacciono la pancetta e anche la carne di maiale.")</f>
        <v>Mi piacciono la pancetta e anche la carne di maiale.</v>
      </c>
    </row>
    <row r="2216">
      <c r="A2216" s="4">
        <v>2214.0</v>
      </c>
      <c r="B2216" s="5" t="s">
        <v>6649</v>
      </c>
      <c r="C2216" s="4">
        <v>0.0</v>
      </c>
      <c r="D2216" s="5" t="s">
        <v>6650</v>
      </c>
      <c r="E2216" s="5" t="s">
        <v>6651</v>
      </c>
      <c r="F2216" s="6" t="str">
        <f>IFERROR(__xludf.DUMMYFUNCTION("GOOGLETRANSLATE(D2216,""en"",""it"")"),"Mi piace anche il maiale e il lardo.")</f>
        <v>Mi piace anche il maiale e il lardo.</v>
      </c>
      <c r="G2216" s="6" t="str">
        <f>IFERROR(__xludf.DUMMYFUNCTION("GOOGLETRANSLATE(E2216,""fr"",""it"")"),"Amo il maiale e anche la pancetta.")</f>
        <v>Amo il maiale e anche la pancetta.</v>
      </c>
    </row>
    <row r="2217">
      <c r="A2217" s="4">
        <v>2215.0</v>
      </c>
      <c r="B2217" s="5" t="s">
        <v>6652</v>
      </c>
      <c r="C2217" s="4">
        <v>1.0</v>
      </c>
      <c r="D2217" s="5" t="s">
        <v>6653</v>
      </c>
      <c r="E2217" s="5" t="s">
        <v>6654</v>
      </c>
      <c r="F2217" s="6" t="str">
        <f>IFERROR(__xludf.DUMMYFUNCTION("GOOGLETRANSLATE(D2217,""en"",""it"")"),"Mi piace anche il lardo e i broccoli.")</f>
        <v>Mi piace anche il lardo e i broccoli.</v>
      </c>
      <c r="G2217" s="6" t="str">
        <f>IFERROR(__xludf.DUMMYFUNCTION("GOOGLETRANSLATE(E2217,""fr"",""it"")"),"Mi piace la pancetta e anche i broccoli.")</f>
        <v>Mi piace la pancetta e anche i broccoli.</v>
      </c>
    </row>
    <row r="2218">
      <c r="A2218" s="4">
        <v>2216.0</v>
      </c>
      <c r="B2218" s="5" t="s">
        <v>6655</v>
      </c>
      <c r="C2218" s="4">
        <v>1.0</v>
      </c>
      <c r="D2218" s="5" t="s">
        <v>6656</v>
      </c>
      <c r="E2218" s="5" t="s">
        <v>6657</v>
      </c>
      <c r="F2218" s="6" t="str">
        <f>IFERROR(__xludf.DUMMYFUNCTION("GOOGLETRANSLATE(D2218,""en"",""it"")"),"Mi piacciono anche i broccoli e il lardo.")</f>
        <v>Mi piacciono anche i broccoli e il lardo.</v>
      </c>
      <c r="G2218" s="6" t="str">
        <f>IFERROR(__xludf.DUMMYFUNCTION("GOOGLETRANSLATE(E2218,""fr"",""it"")"),"Adoro i broccoli e anche la pancetta.")</f>
        <v>Adoro i broccoli e anche la pancetta.</v>
      </c>
    </row>
    <row r="2219">
      <c r="A2219" s="4">
        <v>2217.0</v>
      </c>
      <c r="B2219" s="5" t="s">
        <v>6658</v>
      </c>
      <c r="C2219" s="4">
        <v>1.0</v>
      </c>
      <c r="D2219" s="5" t="s">
        <v>6659</v>
      </c>
      <c r="E2219" s="5" t="s">
        <v>6660</v>
      </c>
      <c r="F2219" s="6" t="str">
        <f>IFERROR(__xludf.DUMMYFUNCTION("GOOGLETRANSLATE(D2219,""en"",""it"")"),"Mi piace il lardo e anche le mele.")</f>
        <v>Mi piace il lardo e anche le mele.</v>
      </c>
      <c r="G2219" s="6" t="str">
        <f>IFERROR(__xludf.DUMMYFUNCTION("GOOGLETRANSLATE(E2219,""fr"",""it"")"),"Mi piace la pancetta, e anche le mele.")</f>
        <v>Mi piace la pancetta, e anche le mele.</v>
      </c>
    </row>
    <row r="2220">
      <c r="A2220" s="4">
        <v>2218.0</v>
      </c>
      <c r="B2220" s="5" t="s">
        <v>6661</v>
      </c>
      <c r="C2220" s="4">
        <v>1.0</v>
      </c>
      <c r="D2220" s="5" t="s">
        <v>6662</v>
      </c>
      <c r="E2220" s="5" t="s">
        <v>6663</v>
      </c>
      <c r="F2220" s="6" t="str">
        <f>IFERROR(__xludf.DUMMYFUNCTION("GOOGLETRANSLATE(D2220,""en"",""it"")"),"Mi piacciono anche le mele e il lardo.")</f>
        <v>Mi piacciono anche le mele e il lardo.</v>
      </c>
      <c r="G2220" s="6" t="str">
        <f>IFERROR(__xludf.DUMMYFUNCTION("GOOGLETRANSLATE(E2220,""fr"",""it"")"),"Amo le mele e anche la pancetta.")</f>
        <v>Amo le mele e anche la pancetta.</v>
      </c>
    </row>
    <row r="2221">
      <c r="A2221" s="4">
        <v>2219.0</v>
      </c>
      <c r="B2221" s="5" t="s">
        <v>6664</v>
      </c>
      <c r="C2221" s="4">
        <v>1.0</v>
      </c>
      <c r="D2221" s="5" t="s">
        <v>6665</v>
      </c>
      <c r="E2221" s="5" t="s">
        <v>6666</v>
      </c>
      <c r="F2221" s="6" t="str">
        <f>IFERROR(__xludf.DUMMYFUNCTION("GOOGLETRANSLATE(D2221,""en"",""it"")"),"Mi piace anche il lardo e le carote.")</f>
        <v>Mi piace anche il lardo e le carote.</v>
      </c>
      <c r="G2221" s="6" t="str">
        <f>IFERROR(__xludf.DUMMYFUNCTION("GOOGLETRANSLATE(E2221,""fr"",""it"")"),"Mi piace la pancetta e anche le carote.")</f>
        <v>Mi piace la pancetta e anche le carote.</v>
      </c>
    </row>
    <row r="2222">
      <c r="A2222" s="4">
        <v>2220.0</v>
      </c>
      <c r="B2222" s="5" t="s">
        <v>6667</v>
      </c>
      <c r="C2222" s="4">
        <v>1.0</v>
      </c>
      <c r="D2222" s="5" t="s">
        <v>6668</v>
      </c>
      <c r="E2222" s="5" t="s">
        <v>6669</v>
      </c>
      <c r="F2222" s="6" t="str">
        <f>IFERROR(__xludf.DUMMYFUNCTION("GOOGLETRANSLATE(D2222,""en"",""it"")"),"Mi piacciono anche le carote e il lardo.")</f>
        <v>Mi piacciono anche le carote e il lardo.</v>
      </c>
      <c r="G2222" s="6" t="str">
        <f>IFERROR(__xludf.DUMMYFUNCTION("GOOGLETRANSLATE(E2222,""fr"",""it"")"),"Mi piacciono le carote e anche la pancetta.")</f>
        <v>Mi piacciono le carote e anche la pancetta.</v>
      </c>
    </row>
    <row r="2223">
      <c r="A2223" s="4">
        <v>2221.0</v>
      </c>
      <c r="B2223" s="5" t="s">
        <v>6670</v>
      </c>
      <c r="C2223" s="4">
        <v>0.0</v>
      </c>
      <c r="D2223" s="5" t="s">
        <v>6671</v>
      </c>
      <c r="E2223" s="5" t="s">
        <v>6672</v>
      </c>
      <c r="F2223" s="6" t="str">
        <f>IFERROR(__xludf.DUMMYFUNCTION("GOOGLETRANSLATE(D2223,""en"",""it"")"),"Mi piace la carne di maiale, ad eccezione delle mele.")</f>
        <v>Mi piace la carne di maiale, ad eccezione delle mele.</v>
      </c>
      <c r="G2223" s="6" t="str">
        <f>IFERROR(__xludf.DUMMYFUNCTION("GOOGLETRANSLATE(E2223,""fr"",""it"")"),"Amo il maiale, ad eccezione delle mele.")</f>
        <v>Amo il maiale, ad eccezione delle mele.</v>
      </c>
    </row>
    <row r="2224">
      <c r="A2224" s="4">
        <v>2222.0</v>
      </c>
      <c r="B2224" s="5" t="s">
        <v>6673</v>
      </c>
      <c r="C2224" s="4">
        <v>0.0</v>
      </c>
      <c r="D2224" s="5" t="s">
        <v>6674</v>
      </c>
      <c r="E2224" s="5" t="s">
        <v>6675</v>
      </c>
      <c r="F2224" s="6" t="str">
        <f>IFERROR(__xludf.DUMMYFUNCTION("GOOGLETRANSLATE(D2224,""en"",""it"")"),"Mi piace il prosciutto, tranne le carote.")</f>
        <v>Mi piace il prosciutto, tranne le carote.</v>
      </c>
      <c r="G2224" s="6" t="str">
        <f>IFERROR(__xludf.DUMMYFUNCTION("GOOGLETRANSLATE(E2224,""fr"",""it"")"),"Adoro il prosciutto tranne le carote.")</f>
        <v>Adoro il prosciutto tranne le carote.</v>
      </c>
    </row>
    <row r="2225">
      <c r="A2225" s="4">
        <v>2223.0</v>
      </c>
      <c r="B2225" s="5" t="s">
        <v>6676</v>
      </c>
      <c r="C2225" s="4">
        <v>0.0</v>
      </c>
      <c r="D2225" s="5" t="s">
        <v>6677</v>
      </c>
      <c r="E2225" s="5" t="s">
        <v>6678</v>
      </c>
      <c r="F2225" s="6" t="str">
        <f>IFERROR(__xludf.DUMMYFUNCTION("GOOGLETRANSLATE(D2225,""en"",""it"")"),"Mi piacciono le carote, tranne il prosciutto.")</f>
        <v>Mi piacciono le carote, tranne il prosciutto.</v>
      </c>
      <c r="G2225" s="6" t="str">
        <f>IFERROR(__xludf.DUMMYFUNCTION("GOOGLETRANSLATE(E2225,""fr"",""it"")"),"Adoro le carote, tranne il prosciutto.")</f>
        <v>Adoro le carote, tranne il prosciutto.</v>
      </c>
    </row>
    <row r="2226">
      <c r="A2226" s="4">
        <v>2224.0</v>
      </c>
      <c r="B2226" s="5" t="s">
        <v>6679</v>
      </c>
      <c r="C2226" s="4">
        <v>0.0</v>
      </c>
      <c r="D2226" s="5" t="s">
        <v>6680</v>
      </c>
      <c r="E2226" s="5" t="s">
        <v>6681</v>
      </c>
      <c r="F2226" s="6" t="str">
        <f>IFERROR(__xludf.DUMMYFUNCTION("GOOGLETRANSLATE(D2226,""en"",""it"")"),"Mi piace la carne di maiale, tranne le carote.")</f>
        <v>Mi piace la carne di maiale, tranne le carote.</v>
      </c>
      <c r="G2226" s="6" t="str">
        <f>IFERROR(__xludf.DUMMYFUNCTION("GOOGLETRANSLATE(E2226,""fr"",""it"")"),"Amo il maiale, tranne le carote.")</f>
        <v>Amo il maiale, tranne le carote.</v>
      </c>
    </row>
    <row r="2227">
      <c r="A2227" s="4">
        <v>2225.0</v>
      </c>
      <c r="B2227" s="5" t="s">
        <v>6682</v>
      </c>
      <c r="C2227" s="4">
        <v>1.0</v>
      </c>
      <c r="D2227" s="5" t="s">
        <v>6683</v>
      </c>
      <c r="E2227" s="5" t="s">
        <v>6684</v>
      </c>
      <c r="F2227" s="6" t="str">
        <f>IFERROR(__xludf.DUMMYFUNCTION("GOOGLETRANSLATE(D2227,""en"",""it"")"),"Mi piace anche il salmone e il pollo.")</f>
        <v>Mi piace anche il salmone e il pollo.</v>
      </c>
      <c r="G2227" s="6" t="str">
        <f>IFERROR(__xludf.DUMMYFUNCTION("GOOGLETRANSLATE(E2227,""fr"",""it"")"),"Amo il salmone e anche il pollo.")</f>
        <v>Amo il salmone e anche il pollo.</v>
      </c>
    </row>
    <row r="2228">
      <c r="A2228" s="4">
        <v>2226.0</v>
      </c>
      <c r="B2228" s="5" t="s">
        <v>6685</v>
      </c>
      <c r="C2228" s="4">
        <v>1.0</v>
      </c>
      <c r="D2228" s="5" t="s">
        <v>6686</v>
      </c>
      <c r="E2228" s="5" t="s">
        <v>6687</v>
      </c>
      <c r="F2228" s="6" t="str">
        <f>IFERROR(__xludf.DUMMYFUNCTION("GOOGLETRANSLATE(D2228,""en"",""it"")"),"Mi piace anche il pollo e il salmone.")</f>
        <v>Mi piace anche il pollo e il salmone.</v>
      </c>
      <c r="G2228" s="6" t="str">
        <f>IFERROR(__xludf.DUMMYFUNCTION("GOOGLETRANSLATE(E2228,""fr"",""it"")"),"Amo il pollo e anche il salmone.")</f>
        <v>Amo il pollo e anche il salmone.</v>
      </c>
    </row>
    <row r="2229">
      <c r="A2229" s="4">
        <v>2227.0</v>
      </c>
      <c r="B2229" s="5" t="s">
        <v>6688</v>
      </c>
      <c r="C2229" s="4">
        <v>0.0</v>
      </c>
      <c r="D2229" s="5" t="s">
        <v>6689</v>
      </c>
      <c r="E2229" s="5" t="s">
        <v>6690</v>
      </c>
      <c r="F2229" s="6" t="str">
        <f>IFERROR(__xludf.DUMMYFUNCTION("GOOGLETRANSLATE(D2229,""en"",""it"")"),"Mi piace anche il salmone e il pesce.")</f>
        <v>Mi piace anche il salmone e il pesce.</v>
      </c>
      <c r="G2229" s="6" t="str">
        <f>IFERROR(__xludf.DUMMYFUNCTION("GOOGLETRANSLATE(E2229,""fr"",""it"")"),"Amo il salmone, e anche i prodotti del mare.")</f>
        <v>Amo il salmone, e anche i prodotti del mare.</v>
      </c>
    </row>
    <row r="2230">
      <c r="A2230" s="4">
        <v>2228.0</v>
      </c>
      <c r="B2230" s="5" t="s">
        <v>6691</v>
      </c>
      <c r="C2230" s="4">
        <v>0.0</v>
      </c>
      <c r="D2230" s="5" t="s">
        <v>6692</v>
      </c>
      <c r="E2230" s="5" t="s">
        <v>6693</v>
      </c>
      <c r="F2230" s="6" t="str">
        <f>IFERROR(__xludf.DUMMYFUNCTION("GOOGLETRANSLATE(D2230,""en"",""it"")"),"Mi piacciono anche i frutti di mare e il salmone.")</f>
        <v>Mi piacciono anche i frutti di mare e il salmone.</v>
      </c>
      <c r="G2230" s="6" t="str">
        <f>IFERROR(__xludf.DUMMYFUNCTION("GOOGLETRANSLATE(E2230,""fr"",""it"")"),"Adoro i prodotti del mare e anche il salmone.")</f>
        <v>Adoro i prodotti del mare e anche il salmone.</v>
      </c>
    </row>
    <row r="2231">
      <c r="A2231" s="4">
        <v>2229.0</v>
      </c>
      <c r="B2231" s="5" t="s">
        <v>6694</v>
      </c>
      <c r="C2231" s="4">
        <v>1.0</v>
      </c>
      <c r="D2231" s="5" t="s">
        <v>6695</v>
      </c>
      <c r="E2231" s="5" t="s">
        <v>6696</v>
      </c>
      <c r="F2231" s="6" t="str">
        <f>IFERROR(__xludf.DUMMYFUNCTION("GOOGLETRANSLATE(D2231,""en"",""it"")"),"Mi piacciono anche i frutti di mare e il pollo.")</f>
        <v>Mi piacciono anche i frutti di mare e il pollo.</v>
      </c>
      <c r="G2231" s="6" t="str">
        <f>IFERROR(__xludf.DUMMYFUNCTION("GOOGLETRANSLATE(E2231,""fr"",""it"")"),"Mi piacciono i prodotti del mare e anche il pollo.")</f>
        <v>Mi piacciono i prodotti del mare e anche il pollo.</v>
      </c>
    </row>
    <row r="2232">
      <c r="A2232" s="4">
        <v>2230.0</v>
      </c>
      <c r="B2232" s="5" t="s">
        <v>6697</v>
      </c>
      <c r="C2232" s="4">
        <v>1.0</v>
      </c>
      <c r="D2232" s="5" t="s">
        <v>6698</v>
      </c>
      <c r="E2232" s="5" t="s">
        <v>6699</v>
      </c>
      <c r="F2232" s="6" t="str">
        <f>IFERROR(__xludf.DUMMYFUNCTION("GOOGLETRANSLATE(D2232,""en"",""it"")"),"Mi piace anche il salmone e il vitello.")</f>
        <v>Mi piace anche il salmone e il vitello.</v>
      </c>
      <c r="G2232" s="6" t="str">
        <f>IFERROR(__xludf.DUMMYFUNCTION("GOOGLETRANSLATE(E2232,""fr"",""it"")"),"Amo il salmone, e anche il vitello.")</f>
        <v>Amo il salmone, e anche il vitello.</v>
      </c>
    </row>
    <row r="2233">
      <c r="A2233" s="4">
        <v>2231.0</v>
      </c>
      <c r="B2233" s="5" t="s">
        <v>6700</v>
      </c>
      <c r="C2233" s="4">
        <v>1.0</v>
      </c>
      <c r="D2233" s="5" t="s">
        <v>6701</v>
      </c>
      <c r="E2233" s="5" t="s">
        <v>6702</v>
      </c>
      <c r="F2233" s="6" t="str">
        <f>IFERROR(__xludf.DUMMYFUNCTION("GOOGLETRANSLATE(D2233,""en"",""it"")"),"Mi piace anche il vitello e il salmone.")</f>
        <v>Mi piace anche il vitello e il salmone.</v>
      </c>
      <c r="G2233" s="6" t="str">
        <f>IFERROR(__xludf.DUMMYFUNCTION("GOOGLETRANSLATE(E2233,""fr"",""it"")"),"Adoro il polpaccio e anche il salmone.")</f>
        <v>Adoro il polpaccio e anche il salmone.</v>
      </c>
    </row>
    <row r="2234">
      <c r="A2234" s="4">
        <v>2232.0</v>
      </c>
      <c r="B2234" s="5" t="s">
        <v>6703</v>
      </c>
      <c r="C2234" s="4">
        <v>1.0</v>
      </c>
      <c r="D2234" s="5" t="s">
        <v>6704</v>
      </c>
      <c r="E2234" s="5" t="s">
        <v>6705</v>
      </c>
      <c r="F2234" s="6" t="str">
        <f>IFERROR(__xludf.DUMMYFUNCTION("GOOGLETRANSLATE(D2234,""en"",""it"")"),"Mi piacciono anche i frutti di mare e il vitello.")</f>
        <v>Mi piacciono anche i frutti di mare e il vitello.</v>
      </c>
      <c r="G2234" s="6" t="str">
        <f>IFERROR(__xludf.DUMMYFUNCTION("GOOGLETRANSLATE(E2234,""fr"",""it"")"),"Mi piacciono i prodotti del mare e anche il polpaccio.")</f>
        <v>Mi piacciono i prodotti del mare e anche il polpaccio.</v>
      </c>
    </row>
    <row r="2235">
      <c r="A2235" s="4">
        <v>2233.0</v>
      </c>
      <c r="B2235" s="5" t="s">
        <v>6706</v>
      </c>
      <c r="C2235" s="4">
        <v>1.0</v>
      </c>
      <c r="D2235" s="5" t="s">
        <v>6707</v>
      </c>
      <c r="E2235" s="5" t="s">
        <v>6708</v>
      </c>
      <c r="F2235" s="6" t="str">
        <f>IFERROR(__xludf.DUMMYFUNCTION("GOOGLETRANSLATE(D2235,""en"",""it"")"),"Mi piace anche il salmone e la tacchino.")</f>
        <v>Mi piace anche il salmone e la tacchino.</v>
      </c>
      <c r="G2235" s="6" t="str">
        <f>IFERROR(__xludf.DUMMYFUNCTION("GOOGLETRANSLATE(E2235,""fr"",""it"")"),"Amo il salmone e anche la Turchia.")</f>
        <v>Amo il salmone e anche la Turchia.</v>
      </c>
    </row>
    <row r="2236">
      <c r="A2236" s="4">
        <v>2234.0</v>
      </c>
      <c r="B2236" s="5" t="s">
        <v>6709</v>
      </c>
      <c r="C2236" s="4">
        <v>1.0</v>
      </c>
      <c r="D2236" s="5" t="s">
        <v>6710</v>
      </c>
      <c r="E2236" s="5" t="s">
        <v>6711</v>
      </c>
      <c r="F2236" s="6" t="str">
        <f>IFERROR(__xludf.DUMMYFUNCTION("GOOGLETRANSLATE(D2236,""en"",""it"")"),"Mi piace anche la Turchia e il salmone.")</f>
        <v>Mi piace anche la Turchia e il salmone.</v>
      </c>
      <c r="G2236" s="6" t="str">
        <f>IFERROR(__xludf.DUMMYFUNCTION("GOOGLETRANSLATE(E2236,""fr"",""it"")"),"Amo la Turchia e anche il salmone.")</f>
        <v>Amo la Turchia e anche il salmone.</v>
      </c>
    </row>
    <row r="2237">
      <c r="A2237" s="4">
        <v>2235.0</v>
      </c>
      <c r="B2237" s="5" t="s">
        <v>6712</v>
      </c>
      <c r="C2237" s="4">
        <v>1.0</v>
      </c>
      <c r="D2237" s="5" t="s">
        <v>6713</v>
      </c>
      <c r="E2237" s="5" t="s">
        <v>6714</v>
      </c>
      <c r="F2237" s="6" t="str">
        <f>IFERROR(__xludf.DUMMYFUNCTION("GOOGLETRANSLATE(D2237,""en"",""it"")"),"Mi piacciono anche i frutti di mare e la tacchino.")</f>
        <v>Mi piacciono anche i frutti di mare e la tacchino.</v>
      </c>
      <c r="G2237" s="6" t="str">
        <f>IFERROR(__xludf.DUMMYFUNCTION("GOOGLETRANSLATE(E2237,""fr"",""it"")"),"Mi piacciono i prodotti del mare e anche il tacchino.")</f>
        <v>Mi piacciono i prodotti del mare e anche il tacchino.</v>
      </c>
    </row>
    <row r="2238">
      <c r="A2238" s="4">
        <v>2236.0</v>
      </c>
      <c r="B2238" s="5" t="s">
        <v>6715</v>
      </c>
      <c r="C2238" s="4">
        <v>1.0</v>
      </c>
      <c r="D2238" s="5" t="s">
        <v>6716</v>
      </c>
      <c r="E2238" s="5" t="s">
        <v>6717</v>
      </c>
      <c r="F2238" s="6" t="str">
        <f>IFERROR(__xludf.DUMMYFUNCTION("GOOGLETRANSLATE(D2238,""en"",""it"")"),"Mi piace anche il salmone e il manzo.")</f>
        <v>Mi piace anche il salmone e il manzo.</v>
      </c>
      <c r="G2238" s="6" t="str">
        <f>IFERROR(__xludf.DUMMYFUNCTION("GOOGLETRANSLATE(E2238,""fr"",""it"")"),"Amo il salmone e anche la carne di manzo.")</f>
        <v>Amo il salmone e anche la carne di manzo.</v>
      </c>
    </row>
    <row r="2239">
      <c r="A2239" s="4">
        <v>2237.0</v>
      </c>
      <c r="B2239" s="5" t="s">
        <v>6718</v>
      </c>
      <c r="C2239" s="4">
        <v>1.0</v>
      </c>
      <c r="D2239" s="5" t="s">
        <v>6719</v>
      </c>
      <c r="E2239" s="5" t="s">
        <v>6720</v>
      </c>
      <c r="F2239" s="6" t="str">
        <f>IFERROR(__xludf.DUMMYFUNCTION("GOOGLETRANSLATE(D2239,""en"",""it"")"),"Mi piace anche il manzo e il salmone.")</f>
        <v>Mi piace anche il manzo e il salmone.</v>
      </c>
      <c r="G2239" s="6" t="str">
        <f>IFERROR(__xludf.DUMMYFUNCTION("GOOGLETRANSLATE(E2239,""fr"",""it"")"),"Amo la carne e anche il salmone.")</f>
        <v>Amo la carne e anche il salmone.</v>
      </c>
    </row>
    <row r="2240">
      <c r="A2240" s="4">
        <v>2238.0</v>
      </c>
      <c r="B2240" s="5" t="s">
        <v>6721</v>
      </c>
      <c r="C2240" s="4">
        <v>1.0</v>
      </c>
      <c r="D2240" s="5" t="s">
        <v>6722</v>
      </c>
      <c r="E2240" s="5" t="s">
        <v>6723</v>
      </c>
      <c r="F2240" s="6" t="str">
        <f>IFERROR(__xludf.DUMMYFUNCTION("GOOGLETRANSLATE(D2240,""en"",""it"")"),"Mi piacciono anche i frutti di mare e il manzo.")</f>
        <v>Mi piacciono anche i frutti di mare e il manzo.</v>
      </c>
      <c r="G2240" s="6" t="str">
        <f>IFERROR(__xludf.DUMMYFUNCTION("GOOGLETRANSLATE(E2240,""fr"",""it"")"),"Mi piacciono i prodotti del mare e anche la carne bovina.")</f>
        <v>Mi piacciono i prodotti del mare e anche la carne bovina.</v>
      </c>
    </row>
    <row r="2241">
      <c r="A2241" s="4">
        <v>2239.0</v>
      </c>
      <c r="B2241" s="5" t="s">
        <v>6724</v>
      </c>
      <c r="C2241" s="4">
        <v>1.0</v>
      </c>
      <c r="D2241" s="5" t="s">
        <v>6725</v>
      </c>
      <c r="E2241" s="5" t="s">
        <v>6726</v>
      </c>
      <c r="F2241" s="6" t="str">
        <f>IFERROR(__xludf.DUMMYFUNCTION("GOOGLETRANSLATE(D2241,""en"",""it"")"),"Mi piacciono anche i granchi e il pollo.")</f>
        <v>Mi piacciono anche i granchi e il pollo.</v>
      </c>
      <c r="G2241" s="6" t="str">
        <f>IFERROR(__xludf.DUMMYFUNCTION("GOOGLETRANSLATE(E2241,""fr"",""it"")"),"Mi piacciono i granchi e anche il pollo.")</f>
        <v>Mi piacciono i granchi e anche il pollo.</v>
      </c>
    </row>
    <row r="2242">
      <c r="A2242" s="4">
        <v>2240.0</v>
      </c>
      <c r="B2242" s="5" t="s">
        <v>6727</v>
      </c>
      <c r="C2242" s="4">
        <v>1.0</v>
      </c>
      <c r="D2242" s="5" t="s">
        <v>6728</v>
      </c>
      <c r="E2242" s="5" t="s">
        <v>6729</v>
      </c>
      <c r="F2242" s="6" t="str">
        <f>IFERROR(__xludf.DUMMYFUNCTION("GOOGLETRANSLATE(D2242,""en"",""it"")"),"Mi piace anche il pollo e i granchi.")</f>
        <v>Mi piace anche il pollo e i granchi.</v>
      </c>
      <c r="G2242" s="6" t="str">
        <f>IFERROR(__xludf.DUMMYFUNCTION("GOOGLETRANSLATE(E2242,""fr"",""it"")"),"Amo il pollo e anche i granchi.")</f>
        <v>Amo il pollo e anche i granchi.</v>
      </c>
    </row>
    <row r="2243">
      <c r="A2243" s="4">
        <v>2241.0</v>
      </c>
      <c r="B2243" s="5" t="s">
        <v>6730</v>
      </c>
      <c r="C2243" s="4">
        <v>0.0</v>
      </c>
      <c r="D2243" s="5" t="s">
        <v>6731</v>
      </c>
      <c r="E2243" s="5" t="s">
        <v>6732</v>
      </c>
      <c r="F2243" s="6" t="str">
        <f>IFERROR(__xludf.DUMMYFUNCTION("GOOGLETRANSLATE(D2243,""en"",""it"")"),"Mi piacciono i granchi e anche i frutti di mare.")</f>
        <v>Mi piacciono i granchi e anche i frutti di mare.</v>
      </c>
      <c r="G2243" s="6" t="str">
        <f>IFERROR(__xludf.DUMMYFUNCTION("GOOGLETRANSLATE(E2243,""fr"",""it"")"),"Amo i granchi, e anche i prodotti del mare.")</f>
        <v>Amo i granchi, e anche i prodotti del mare.</v>
      </c>
    </row>
    <row r="2244">
      <c r="A2244" s="4">
        <v>2242.0</v>
      </c>
      <c r="B2244" s="5" t="s">
        <v>6733</v>
      </c>
      <c r="C2244" s="4">
        <v>0.0</v>
      </c>
      <c r="D2244" s="5" t="s">
        <v>6734</v>
      </c>
      <c r="E2244" s="5" t="s">
        <v>6735</v>
      </c>
      <c r="F2244" s="6" t="str">
        <f>IFERROR(__xludf.DUMMYFUNCTION("GOOGLETRANSLATE(D2244,""en"",""it"")"),"Mi piacciono anche i frutti di mare e i granchi.")</f>
        <v>Mi piacciono anche i frutti di mare e i granchi.</v>
      </c>
      <c r="G2244" s="6" t="str">
        <f>IFERROR(__xludf.DUMMYFUNCTION("GOOGLETRANSLATE(E2244,""fr"",""it"")"),"Mi piacciono i prodotti del mare e anche i granchi.")</f>
        <v>Mi piacciono i prodotti del mare e anche i granchi.</v>
      </c>
    </row>
    <row r="2245">
      <c r="A2245" s="4">
        <v>2243.0</v>
      </c>
      <c r="B2245" s="5" t="s">
        <v>6736</v>
      </c>
      <c r="C2245" s="4">
        <v>1.0</v>
      </c>
      <c r="D2245" s="5" t="s">
        <v>6737</v>
      </c>
      <c r="E2245" s="5" t="s">
        <v>6738</v>
      </c>
      <c r="F2245" s="6" t="str">
        <f>IFERROR(__xludf.DUMMYFUNCTION("GOOGLETRANSLATE(D2245,""en"",""it"")"),"Mi piacciono anche i granchi e il vitello.")</f>
        <v>Mi piacciono anche i granchi e il vitello.</v>
      </c>
      <c r="G2245" s="6" t="str">
        <f>IFERROR(__xludf.DUMMYFUNCTION("GOOGLETRANSLATE(E2245,""fr"",""it"")"),"Amo i granchi e anche il polpaccio.")</f>
        <v>Amo i granchi e anche il polpaccio.</v>
      </c>
    </row>
    <row r="2246">
      <c r="A2246" s="4">
        <v>2244.0</v>
      </c>
      <c r="B2246" s="5" t="s">
        <v>6739</v>
      </c>
      <c r="C2246" s="4">
        <v>1.0</v>
      </c>
      <c r="D2246" s="5" t="s">
        <v>6740</v>
      </c>
      <c r="E2246" s="5" t="s">
        <v>6741</v>
      </c>
      <c r="F2246" s="6" t="str">
        <f>IFERROR(__xludf.DUMMYFUNCTION("GOOGLETRANSLATE(D2246,""en"",""it"")"),"Mi piace anche il vitello e i granchi.")</f>
        <v>Mi piace anche il vitello e i granchi.</v>
      </c>
      <c r="G2246" s="6" t="str">
        <f>IFERROR(__xludf.DUMMYFUNCTION("GOOGLETRANSLATE(E2246,""fr"",""it"")"),"Adoro il polpaccio e anche i granchi.")</f>
        <v>Adoro il polpaccio e anche i granchi.</v>
      </c>
    </row>
    <row r="2247">
      <c r="A2247" s="4">
        <v>2245.0</v>
      </c>
      <c r="B2247" s="5" t="s">
        <v>6742</v>
      </c>
      <c r="C2247" s="4">
        <v>1.0</v>
      </c>
      <c r="D2247" s="5" t="s">
        <v>6743</v>
      </c>
      <c r="E2247" s="5" t="s">
        <v>6744</v>
      </c>
      <c r="F2247" s="6" t="str">
        <f>IFERROR(__xludf.DUMMYFUNCTION("GOOGLETRANSLATE(D2247,""en"",""it"")"),"Mi piacciono anche i granchi e la tacchino.")</f>
        <v>Mi piacciono anche i granchi e la tacchino.</v>
      </c>
      <c r="G2247" s="6" t="str">
        <f>IFERROR(__xludf.DUMMYFUNCTION("GOOGLETRANSLATE(E2247,""fr"",""it"")"),"Mi piacciono i granchi e anche la Turchia.")</f>
        <v>Mi piacciono i granchi e anche la Turchia.</v>
      </c>
    </row>
    <row r="2248">
      <c r="A2248" s="4">
        <v>2246.0</v>
      </c>
      <c r="B2248" s="5" t="s">
        <v>6745</v>
      </c>
      <c r="C2248" s="4">
        <v>1.0</v>
      </c>
      <c r="D2248" s="5" t="s">
        <v>6746</v>
      </c>
      <c r="E2248" s="5" t="s">
        <v>6747</v>
      </c>
      <c r="F2248" s="6" t="str">
        <f>IFERROR(__xludf.DUMMYFUNCTION("GOOGLETRANSLATE(D2248,""en"",""it"")"),"Mi piace anche la Turchia e i granchi.")</f>
        <v>Mi piace anche la Turchia e i granchi.</v>
      </c>
      <c r="G2248" s="6" t="str">
        <f>IFERROR(__xludf.DUMMYFUNCTION("GOOGLETRANSLATE(E2248,""fr"",""it"")"),"Amo la Turchia e anche i granchi.")</f>
        <v>Amo la Turchia e anche i granchi.</v>
      </c>
    </row>
    <row r="2249">
      <c r="A2249" s="4">
        <v>2247.0</v>
      </c>
      <c r="B2249" s="5" t="s">
        <v>6748</v>
      </c>
      <c r="C2249" s="4">
        <v>1.0</v>
      </c>
      <c r="D2249" s="5" t="s">
        <v>6749</v>
      </c>
      <c r="E2249" s="5" t="s">
        <v>6750</v>
      </c>
      <c r="F2249" s="6" t="str">
        <f>IFERROR(__xludf.DUMMYFUNCTION("GOOGLETRANSLATE(D2249,""en"",""it"")"),"Mi piacciono i granchi e anche la carne.")</f>
        <v>Mi piacciono i granchi e anche la carne.</v>
      </c>
      <c r="G2249" s="6" t="str">
        <f>IFERROR(__xludf.DUMMYFUNCTION("GOOGLETRANSLATE(E2249,""fr"",""it"")"),"Mi piacciono i granchi e anche il manzo.")</f>
        <v>Mi piacciono i granchi e anche il manzo.</v>
      </c>
    </row>
    <row r="2250">
      <c r="A2250" s="4">
        <v>2248.0</v>
      </c>
      <c r="B2250" s="5" t="s">
        <v>6751</v>
      </c>
      <c r="C2250" s="4">
        <v>1.0</v>
      </c>
      <c r="D2250" s="5" t="s">
        <v>6752</v>
      </c>
      <c r="E2250" s="5" t="s">
        <v>6753</v>
      </c>
      <c r="F2250" s="6" t="str">
        <f>IFERROR(__xludf.DUMMYFUNCTION("GOOGLETRANSLATE(D2250,""en"",""it"")"),"Mi piace anche il manzo e i granchi.")</f>
        <v>Mi piace anche il manzo e i granchi.</v>
      </c>
      <c r="G2250" s="6" t="str">
        <f>IFERROR(__xludf.DUMMYFUNCTION("GOOGLETRANSLATE(E2250,""fr"",""it"")"),"Amo la carne e anche i granchi.")</f>
        <v>Amo la carne e anche i granchi.</v>
      </c>
    </row>
    <row r="2251">
      <c r="A2251" s="4">
        <v>2249.0</v>
      </c>
      <c r="B2251" s="5" t="s">
        <v>6754</v>
      </c>
      <c r="C2251" s="4">
        <v>1.0</v>
      </c>
      <c r="D2251" s="5" t="s">
        <v>6755</v>
      </c>
      <c r="E2251" s="5" t="s">
        <v>6756</v>
      </c>
      <c r="F2251" s="6" t="str">
        <f>IFERROR(__xludf.DUMMYFUNCTION("GOOGLETRANSLATE(D2251,""en"",""it"")"),"Mi piacciono le ostriche e anche il pollo.")</f>
        <v>Mi piacciono le ostriche e anche il pollo.</v>
      </c>
      <c r="G2251" s="6" t="str">
        <f>IFERROR(__xludf.DUMMYFUNCTION("GOOGLETRANSLATE(E2251,""fr"",""it"")"),"Adoro le ostriche e anche il pollo.")</f>
        <v>Adoro le ostriche e anche il pollo.</v>
      </c>
    </row>
    <row r="2252">
      <c r="A2252" s="4">
        <v>2250.0</v>
      </c>
      <c r="B2252" s="5" t="s">
        <v>6757</v>
      </c>
      <c r="C2252" s="4">
        <v>1.0</v>
      </c>
      <c r="D2252" s="5" t="s">
        <v>6758</v>
      </c>
      <c r="E2252" s="5" t="s">
        <v>6759</v>
      </c>
      <c r="F2252" s="6" t="str">
        <f>IFERROR(__xludf.DUMMYFUNCTION("GOOGLETRANSLATE(D2252,""en"",""it"")"),"Mi piace anche il pollo e le ostriche.")</f>
        <v>Mi piace anche il pollo e le ostriche.</v>
      </c>
      <c r="G2252" s="6" t="str">
        <f>IFERROR(__xludf.DUMMYFUNCTION("GOOGLETRANSLATE(E2252,""fr"",""it"")"),"Amo il pollo e anche le ostriche.")</f>
        <v>Amo il pollo e anche le ostriche.</v>
      </c>
    </row>
    <row r="2253">
      <c r="A2253" s="4">
        <v>2251.0</v>
      </c>
      <c r="B2253" s="5" t="s">
        <v>6760</v>
      </c>
      <c r="C2253" s="4">
        <v>0.0</v>
      </c>
      <c r="D2253" s="5" t="s">
        <v>6761</v>
      </c>
      <c r="E2253" s="5" t="s">
        <v>6762</v>
      </c>
      <c r="F2253" s="6" t="str">
        <f>IFERROR(__xludf.DUMMYFUNCTION("GOOGLETRANSLATE(D2253,""en"",""it"")"),"Mi piacciono le ostriche e anche i frutti di mare.")</f>
        <v>Mi piacciono le ostriche e anche i frutti di mare.</v>
      </c>
      <c r="G2253" s="6" t="str">
        <f>IFERROR(__xludf.DUMMYFUNCTION("GOOGLETRANSLATE(E2253,""fr"",""it"")"),"Adoro le ostriche, e anche i prodotti del mare.")</f>
        <v>Adoro le ostriche, e anche i prodotti del mare.</v>
      </c>
    </row>
    <row r="2254">
      <c r="A2254" s="4">
        <v>2252.0</v>
      </c>
      <c r="B2254" s="5" t="s">
        <v>6763</v>
      </c>
      <c r="C2254" s="4">
        <v>0.0</v>
      </c>
      <c r="D2254" s="5" t="s">
        <v>6764</v>
      </c>
      <c r="E2254" s="5" t="s">
        <v>6765</v>
      </c>
      <c r="F2254" s="6" t="str">
        <f>IFERROR(__xludf.DUMMYFUNCTION("GOOGLETRANSLATE(D2254,""en"",""it"")"),"Mi piacciono anche i frutti di mare e le ostriche.")</f>
        <v>Mi piacciono anche i frutti di mare e le ostriche.</v>
      </c>
      <c r="G2254" s="6" t="str">
        <f>IFERROR(__xludf.DUMMYFUNCTION("GOOGLETRANSLATE(E2254,""fr"",""it"")"),"Mi piacciono i prodotti del mare e anche le ostriche.")</f>
        <v>Mi piacciono i prodotti del mare e anche le ostriche.</v>
      </c>
    </row>
    <row r="2255">
      <c r="A2255" s="4">
        <v>2253.0</v>
      </c>
      <c r="B2255" s="5" t="s">
        <v>6766</v>
      </c>
      <c r="C2255" s="4">
        <v>1.0</v>
      </c>
      <c r="D2255" s="5" t="s">
        <v>6767</v>
      </c>
      <c r="E2255" s="5" t="s">
        <v>6768</v>
      </c>
      <c r="F2255" s="6" t="str">
        <f>IFERROR(__xludf.DUMMYFUNCTION("GOOGLETRANSLATE(D2255,""en"",""it"")"),"Mi piacciono le ostriche e anche la vitello.")</f>
        <v>Mi piacciono le ostriche e anche la vitello.</v>
      </c>
      <c r="G2255" s="6" t="str">
        <f>IFERROR(__xludf.DUMMYFUNCTION("GOOGLETRANSLATE(E2255,""fr"",""it"")"),"Adoro le ostriche, e anche il vitello.")</f>
        <v>Adoro le ostriche, e anche il vitello.</v>
      </c>
    </row>
    <row r="2256">
      <c r="A2256" s="4">
        <v>2254.0</v>
      </c>
      <c r="B2256" s="5" t="s">
        <v>6769</v>
      </c>
      <c r="C2256" s="4">
        <v>1.0</v>
      </c>
      <c r="D2256" s="5" t="s">
        <v>6770</v>
      </c>
      <c r="E2256" s="5" t="s">
        <v>6771</v>
      </c>
      <c r="F2256" s="6" t="str">
        <f>IFERROR(__xludf.DUMMYFUNCTION("GOOGLETRANSLATE(D2256,""en"",""it"")"),"Mi piace anche il vitello e le ostriche.")</f>
        <v>Mi piace anche il vitello e le ostriche.</v>
      </c>
      <c r="G2256" s="6" t="str">
        <f>IFERROR(__xludf.DUMMYFUNCTION("GOOGLETRANSLATE(E2256,""fr"",""it"")"),"Adoro il polpaccio e anche le ostriche.")</f>
        <v>Adoro il polpaccio e anche le ostriche.</v>
      </c>
    </row>
    <row r="2257">
      <c r="A2257" s="4">
        <v>2255.0</v>
      </c>
      <c r="B2257" s="5" t="s">
        <v>6772</v>
      </c>
      <c r="C2257" s="4">
        <v>1.0</v>
      </c>
      <c r="D2257" s="5" t="s">
        <v>6773</v>
      </c>
      <c r="E2257" s="5" t="s">
        <v>6774</v>
      </c>
      <c r="F2257" s="6" t="str">
        <f>IFERROR(__xludf.DUMMYFUNCTION("GOOGLETRANSLATE(D2257,""en"",""it"")"),"Mi piacciono anche le ostriche e la Turchia.")</f>
        <v>Mi piacciono anche le ostriche e la Turchia.</v>
      </c>
      <c r="G2257" s="6" t="str">
        <f>IFERROR(__xludf.DUMMYFUNCTION("GOOGLETRANSLATE(E2257,""fr"",""it"")"),"Adoro le ostriche e anche la Turchia.")</f>
        <v>Adoro le ostriche e anche la Turchia.</v>
      </c>
    </row>
    <row r="2258">
      <c r="A2258" s="4">
        <v>2256.0</v>
      </c>
      <c r="B2258" s="5" t="s">
        <v>6775</v>
      </c>
      <c r="C2258" s="4">
        <v>1.0</v>
      </c>
      <c r="D2258" s="5" t="s">
        <v>6776</v>
      </c>
      <c r="E2258" s="5" t="s">
        <v>6777</v>
      </c>
      <c r="F2258" s="6" t="str">
        <f>IFERROR(__xludf.DUMMYFUNCTION("GOOGLETRANSLATE(D2258,""en"",""it"")"),"Mi piace anche la Turchia e le ostriche.")</f>
        <v>Mi piace anche la Turchia e le ostriche.</v>
      </c>
      <c r="G2258" s="6" t="str">
        <f>IFERROR(__xludf.DUMMYFUNCTION("GOOGLETRANSLATE(E2258,""fr"",""it"")"),"Amo la Turchia e anche le ostriche.")</f>
        <v>Amo la Turchia e anche le ostriche.</v>
      </c>
    </row>
    <row r="2259">
      <c r="A2259" s="4">
        <v>2257.0</v>
      </c>
      <c r="B2259" s="5" t="s">
        <v>6778</v>
      </c>
      <c r="C2259" s="4">
        <v>1.0</v>
      </c>
      <c r="D2259" s="5" t="s">
        <v>6779</v>
      </c>
      <c r="E2259" s="5" t="s">
        <v>6780</v>
      </c>
      <c r="F2259" s="6" t="str">
        <f>IFERROR(__xludf.DUMMYFUNCTION("GOOGLETRANSLATE(D2259,""en"",""it"")"),"Mi piacciono le ostriche e anche la carne.")</f>
        <v>Mi piacciono le ostriche e anche la carne.</v>
      </c>
      <c r="G2259" s="6" t="str">
        <f>IFERROR(__xludf.DUMMYFUNCTION("GOOGLETRANSLATE(E2259,""fr"",""it"")"),"Adoro le ostriche e anche manzo.")</f>
        <v>Adoro le ostriche e anche manzo.</v>
      </c>
    </row>
    <row r="2260">
      <c r="A2260" s="4">
        <v>2258.0</v>
      </c>
      <c r="B2260" s="5" t="s">
        <v>6781</v>
      </c>
      <c r="C2260" s="4">
        <v>1.0</v>
      </c>
      <c r="D2260" s="5" t="s">
        <v>6782</v>
      </c>
      <c r="E2260" s="5" t="s">
        <v>6783</v>
      </c>
      <c r="F2260" s="6" t="str">
        <f>IFERROR(__xludf.DUMMYFUNCTION("GOOGLETRANSLATE(D2260,""en"",""it"")"),"Mi piace anche il manzo e le ostriche.")</f>
        <v>Mi piace anche il manzo e le ostriche.</v>
      </c>
      <c r="G2260" s="6" t="str">
        <f>IFERROR(__xludf.DUMMYFUNCTION("GOOGLETRANSLATE(E2260,""fr"",""it"")"),"Amo la carne e anche le ostriche.")</f>
        <v>Amo la carne e anche le ostriche.</v>
      </c>
    </row>
    <row r="2261">
      <c r="A2261" s="4">
        <v>2259.0</v>
      </c>
      <c r="B2261" s="5" t="s">
        <v>6784</v>
      </c>
      <c r="C2261" s="4">
        <v>1.0</v>
      </c>
      <c r="D2261" s="5" t="s">
        <v>6785</v>
      </c>
      <c r="E2261" s="5" t="s">
        <v>6786</v>
      </c>
      <c r="F2261" s="6" t="str">
        <f>IFERROR(__xludf.DUMMYFUNCTION("GOOGLETRANSLATE(D2261,""en"",""it"")"),"Mi piace anche il caviale e il pollo.")</f>
        <v>Mi piace anche il caviale e il pollo.</v>
      </c>
      <c r="G2261" s="6" t="str">
        <f>IFERROR(__xludf.DUMMYFUNCTION("GOOGLETRANSLATE(E2261,""fr"",""it"")"),"Amo il caviale, e anche il pollo.")</f>
        <v>Amo il caviale, e anche il pollo.</v>
      </c>
    </row>
    <row r="2262">
      <c r="A2262" s="4">
        <v>2260.0</v>
      </c>
      <c r="B2262" s="5" t="s">
        <v>6787</v>
      </c>
      <c r="C2262" s="4">
        <v>1.0</v>
      </c>
      <c r="D2262" s="5" t="s">
        <v>6788</v>
      </c>
      <c r="E2262" s="5" t="s">
        <v>6789</v>
      </c>
      <c r="F2262" s="6" t="str">
        <f>IFERROR(__xludf.DUMMYFUNCTION("GOOGLETRANSLATE(D2262,""en"",""it"")"),"Mi piace anche il pollo e il caviale.")</f>
        <v>Mi piace anche il pollo e il caviale.</v>
      </c>
      <c r="G2262" s="6" t="str">
        <f>IFERROR(__xludf.DUMMYFUNCTION("GOOGLETRANSLATE(E2262,""fr"",""it"")"),"Amo il pollo, e anche il caviale.")</f>
        <v>Amo il pollo, e anche il caviale.</v>
      </c>
    </row>
    <row r="2263">
      <c r="A2263" s="4">
        <v>2261.0</v>
      </c>
      <c r="B2263" s="5" t="s">
        <v>6790</v>
      </c>
      <c r="C2263" s="4">
        <v>0.0</v>
      </c>
      <c r="D2263" s="5" t="s">
        <v>6791</v>
      </c>
      <c r="E2263" s="5" t="s">
        <v>6792</v>
      </c>
      <c r="F2263" s="6" t="str">
        <f>IFERROR(__xludf.DUMMYFUNCTION("GOOGLETRANSLATE(D2263,""en"",""it"")"),"Mi piace anche il caviale e il pesce.")</f>
        <v>Mi piace anche il caviale e il pesce.</v>
      </c>
      <c r="G2263" s="6" t="str">
        <f>IFERROR(__xludf.DUMMYFUNCTION("GOOGLETRANSLATE(E2263,""fr"",""it"")"),"Amo il caviale, e anche i prodotti del mare.")</f>
        <v>Amo il caviale, e anche i prodotti del mare.</v>
      </c>
    </row>
    <row r="2264">
      <c r="A2264" s="4">
        <v>2262.0</v>
      </c>
      <c r="B2264" s="5" t="s">
        <v>6793</v>
      </c>
      <c r="C2264" s="4">
        <v>0.0</v>
      </c>
      <c r="D2264" s="5" t="s">
        <v>6794</v>
      </c>
      <c r="E2264" s="5" t="s">
        <v>6795</v>
      </c>
      <c r="F2264" s="6" t="str">
        <f>IFERROR(__xludf.DUMMYFUNCTION("GOOGLETRANSLATE(D2264,""en"",""it"")"),"Mi piacciono anche i frutti di mare e il caviale.")</f>
        <v>Mi piacciono anche i frutti di mare e il caviale.</v>
      </c>
      <c r="G2264" s="6" t="str">
        <f>IFERROR(__xludf.DUMMYFUNCTION("GOOGLETRANSLATE(E2264,""fr"",""it"")"),"Mi piacciono i prodotti del mare e anche il caviale.")</f>
        <v>Mi piacciono i prodotti del mare e anche il caviale.</v>
      </c>
    </row>
    <row r="2265">
      <c r="A2265" s="4">
        <v>2263.0</v>
      </c>
      <c r="B2265" s="5" t="s">
        <v>6796</v>
      </c>
      <c r="C2265" s="4">
        <v>1.0</v>
      </c>
      <c r="D2265" s="5" t="s">
        <v>6797</v>
      </c>
      <c r="E2265" s="5" t="s">
        <v>6798</v>
      </c>
      <c r="F2265" s="6" t="str">
        <f>IFERROR(__xludf.DUMMYFUNCTION("GOOGLETRANSLATE(D2265,""en"",""it"")"),"Mi piace anche il caviale e il vitello.")</f>
        <v>Mi piace anche il caviale e il vitello.</v>
      </c>
      <c r="G2265" s="6" t="str">
        <f>IFERROR(__xludf.DUMMYFUNCTION("GOOGLETRANSLATE(E2265,""fr"",""it"")"),"Amo il caviale, e anche il vitello.")</f>
        <v>Amo il caviale, e anche il vitello.</v>
      </c>
    </row>
    <row r="2266">
      <c r="A2266" s="4">
        <v>2264.0</v>
      </c>
      <c r="B2266" s="5" t="s">
        <v>6799</v>
      </c>
      <c r="C2266" s="4">
        <v>1.0</v>
      </c>
      <c r="D2266" s="5" t="s">
        <v>6800</v>
      </c>
      <c r="E2266" s="5" t="s">
        <v>6801</v>
      </c>
      <c r="F2266" s="6" t="str">
        <f>IFERROR(__xludf.DUMMYFUNCTION("GOOGLETRANSLATE(D2266,""en"",""it"")"),"Mi piace anche il vitello e il caviale.")</f>
        <v>Mi piace anche il vitello e il caviale.</v>
      </c>
      <c r="G2266" s="6" t="str">
        <f>IFERROR(__xludf.DUMMYFUNCTION("GOOGLETRANSLATE(E2266,""fr"",""it"")"),"Adoro il polpaccio e anche il caviale.")</f>
        <v>Adoro il polpaccio e anche il caviale.</v>
      </c>
    </row>
    <row r="2267">
      <c r="A2267" s="4">
        <v>2265.0</v>
      </c>
      <c r="B2267" s="5" t="s">
        <v>6802</v>
      </c>
      <c r="C2267" s="4">
        <v>1.0</v>
      </c>
      <c r="D2267" s="5" t="s">
        <v>6803</v>
      </c>
      <c r="E2267" s="5" t="s">
        <v>6804</v>
      </c>
      <c r="F2267" s="6" t="str">
        <f>IFERROR(__xludf.DUMMYFUNCTION("GOOGLETRANSLATE(D2267,""en"",""it"")"),"Mi piace anche il caviale e la tacchino.")</f>
        <v>Mi piace anche il caviale e la tacchino.</v>
      </c>
      <c r="G2267" s="6" t="str">
        <f>IFERROR(__xludf.DUMMYFUNCTION("GOOGLETRANSLATE(E2267,""fr"",""it"")"),"Amo il caviale, e anche la Turchia.")</f>
        <v>Amo il caviale, e anche la Turchia.</v>
      </c>
    </row>
    <row r="2268">
      <c r="A2268" s="4">
        <v>2266.0</v>
      </c>
      <c r="B2268" s="5" t="s">
        <v>6805</v>
      </c>
      <c r="C2268" s="4">
        <v>1.0</v>
      </c>
      <c r="D2268" s="5" t="s">
        <v>6806</v>
      </c>
      <c r="E2268" s="5" t="s">
        <v>6807</v>
      </c>
      <c r="F2268" s="6" t="str">
        <f>IFERROR(__xludf.DUMMYFUNCTION("GOOGLETRANSLATE(D2268,""en"",""it"")"),"Mi piace anche la Turchia e il caviale.")</f>
        <v>Mi piace anche la Turchia e il caviale.</v>
      </c>
      <c r="G2268" s="6" t="str">
        <f>IFERROR(__xludf.DUMMYFUNCTION("GOOGLETRANSLATE(E2268,""fr"",""it"")"),"Amo la Turchia, e anche il caviale.")</f>
        <v>Amo la Turchia, e anche il caviale.</v>
      </c>
    </row>
    <row r="2269">
      <c r="A2269" s="4">
        <v>2267.0</v>
      </c>
      <c r="B2269" s="5" t="s">
        <v>6808</v>
      </c>
      <c r="C2269" s="4">
        <v>1.0</v>
      </c>
      <c r="D2269" s="5" t="s">
        <v>6809</v>
      </c>
      <c r="E2269" s="5" t="s">
        <v>6810</v>
      </c>
      <c r="F2269" s="6" t="str">
        <f>IFERROR(__xludf.DUMMYFUNCTION("GOOGLETRANSLATE(D2269,""en"",""it"")"),"Mi piace il caviale e anche la carne.")</f>
        <v>Mi piace il caviale e anche la carne.</v>
      </c>
      <c r="G2269" s="6" t="str">
        <f>IFERROR(__xludf.DUMMYFUNCTION("GOOGLETRANSLATE(E2269,""fr"",""it"")"),"Amo il caviale, e anche manzo.")</f>
        <v>Amo il caviale, e anche manzo.</v>
      </c>
    </row>
    <row r="2270">
      <c r="A2270" s="4">
        <v>2268.0</v>
      </c>
      <c r="B2270" s="5" t="s">
        <v>6811</v>
      </c>
      <c r="C2270" s="4">
        <v>1.0</v>
      </c>
      <c r="D2270" s="5" t="s">
        <v>6812</v>
      </c>
      <c r="E2270" s="5" t="s">
        <v>6813</v>
      </c>
      <c r="F2270" s="6" t="str">
        <f>IFERROR(__xludf.DUMMYFUNCTION("GOOGLETRANSLATE(D2270,""en"",""it"")"),"Mi piace anche il manzo e il caviale.")</f>
        <v>Mi piace anche il manzo e il caviale.</v>
      </c>
      <c r="G2270" s="6" t="str">
        <f>IFERROR(__xludf.DUMMYFUNCTION("GOOGLETRANSLATE(E2270,""fr"",""it"")"),"Amo il manzo, e anche il caviale.")</f>
        <v>Amo il manzo, e anche il caviale.</v>
      </c>
    </row>
    <row r="2271">
      <c r="A2271" s="4">
        <v>2269.0</v>
      </c>
      <c r="B2271" s="5" t="s">
        <v>6814</v>
      </c>
      <c r="C2271" s="4">
        <v>1.0</v>
      </c>
      <c r="D2271" s="5" t="s">
        <v>6815</v>
      </c>
      <c r="E2271" s="5" t="s">
        <v>6816</v>
      </c>
      <c r="F2271" s="6" t="str">
        <f>IFERROR(__xludf.DUMMYFUNCTION("GOOGLETRANSLATE(D2271,""en"",""it"")"),"Mi piacciono anche i thriller e i saggi.")</f>
        <v>Mi piacciono anche i thriller e i saggi.</v>
      </c>
      <c r="G2271" s="6" t="str">
        <f>IFERROR(__xludf.DUMMYFUNCTION("GOOGLETRANSLATE(E2271,""fr"",""it"")"),"Mi piacciono i thriller e anche i test.")</f>
        <v>Mi piacciono i thriller e anche i test.</v>
      </c>
    </row>
    <row r="2272">
      <c r="A2272" s="4">
        <v>2270.0</v>
      </c>
      <c r="B2272" s="5" t="s">
        <v>6817</v>
      </c>
      <c r="C2272" s="4">
        <v>1.0</v>
      </c>
      <c r="D2272" s="5" t="s">
        <v>6818</v>
      </c>
      <c r="E2272" s="5" t="s">
        <v>6819</v>
      </c>
      <c r="F2272" s="6" t="str">
        <f>IFERROR(__xludf.DUMMYFUNCTION("GOOGLETRANSLATE(D2272,""en"",""it"")"),"Mi piacciono i saggi e anche i thriller.")</f>
        <v>Mi piacciono i saggi e anche i thriller.</v>
      </c>
      <c r="G2272" s="6" t="str">
        <f>IFERROR(__xludf.DUMMYFUNCTION("GOOGLETRANSLATE(E2272,""fr"",""it"")"),"Mi piacciono i test e anche i thriller.")</f>
        <v>Mi piacciono i test e anche i thriller.</v>
      </c>
    </row>
    <row r="2273">
      <c r="A2273" s="4">
        <v>2271.0</v>
      </c>
      <c r="B2273" s="5" t="s">
        <v>6820</v>
      </c>
      <c r="C2273" s="4">
        <v>0.0</v>
      </c>
      <c r="D2273" s="5" t="s">
        <v>6821</v>
      </c>
      <c r="E2273" s="5" t="s">
        <v>6822</v>
      </c>
      <c r="F2273" s="6" t="str">
        <f>IFERROR(__xludf.DUMMYFUNCTION("GOOGLETRANSLATE(D2273,""en"",""it"")"),"Mi piacciono anche i thriller e i film.")</f>
        <v>Mi piacciono anche i thriller e i film.</v>
      </c>
      <c r="G2273" s="6" t="str">
        <f>IFERROR(__xludf.DUMMYFUNCTION("GOOGLETRANSLATE(E2273,""fr"",""it"")"),"Mi piacciono i thriller e anche i film.")</f>
        <v>Mi piacciono i thriller e anche i film.</v>
      </c>
    </row>
    <row r="2274">
      <c r="A2274" s="4">
        <v>2272.0</v>
      </c>
      <c r="B2274" s="5" t="s">
        <v>6823</v>
      </c>
      <c r="C2274" s="4">
        <v>0.0</v>
      </c>
      <c r="D2274" s="5" t="s">
        <v>6824</v>
      </c>
      <c r="E2274" s="5" t="s">
        <v>6825</v>
      </c>
      <c r="F2274" s="6" t="str">
        <f>IFERROR(__xludf.DUMMYFUNCTION("GOOGLETRANSLATE(D2274,""en"",""it"")"),"Mi piacciono i film e anche i thriller.")</f>
        <v>Mi piacciono i film e anche i thriller.</v>
      </c>
      <c r="G2274" s="6" t="str">
        <f>IFERROR(__xludf.DUMMYFUNCTION("GOOGLETRANSLATE(E2274,""fr"",""it"")"),"Amo i film e anche i thriller.")</f>
        <v>Amo i film e anche i thriller.</v>
      </c>
    </row>
    <row r="2275">
      <c r="A2275" s="4">
        <v>2273.0</v>
      </c>
      <c r="B2275" s="5" t="s">
        <v>6826</v>
      </c>
      <c r="C2275" s="4">
        <v>1.0</v>
      </c>
      <c r="D2275" s="5" t="s">
        <v>6827</v>
      </c>
      <c r="E2275" s="5" t="s">
        <v>6828</v>
      </c>
      <c r="F2275" s="6" t="str">
        <f>IFERROR(__xludf.DUMMYFUNCTION("GOOGLETRANSLATE(D2275,""en"",""it"")"),"Mi piacciono i film e i saggi anche.")</f>
        <v>Mi piacciono i film e i saggi anche.</v>
      </c>
      <c r="G2275" s="6" t="str">
        <f>IFERROR(__xludf.DUMMYFUNCTION("GOOGLETRANSLATE(E2275,""fr"",""it"")"),"Amo i film, e anche i test.")</f>
        <v>Amo i film, e anche i test.</v>
      </c>
    </row>
    <row r="2276">
      <c r="A2276" s="4">
        <v>2274.0</v>
      </c>
      <c r="B2276" s="5" t="s">
        <v>6829</v>
      </c>
      <c r="C2276" s="4">
        <v>1.0</v>
      </c>
      <c r="D2276" s="5" t="s">
        <v>6830</v>
      </c>
      <c r="E2276" s="5" t="s">
        <v>6831</v>
      </c>
      <c r="F2276" s="6" t="str">
        <f>IFERROR(__xludf.DUMMYFUNCTION("GOOGLETRANSLATE(D2276,""en"",""it"")"),"Mi piacciono anche i thriller e i libri di testo.")</f>
        <v>Mi piacciono anche i thriller e i libri di testo.</v>
      </c>
      <c r="G2276" s="6" t="str">
        <f>IFERROR(__xludf.DUMMYFUNCTION("GOOGLETRANSLATE(E2276,""fr"",""it"")"),"Mi piacciono i thriller e anche i libri di testo.")</f>
        <v>Mi piacciono i thriller e anche i libri di testo.</v>
      </c>
    </row>
    <row r="2277">
      <c r="A2277" s="4">
        <v>2275.0</v>
      </c>
      <c r="B2277" s="5" t="s">
        <v>6832</v>
      </c>
      <c r="C2277" s="4">
        <v>1.0</v>
      </c>
      <c r="D2277" s="5" t="s">
        <v>6833</v>
      </c>
      <c r="E2277" s="5" t="s">
        <v>6834</v>
      </c>
      <c r="F2277" s="6" t="str">
        <f>IFERROR(__xludf.DUMMYFUNCTION("GOOGLETRANSLATE(D2277,""en"",""it"")"),"Mi piacciono i libri di testo e anche i thriller.")</f>
        <v>Mi piacciono i libri di testo e anche i thriller.</v>
      </c>
      <c r="G2277" s="6" t="str">
        <f>IFERROR(__xludf.DUMMYFUNCTION("GOOGLETRANSLATE(E2277,""fr"",""it"")"),"Mi piacciono i libri di testo scolastici e anche i thriller.")</f>
        <v>Mi piacciono i libri di testo scolastici e anche i thriller.</v>
      </c>
    </row>
    <row r="2278">
      <c r="A2278" s="4">
        <v>2276.0</v>
      </c>
      <c r="B2278" s="5" t="s">
        <v>6835</v>
      </c>
      <c r="C2278" s="4">
        <v>1.0</v>
      </c>
      <c r="D2278" s="5" t="s">
        <v>6836</v>
      </c>
      <c r="E2278" s="5" t="s">
        <v>6837</v>
      </c>
      <c r="F2278" s="6" t="str">
        <f>IFERROR(__xludf.DUMMYFUNCTION("GOOGLETRANSLATE(D2278,""en"",""it"")"),"Mi piacciono anche i film e i libri di testo.")</f>
        <v>Mi piacciono anche i film e i libri di testo.</v>
      </c>
      <c r="G2278" s="6" t="str">
        <f>IFERROR(__xludf.DUMMYFUNCTION("GOOGLETRANSLATE(E2278,""fr"",""it"")"),"Amo i film e anche i libri di testo.")</f>
        <v>Amo i film e anche i libri di testo.</v>
      </c>
    </row>
    <row r="2279">
      <c r="A2279" s="4">
        <v>2277.0</v>
      </c>
      <c r="B2279" s="5" t="s">
        <v>6838</v>
      </c>
      <c r="C2279" s="4">
        <v>1.0</v>
      </c>
      <c r="D2279" s="5" t="s">
        <v>6839</v>
      </c>
      <c r="E2279" s="5" t="s">
        <v>6840</v>
      </c>
      <c r="F2279" s="6" t="str">
        <f>IFERROR(__xludf.DUMMYFUNCTION("GOOGLETRANSLATE(D2279,""en"",""it"")"),"Mi piacciono i thriller e i tavolini anche.")</f>
        <v>Mi piacciono i thriller e i tavolini anche.</v>
      </c>
      <c r="G2279" s="6" t="str">
        <f>IFERROR(__xludf.DUMMYFUNCTION("GOOGLETRANSLATE(E2279,""fr"",""it"")"),"Mi piacciono i thriller e anche i giochi da tavolo.")</f>
        <v>Mi piacciono i thriller e anche i giochi da tavolo.</v>
      </c>
    </row>
    <row r="2280">
      <c r="A2280" s="4">
        <v>2278.0</v>
      </c>
      <c r="B2280" s="5" t="s">
        <v>6841</v>
      </c>
      <c r="C2280" s="4">
        <v>1.0</v>
      </c>
      <c r="D2280" s="5" t="s">
        <v>6842</v>
      </c>
      <c r="E2280" s="5" t="s">
        <v>6843</v>
      </c>
      <c r="F2280" s="6" t="str">
        <f>IFERROR(__xludf.DUMMYFUNCTION("GOOGLETRANSLATE(D2280,""en"",""it"")"),"Mi piacciono anche i boardgames e i thriller.")</f>
        <v>Mi piacciono anche i boardgames e i thriller.</v>
      </c>
      <c r="G2280" s="6" t="str">
        <f>IFERROR(__xludf.DUMMYFUNCTION("GOOGLETRANSLATE(E2280,""fr"",""it"")"),"Mi piacciono i giochi da tavolo e anche i thriller.")</f>
        <v>Mi piacciono i giochi da tavolo e anche i thriller.</v>
      </c>
    </row>
    <row r="2281">
      <c r="A2281" s="4">
        <v>2279.0</v>
      </c>
      <c r="B2281" s="5" t="s">
        <v>6844</v>
      </c>
      <c r="C2281" s="4">
        <v>1.0</v>
      </c>
      <c r="D2281" s="5" t="s">
        <v>6845</v>
      </c>
      <c r="E2281" s="5" t="s">
        <v>6846</v>
      </c>
      <c r="F2281" s="6" t="str">
        <f>IFERROR(__xludf.DUMMYFUNCTION("GOOGLETRANSLATE(D2281,""en"",""it"")"),"Mi piacciono i film e i tavolini anche.")</f>
        <v>Mi piacciono i film e i tavolini anche.</v>
      </c>
      <c r="G2281" s="6" t="str">
        <f>IFERROR(__xludf.DUMMYFUNCTION("GOOGLETRANSLATE(E2281,""fr"",""it"")"),"Mi piacciono i film e anche i giochi da tavolo.")</f>
        <v>Mi piacciono i film e anche i giochi da tavolo.</v>
      </c>
    </row>
    <row r="2282">
      <c r="A2282" s="4">
        <v>2280.0</v>
      </c>
      <c r="B2282" s="5" t="s">
        <v>6847</v>
      </c>
      <c r="C2282" s="4">
        <v>1.0</v>
      </c>
      <c r="D2282" s="5" t="s">
        <v>6848</v>
      </c>
      <c r="E2282" s="5" t="s">
        <v>6849</v>
      </c>
      <c r="F2282" s="6" t="str">
        <f>IFERROR(__xludf.DUMMYFUNCTION("GOOGLETRANSLATE(D2282,""en"",""it"")"),"Mi piacciono i thriller e i videogiochi.")</f>
        <v>Mi piacciono i thriller e i videogiochi.</v>
      </c>
      <c r="G2282" s="6" t="str">
        <f>IFERROR(__xludf.DUMMYFUNCTION("GOOGLETRANSLATE(E2282,""fr"",""it"")"),"Mi piacciono i thriller e anche i videogiochi.")</f>
        <v>Mi piacciono i thriller e anche i videogiochi.</v>
      </c>
    </row>
    <row r="2283">
      <c r="A2283" s="4">
        <v>2281.0</v>
      </c>
      <c r="B2283" s="5" t="s">
        <v>6850</v>
      </c>
      <c r="C2283" s="4">
        <v>1.0</v>
      </c>
      <c r="D2283" s="5" t="s">
        <v>6851</v>
      </c>
      <c r="E2283" s="5" t="s">
        <v>6852</v>
      </c>
      <c r="F2283" s="6" t="str">
        <f>IFERROR(__xludf.DUMMYFUNCTION("GOOGLETRANSLATE(D2283,""en"",""it"")"),"Mi piacciono anche i videogiochi e i thriller.")</f>
        <v>Mi piacciono anche i videogiochi e i thriller.</v>
      </c>
      <c r="G2283" s="6" t="str">
        <f>IFERROR(__xludf.DUMMYFUNCTION("GOOGLETRANSLATE(E2283,""fr"",""it"")"),"Mi piacciono i videogiochi e anche i thriller.")</f>
        <v>Mi piacciono i videogiochi e anche i thriller.</v>
      </c>
    </row>
    <row r="2284">
      <c r="A2284" s="4">
        <v>2282.0</v>
      </c>
      <c r="B2284" s="5" t="s">
        <v>6853</v>
      </c>
      <c r="C2284" s="4">
        <v>0.0</v>
      </c>
      <c r="D2284" s="5" t="s">
        <v>6854</v>
      </c>
      <c r="E2284" s="5" t="s">
        <v>6855</v>
      </c>
      <c r="F2284" s="6" t="str">
        <f>IFERROR(__xludf.DUMMYFUNCTION("GOOGLETRANSLATE(D2284,""en"",""it"")"),"Mi piace Prosciutto, tranne il pesce.")</f>
        <v>Mi piace Prosciutto, tranne il pesce.</v>
      </c>
      <c r="G2284" s="6" t="str">
        <f>IFERROR(__xludf.DUMMYFUNCTION("GOOGLETRANSLATE(E2284,""fr"",""it"")"),"Adoro il prosciutto, tranne il pesce.")</f>
        <v>Adoro il prosciutto, tranne il pesce.</v>
      </c>
    </row>
    <row r="2285">
      <c r="A2285" s="4">
        <v>2283.0</v>
      </c>
      <c r="B2285" s="5" t="s">
        <v>6856</v>
      </c>
      <c r="C2285" s="4">
        <v>1.0</v>
      </c>
      <c r="D2285" s="5" t="s">
        <v>6857</v>
      </c>
      <c r="E2285" s="5" t="s">
        <v>6858</v>
      </c>
      <c r="F2285" s="6" t="str">
        <f>IFERROR(__xludf.DUMMYFUNCTION("GOOGLETRANSLATE(D2285,""en"",""it"")"),"Mi piacciono i film e i videogiochi anche.")</f>
        <v>Mi piacciono i film e i videogiochi anche.</v>
      </c>
      <c r="G2285" s="6" t="str">
        <f>IFERROR(__xludf.DUMMYFUNCTION("GOOGLETRANSLATE(E2285,""fr"",""it"")"),"Mi piacciono i film e anche i videogiochi.")</f>
        <v>Mi piacciono i film e anche i videogiochi.</v>
      </c>
    </row>
    <row r="2286">
      <c r="A2286" s="4">
        <v>2284.0</v>
      </c>
      <c r="B2286" s="5" t="s">
        <v>6859</v>
      </c>
      <c r="C2286" s="4">
        <v>1.0</v>
      </c>
      <c r="D2286" s="5" t="s">
        <v>6860</v>
      </c>
      <c r="E2286" s="5" t="s">
        <v>6861</v>
      </c>
      <c r="F2286" s="6" t="str">
        <f>IFERROR(__xludf.DUMMYFUNCTION("GOOGLETRANSLATE(D2286,""en"",""it"")"),"Mi piacciono anche i western e i saggi.")</f>
        <v>Mi piacciono anche i western e i saggi.</v>
      </c>
      <c r="G2286" s="6" t="str">
        <f>IFERROR(__xludf.DUMMYFUNCTION("GOOGLETRANSLATE(E2286,""fr"",""it"")"),"Mi piacciono i western, e anche i test.")</f>
        <v>Mi piacciono i western, e anche i test.</v>
      </c>
    </row>
    <row r="2287">
      <c r="A2287" s="4">
        <v>2285.0</v>
      </c>
      <c r="B2287" s="5" t="s">
        <v>6862</v>
      </c>
      <c r="C2287" s="4">
        <v>1.0</v>
      </c>
      <c r="D2287" s="5" t="s">
        <v>6863</v>
      </c>
      <c r="E2287" s="5" t="s">
        <v>6864</v>
      </c>
      <c r="F2287" s="6" t="str">
        <f>IFERROR(__xludf.DUMMYFUNCTION("GOOGLETRANSLATE(D2287,""en"",""it"")"),"Mi piacciono i saggi e anche i western.")</f>
        <v>Mi piacciono i saggi e anche i western.</v>
      </c>
      <c r="G2287" s="6" t="str">
        <f>IFERROR(__xludf.DUMMYFUNCTION("GOOGLETRANSLATE(E2287,""fr"",""it"")"),"Mi piacciono i test e anche gli occidentali.")</f>
        <v>Mi piacciono i test e anche gli occidentali.</v>
      </c>
    </row>
    <row r="2288">
      <c r="A2288" s="4">
        <v>2286.0</v>
      </c>
      <c r="B2288" s="5" t="s">
        <v>6865</v>
      </c>
      <c r="C2288" s="4">
        <v>0.0</v>
      </c>
      <c r="D2288" s="5" t="s">
        <v>6866</v>
      </c>
      <c r="E2288" s="5" t="s">
        <v>6867</v>
      </c>
      <c r="F2288" s="6" t="str">
        <f>IFERROR(__xludf.DUMMYFUNCTION("GOOGLETRANSLATE(D2288,""en"",""it"")"),"Mi piacciono i western e anche i film.")</f>
        <v>Mi piacciono i western e anche i film.</v>
      </c>
      <c r="G2288" s="6" t="str">
        <f>IFERROR(__xludf.DUMMYFUNCTION("GOOGLETRANSLATE(E2288,""fr"",""it"")"),"Mi piacciono i western e anche i film.")</f>
        <v>Mi piacciono i western e anche i film.</v>
      </c>
    </row>
    <row r="2289">
      <c r="A2289" s="4">
        <v>2287.0</v>
      </c>
      <c r="B2289" s="5" t="s">
        <v>6868</v>
      </c>
      <c r="C2289" s="4">
        <v>0.0</v>
      </c>
      <c r="D2289" s="5" t="s">
        <v>6869</v>
      </c>
      <c r="E2289" s="5" t="s">
        <v>6870</v>
      </c>
      <c r="F2289" s="6" t="str">
        <f>IFERROR(__xludf.DUMMYFUNCTION("GOOGLETRANSLATE(D2289,""en"",""it"")"),"Mi piacciono i film e anche i western.")</f>
        <v>Mi piacciono i film e anche i western.</v>
      </c>
      <c r="G2289" s="6" t="str">
        <f>IFERROR(__xludf.DUMMYFUNCTION("GOOGLETRANSLATE(E2289,""fr"",""it"")"),"Mi piacciono i film e anche i western.")</f>
        <v>Mi piacciono i film e anche i western.</v>
      </c>
    </row>
    <row r="2290">
      <c r="A2290" s="4">
        <v>2288.0</v>
      </c>
      <c r="B2290" s="5" t="s">
        <v>6871</v>
      </c>
      <c r="C2290" s="4">
        <v>1.0</v>
      </c>
      <c r="D2290" s="5" t="s">
        <v>6872</v>
      </c>
      <c r="E2290" s="5" t="s">
        <v>6873</v>
      </c>
      <c r="F2290" s="6" t="str">
        <f>IFERROR(__xludf.DUMMYFUNCTION("GOOGLETRANSLATE(D2290,""en"",""it"")"),"Mi piacciono anche i western e libri di testo.")</f>
        <v>Mi piacciono anche i western e libri di testo.</v>
      </c>
      <c r="G2290" s="6" t="str">
        <f>IFERROR(__xludf.DUMMYFUNCTION("GOOGLETRANSLATE(E2290,""fr"",""it"")"),"Mi piacciono i western, e anche i libri di testo.")</f>
        <v>Mi piacciono i western, e anche i libri di testo.</v>
      </c>
    </row>
    <row r="2291">
      <c r="A2291" s="4">
        <v>2289.0</v>
      </c>
      <c r="B2291" s="5" t="s">
        <v>6874</v>
      </c>
      <c r="C2291" s="4">
        <v>1.0</v>
      </c>
      <c r="D2291" s="5" t="s">
        <v>6875</v>
      </c>
      <c r="E2291" s="5" t="s">
        <v>6876</v>
      </c>
      <c r="F2291" s="6" t="str">
        <f>IFERROR(__xludf.DUMMYFUNCTION("GOOGLETRANSLATE(D2291,""en"",""it"")"),"Mi piacciono anche i libri di testo e i western.")</f>
        <v>Mi piacciono anche i libri di testo e i western.</v>
      </c>
      <c r="G2291" s="6" t="str">
        <f>IFERROR(__xludf.DUMMYFUNCTION("GOOGLETRANSLATE(E2291,""fr"",""it"")"),"Mi piacciono i libri di testo scolastici e anche i western.")</f>
        <v>Mi piacciono i libri di testo scolastici e anche i western.</v>
      </c>
    </row>
    <row r="2292">
      <c r="A2292" s="4">
        <v>2290.0</v>
      </c>
      <c r="B2292" s="5" t="s">
        <v>6877</v>
      </c>
      <c r="C2292" s="4">
        <v>0.0</v>
      </c>
      <c r="D2292" s="5" t="s">
        <v>6878</v>
      </c>
      <c r="E2292" s="5" t="s">
        <v>6879</v>
      </c>
      <c r="F2292" s="6" t="str">
        <f>IFERROR(__xludf.DUMMYFUNCTION("GOOGLETRANSLATE(D2292,""en"",""it"")"),"Mi piace il pesce, tranne il prosciutto.")</f>
        <v>Mi piace il pesce, tranne il prosciutto.</v>
      </c>
      <c r="G2292" s="6" t="str">
        <f>IFERROR(__xludf.DUMMYFUNCTION("GOOGLETRANSLATE(E2292,""fr"",""it"")"),"Amo il pesce tranne il prosciutto.")</f>
        <v>Amo il pesce tranne il prosciutto.</v>
      </c>
    </row>
    <row r="2293">
      <c r="A2293" s="4">
        <v>2291.0</v>
      </c>
      <c r="B2293" s="5" t="s">
        <v>6880</v>
      </c>
      <c r="C2293" s="4">
        <v>1.0</v>
      </c>
      <c r="D2293" s="5" t="s">
        <v>6881</v>
      </c>
      <c r="E2293" s="5" t="s">
        <v>6882</v>
      </c>
      <c r="F2293" s="6" t="str">
        <f>IFERROR(__xludf.DUMMYFUNCTION("GOOGLETRANSLATE(D2293,""en"",""it"")"),"Mi piacciono anche i western e i tavolini.")</f>
        <v>Mi piacciono anche i western e i tavolini.</v>
      </c>
      <c r="G2293" s="6" t="str">
        <f>IFERROR(__xludf.DUMMYFUNCTION("GOOGLETRANSLATE(E2293,""fr"",""it"")"),"Mi piacciono i western e anche i giochi da tavolo.")</f>
        <v>Mi piacciono i western e anche i giochi da tavolo.</v>
      </c>
    </row>
    <row r="2294">
      <c r="A2294" s="4">
        <v>2292.0</v>
      </c>
      <c r="B2294" s="5" t="s">
        <v>6883</v>
      </c>
      <c r="C2294" s="4">
        <v>1.0</v>
      </c>
      <c r="D2294" s="5" t="s">
        <v>6884</v>
      </c>
      <c r="E2294" s="5" t="s">
        <v>6885</v>
      </c>
      <c r="F2294" s="6" t="str">
        <f>IFERROR(__xludf.DUMMYFUNCTION("GOOGLETRANSLATE(D2294,""en"",""it"")"),"Mi piacciono anche i boardgames e westerns.")</f>
        <v>Mi piacciono anche i boardgames e westerns.</v>
      </c>
      <c r="G2294" s="6" t="str">
        <f>IFERROR(__xludf.DUMMYFUNCTION("GOOGLETRANSLATE(E2294,""fr"",""it"")"),"Mi piacciono i giochi da tavolo, e anche gli occidentali.")</f>
        <v>Mi piacciono i giochi da tavolo, e anche gli occidentali.</v>
      </c>
    </row>
    <row r="2295">
      <c r="A2295" s="4">
        <v>2293.0</v>
      </c>
      <c r="B2295" s="5" t="s">
        <v>6886</v>
      </c>
      <c r="C2295" s="4">
        <v>1.0</v>
      </c>
      <c r="D2295" s="5" t="s">
        <v>6887</v>
      </c>
      <c r="E2295" s="5" t="s">
        <v>6888</v>
      </c>
      <c r="F2295" s="6" t="str">
        <f>IFERROR(__xludf.DUMMYFUNCTION("GOOGLETRANSLATE(D2295,""en"",""it"")"),"Mi piacciono anche i western e i videogiochi.")</f>
        <v>Mi piacciono anche i western e i videogiochi.</v>
      </c>
      <c r="G2295" s="6" t="str">
        <f>IFERROR(__xludf.DUMMYFUNCTION("GOOGLETRANSLATE(E2295,""fr"",""it"")"),"Mi piacciono i western e anche i videogiochi.")</f>
        <v>Mi piacciono i western e anche i videogiochi.</v>
      </c>
    </row>
    <row r="2296">
      <c r="A2296" s="4">
        <v>2294.0</v>
      </c>
      <c r="B2296" s="5" t="s">
        <v>6889</v>
      </c>
      <c r="C2296" s="4">
        <v>1.0</v>
      </c>
      <c r="D2296" s="5" t="s">
        <v>6890</v>
      </c>
      <c r="E2296" s="5" t="s">
        <v>6891</v>
      </c>
      <c r="F2296" s="6" t="str">
        <f>IFERROR(__xludf.DUMMYFUNCTION("GOOGLETRANSLATE(D2296,""en"",""it"")"),"Mi piacciono anche i videogiochi e gli occidentali.")</f>
        <v>Mi piacciono anche i videogiochi e gli occidentali.</v>
      </c>
      <c r="G2296" s="6" t="str">
        <f>IFERROR(__xludf.DUMMYFUNCTION("GOOGLETRANSLATE(E2296,""fr"",""it"")"),"Mi piacciono i videogiochi e anche i western.")</f>
        <v>Mi piacciono i videogiochi e anche i western.</v>
      </c>
    </row>
    <row r="2297">
      <c r="A2297" s="4">
        <v>2295.0</v>
      </c>
      <c r="B2297" s="5" t="s">
        <v>6892</v>
      </c>
      <c r="C2297" s="4">
        <v>0.0</v>
      </c>
      <c r="D2297" s="5" t="s">
        <v>6893</v>
      </c>
      <c r="E2297" s="5" t="s">
        <v>6894</v>
      </c>
      <c r="F2297" s="6" t="str">
        <f>IFERROR(__xludf.DUMMYFUNCTION("GOOGLETRANSLATE(D2297,""en"",""it"")"),"Mi piace Prosciutto, tranne il maiale.")</f>
        <v>Mi piace Prosciutto, tranne il maiale.</v>
      </c>
      <c r="G2297" s="6" t="str">
        <f>IFERROR(__xludf.DUMMYFUNCTION("GOOGLETRANSLATE(E2297,""fr"",""it"")"),"Adoro il prosciutto, tranne il maiale.")</f>
        <v>Adoro il prosciutto, tranne il maiale.</v>
      </c>
    </row>
    <row r="2298">
      <c r="A2298" s="4">
        <v>2296.0</v>
      </c>
      <c r="B2298" s="5" t="s">
        <v>6895</v>
      </c>
      <c r="C2298" s="4">
        <v>1.0</v>
      </c>
      <c r="D2298" s="5" t="s">
        <v>6896</v>
      </c>
      <c r="E2298" s="5" t="s">
        <v>6897</v>
      </c>
      <c r="F2298" s="6" t="str">
        <f>IFERROR(__xludf.DUMMYFUNCTION("GOOGLETRANSLATE(D2298,""en"",""it"")"),"Mi piacciono le commedie e i saggi.")</f>
        <v>Mi piacciono le commedie e i saggi.</v>
      </c>
      <c r="G2298" s="6" t="str">
        <f>IFERROR(__xludf.DUMMYFUNCTION("GOOGLETRANSLATE(E2298,""fr"",""it"")"),"Mi piacciono le commedie, e anche i test.")</f>
        <v>Mi piacciono le commedie, e anche i test.</v>
      </c>
    </row>
    <row r="2299">
      <c r="A2299" s="4">
        <v>2297.0</v>
      </c>
      <c r="B2299" s="5" t="s">
        <v>6898</v>
      </c>
      <c r="C2299" s="4">
        <v>1.0</v>
      </c>
      <c r="D2299" s="5" t="s">
        <v>6899</v>
      </c>
      <c r="E2299" s="5" t="s">
        <v>6900</v>
      </c>
      <c r="F2299" s="6" t="str">
        <f>IFERROR(__xludf.DUMMYFUNCTION("GOOGLETRANSLATE(D2299,""en"",""it"")"),"Mi piacciono i saggi e le commedie anche.")</f>
        <v>Mi piacciono i saggi e le commedie anche.</v>
      </c>
      <c r="G2299" s="6" t="str">
        <f>IFERROR(__xludf.DUMMYFUNCTION("GOOGLETRANSLATE(E2299,""fr"",""it"")"),"Mi piacciono i test e anche le commedie.")</f>
        <v>Mi piacciono i test e anche le commedie.</v>
      </c>
    </row>
    <row r="2300">
      <c r="A2300" s="4">
        <v>2298.0</v>
      </c>
      <c r="B2300" s="5" t="s">
        <v>6901</v>
      </c>
      <c r="C2300" s="4">
        <v>0.0</v>
      </c>
      <c r="D2300" s="5" t="s">
        <v>6902</v>
      </c>
      <c r="E2300" s="5" t="s">
        <v>6903</v>
      </c>
      <c r="F2300" s="6" t="str">
        <f>IFERROR(__xludf.DUMMYFUNCTION("GOOGLETRANSLATE(D2300,""en"",""it"")"),"Mi piacciono le commedie e anche i film.")</f>
        <v>Mi piacciono le commedie e anche i film.</v>
      </c>
      <c r="G2300" s="6" t="str">
        <f>IFERROR(__xludf.DUMMYFUNCTION("GOOGLETRANSLATE(E2300,""fr"",""it"")"),"Amo le commedie e anche i film.")</f>
        <v>Amo le commedie e anche i film.</v>
      </c>
    </row>
    <row r="2301">
      <c r="A2301" s="4">
        <v>2299.0</v>
      </c>
      <c r="B2301" s="5" t="s">
        <v>6904</v>
      </c>
      <c r="C2301" s="4">
        <v>0.0</v>
      </c>
      <c r="D2301" s="5" t="s">
        <v>6905</v>
      </c>
      <c r="E2301" s="5" t="s">
        <v>6906</v>
      </c>
      <c r="F2301" s="6" t="str">
        <f>IFERROR(__xludf.DUMMYFUNCTION("GOOGLETRANSLATE(D2301,""en"",""it"")"),"Mi piacciono i film e anche composti.")</f>
        <v>Mi piacciono i film e anche composti.</v>
      </c>
      <c r="G2301" s="6" t="str">
        <f>IFERROR(__xludf.DUMMYFUNCTION("GOOGLETRANSLATE(E2301,""fr"",""it"")"),"Amo i film e anche come commedie.")</f>
        <v>Amo i film e anche come commedie.</v>
      </c>
    </row>
    <row r="2302">
      <c r="A2302" s="4">
        <v>2300.0</v>
      </c>
      <c r="B2302" s="5" t="s">
        <v>6907</v>
      </c>
      <c r="C2302" s="4">
        <v>1.0</v>
      </c>
      <c r="D2302" s="5" t="s">
        <v>6908</v>
      </c>
      <c r="E2302" s="5" t="s">
        <v>6909</v>
      </c>
      <c r="F2302" s="6" t="str">
        <f>IFERROR(__xludf.DUMMYFUNCTION("GOOGLETRANSLATE(D2302,""en"",""it"")"),"Mi piacciono anche le commedie e i libri di testo.")</f>
        <v>Mi piacciono anche le commedie e i libri di testo.</v>
      </c>
      <c r="G2302" s="6" t="str">
        <f>IFERROR(__xludf.DUMMYFUNCTION("GOOGLETRANSLATE(E2302,""fr"",""it"")"),"Mi piacciono le commedie e anche i libri di testo.")</f>
        <v>Mi piacciono le commedie e anche i libri di testo.</v>
      </c>
    </row>
    <row r="2303">
      <c r="A2303" s="4">
        <v>2301.0</v>
      </c>
      <c r="B2303" s="5" t="s">
        <v>6910</v>
      </c>
      <c r="C2303" s="4">
        <v>1.0</v>
      </c>
      <c r="D2303" s="5" t="s">
        <v>6911</v>
      </c>
      <c r="E2303" s="5" t="s">
        <v>6912</v>
      </c>
      <c r="F2303" s="6" t="str">
        <f>IFERROR(__xludf.DUMMYFUNCTION("GOOGLETRANSLATE(D2303,""en"",""it"")"),"Mi piacciono anche i libri di testo e le commedie.")</f>
        <v>Mi piacciono anche i libri di testo e le commedie.</v>
      </c>
      <c r="G2303" s="6" t="str">
        <f>IFERROR(__xludf.DUMMYFUNCTION("GOOGLETRANSLATE(E2303,""fr"",""it"")"),"Mi piacciono i libri di testo e anche le commedie.")</f>
        <v>Mi piacciono i libri di testo e anche le commedie.</v>
      </c>
    </row>
    <row r="2304">
      <c r="A2304" s="4">
        <v>2302.0</v>
      </c>
      <c r="B2304" s="5" t="s">
        <v>6913</v>
      </c>
      <c r="C2304" s="4">
        <v>1.0</v>
      </c>
      <c r="D2304" s="5" t="s">
        <v>6914</v>
      </c>
      <c r="E2304" s="5" t="s">
        <v>6915</v>
      </c>
      <c r="F2304" s="6" t="str">
        <f>IFERROR(__xludf.DUMMYFUNCTION("GOOGLETRANSLATE(D2304,""en"",""it"")"),"Mi piace il maiale, tranne il prosciutto.")</f>
        <v>Mi piace il maiale, tranne il prosciutto.</v>
      </c>
      <c r="G2304" s="6" t="str">
        <f>IFERROR(__xludf.DUMMYFUNCTION("GOOGLETRANSLATE(E2304,""fr"",""it"")"),"Amo il maiale, tranne il prosciutto.")</f>
        <v>Amo il maiale, tranne il prosciutto.</v>
      </c>
    </row>
    <row r="2305">
      <c r="A2305" s="4">
        <v>2303.0</v>
      </c>
      <c r="B2305" s="5" t="s">
        <v>6916</v>
      </c>
      <c r="C2305" s="4">
        <v>1.0</v>
      </c>
      <c r="D2305" s="5" t="s">
        <v>6917</v>
      </c>
      <c r="E2305" s="5" t="s">
        <v>6918</v>
      </c>
      <c r="F2305" s="6" t="str">
        <f>IFERROR(__xludf.DUMMYFUNCTION("GOOGLETRANSLATE(D2305,""en"",""it"")"),"Mi piacciono le commedie e i tavolini anche.")</f>
        <v>Mi piacciono le commedie e i tavolini anche.</v>
      </c>
      <c r="G2305" s="6" t="str">
        <f>IFERROR(__xludf.DUMMYFUNCTION("GOOGLETRANSLATE(E2305,""fr"",""it"")"),"Mi piacciono le commedie e anche i giochi da tavolo.")</f>
        <v>Mi piacciono le commedie e anche i giochi da tavolo.</v>
      </c>
    </row>
    <row r="2306">
      <c r="A2306" s="4">
        <v>2304.0</v>
      </c>
      <c r="B2306" s="5" t="s">
        <v>6919</v>
      </c>
      <c r="C2306" s="4">
        <v>1.0</v>
      </c>
      <c r="D2306" s="5" t="s">
        <v>6920</v>
      </c>
      <c r="E2306" s="5" t="s">
        <v>6921</v>
      </c>
      <c r="F2306" s="6" t="str">
        <f>IFERROR(__xludf.DUMMYFUNCTION("GOOGLETRANSLATE(D2306,""en"",""it"")"),"Mi piacciono anche i boardgames e le commedie.")</f>
        <v>Mi piacciono anche i boardgames e le commedie.</v>
      </c>
      <c r="G2306" s="6" t="str">
        <f>IFERROR(__xludf.DUMMYFUNCTION("GOOGLETRANSLATE(E2306,""fr"",""it"")"),"Adoro i giochi da tavolo e anche le commedie.")</f>
        <v>Adoro i giochi da tavolo e anche le commedie.</v>
      </c>
    </row>
    <row r="2307">
      <c r="A2307" s="4">
        <v>2305.0</v>
      </c>
      <c r="B2307" s="5" t="s">
        <v>6922</v>
      </c>
      <c r="C2307" s="4">
        <v>1.0</v>
      </c>
      <c r="D2307" s="5" t="s">
        <v>6923</v>
      </c>
      <c r="E2307" s="5" t="s">
        <v>6924</v>
      </c>
      <c r="F2307" s="6" t="str">
        <f>IFERROR(__xludf.DUMMYFUNCTION("GOOGLETRANSLATE(D2307,""en"",""it"")"),"Mi piacciono le commedie e i videogiochi.")</f>
        <v>Mi piacciono le commedie e i videogiochi.</v>
      </c>
      <c r="G2307" s="6" t="str">
        <f>IFERROR(__xludf.DUMMYFUNCTION("GOOGLETRANSLATE(E2307,""fr"",""it"")"),"Mi piacciono le commedie e anche i videogiochi.")</f>
        <v>Mi piacciono le commedie e anche i videogiochi.</v>
      </c>
    </row>
    <row r="2308">
      <c r="A2308" s="4">
        <v>2306.0</v>
      </c>
      <c r="B2308" s="5" t="s">
        <v>6925</v>
      </c>
      <c r="C2308" s="4">
        <v>1.0</v>
      </c>
      <c r="D2308" s="5" t="s">
        <v>6926</v>
      </c>
      <c r="E2308" s="5" t="s">
        <v>6927</v>
      </c>
      <c r="F2308" s="6" t="str">
        <f>IFERROR(__xludf.DUMMYFUNCTION("GOOGLETRANSLATE(D2308,""en"",""it"")"),"Mi piacciono anche i videogiochi e le commedie.")</f>
        <v>Mi piacciono anche i videogiochi e le commedie.</v>
      </c>
      <c r="G2308" s="6" t="str">
        <f>IFERROR(__xludf.DUMMYFUNCTION("GOOGLETRANSLATE(E2308,""fr"",""it"")"),"Mi piacciono i videogiochi e anche le commedie.")</f>
        <v>Mi piacciono i videogiochi e anche le commedie.</v>
      </c>
    </row>
    <row r="2309">
      <c r="A2309" s="4">
        <v>2307.0</v>
      </c>
      <c r="B2309" s="5" t="s">
        <v>6928</v>
      </c>
      <c r="C2309" s="4">
        <v>1.0</v>
      </c>
      <c r="D2309" s="5" t="s">
        <v>6929</v>
      </c>
      <c r="E2309" s="5" t="s">
        <v>6930</v>
      </c>
      <c r="F2309" s="6" t="str">
        <f>IFERROR(__xludf.DUMMYFUNCTION("GOOGLETRANSLATE(D2309,""en"",""it"")"),"Mi piacciono anche i documentari e i saggi.")</f>
        <v>Mi piacciono anche i documentari e i saggi.</v>
      </c>
      <c r="G2309" s="6" t="str">
        <f>IFERROR(__xludf.DUMMYFUNCTION("GOOGLETRANSLATE(E2309,""fr"",""it"")"),"Mi piacciono i documentari e anche i test.")</f>
        <v>Mi piacciono i documentari e anche i test.</v>
      </c>
    </row>
    <row r="2310">
      <c r="A2310" s="4">
        <v>2308.0</v>
      </c>
      <c r="B2310" s="5" t="s">
        <v>6931</v>
      </c>
      <c r="C2310" s="4">
        <v>1.0</v>
      </c>
      <c r="D2310" s="5" t="s">
        <v>6932</v>
      </c>
      <c r="E2310" s="5" t="s">
        <v>6933</v>
      </c>
      <c r="F2310" s="6" t="str">
        <f>IFERROR(__xludf.DUMMYFUNCTION("GOOGLETRANSLATE(D2310,""en"",""it"")"),"Mi piacciono anche i saggi e i documentari.")</f>
        <v>Mi piacciono anche i saggi e i documentari.</v>
      </c>
      <c r="G2310" s="6" t="str">
        <f>IFERROR(__xludf.DUMMYFUNCTION("GOOGLETRANSLATE(E2310,""fr"",""it"")"),"Mi piacciono i test e anche i documentari.")</f>
        <v>Mi piacciono i test e anche i documentari.</v>
      </c>
    </row>
    <row r="2311">
      <c r="A2311" s="4">
        <v>2309.0</v>
      </c>
      <c r="B2311" s="5" t="s">
        <v>6934</v>
      </c>
      <c r="C2311" s="4">
        <v>0.0</v>
      </c>
      <c r="D2311" s="5" t="s">
        <v>6935</v>
      </c>
      <c r="E2311" s="5" t="s">
        <v>6936</v>
      </c>
      <c r="F2311" s="6" t="str">
        <f>IFERROR(__xludf.DUMMYFUNCTION("GOOGLETRANSLATE(D2311,""en"",""it"")"),"Mi piacciono i documentari e i film anche i film.")</f>
        <v>Mi piacciono i documentari e i film anche i film.</v>
      </c>
      <c r="G2311" s="6" t="str">
        <f>IFERROR(__xludf.DUMMYFUNCTION("GOOGLETRANSLATE(E2311,""fr"",""it"")"),"Mi piacciono i documentari e anche i film.")</f>
        <v>Mi piacciono i documentari e anche i film.</v>
      </c>
    </row>
    <row r="2312">
      <c r="A2312" s="4">
        <v>2310.0</v>
      </c>
      <c r="B2312" s="5" t="s">
        <v>6937</v>
      </c>
      <c r="C2312" s="4">
        <v>0.0</v>
      </c>
      <c r="D2312" s="5" t="s">
        <v>6938</v>
      </c>
      <c r="E2312" s="5" t="s">
        <v>6939</v>
      </c>
      <c r="F2312" s="6" t="str">
        <f>IFERROR(__xludf.DUMMYFUNCTION("GOOGLETRANSLATE(D2312,""en"",""it"")"),"Mi piacciono i film e anche i documentari.")</f>
        <v>Mi piacciono i film e anche i documentari.</v>
      </c>
      <c r="G2312" s="6" t="str">
        <f>IFERROR(__xludf.DUMMYFUNCTION("GOOGLETRANSLATE(E2312,""fr"",""it"")"),"Amo i film e anche i documentari.")</f>
        <v>Amo i film e anche i documentari.</v>
      </c>
    </row>
    <row r="2313">
      <c r="A2313" s="4">
        <v>2311.0</v>
      </c>
      <c r="B2313" s="5" t="s">
        <v>6940</v>
      </c>
      <c r="C2313" s="4">
        <v>1.0</v>
      </c>
      <c r="D2313" s="5" t="s">
        <v>6941</v>
      </c>
      <c r="E2313" s="5" t="s">
        <v>6942</v>
      </c>
      <c r="F2313" s="6" t="str">
        <f>IFERROR(__xludf.DUMMYFUNCTION("GOOGLETRANSLATE(D2313,""en"",""it"")"),"Mi piacciono anche i documentari e i libri di testo.")</f>
        <v>Mi piacciono anche i documentari e i libri di testo.</v>
      </c>
      <c r="G2313" s="6" t="str">
        <f>IFERROR(__xludf.DUMMYFUNCTION("GOOGLETRANSLATE(E2313,""fr"",""it"")"),"Mi piacciono i documentari e anche i libri di testo.")</f>
        <v>Mi piacciono i documentari e anche i libri di testo.</v>
      </c>
    </row>
    <row r="2314">
      <c r="A2314" s="4">
        <v>2312.0</v>
      </c>
      <c r="B2314" s="5" t="s">
        <v>6943</v>
      </c>
      <c r="C2314" s="4">
        <v>1.0</v>
      </c>
      <c r="D2314" s="5" t="s">
        <v>6944</v>
      </c>
      <c r="E2314" s="5" t="s">
        <v>6945</v>
      </c>
      <c r="F2314" s="6" t="str">
        <f>IFERROR(__xludf.DUMMYFUNCTION("GOOGLETRANSLATE(D2314,""en"",""it"")"),"Mi piacciono i libri di testo e anche i documentari.")</f>
        <v>Mi piacciono i libri di testo e anche i documentari.</v>
      </c>
      <c r="G2314" s="6" t="str">
        <f>IFERROR(__xludf.DUMMYFUNCTION("GOOGLETRANSLATE(E2314,""fr"",""it"")"),"Mi piacciono i libri di testo scolastici e anche i documentari.")</f>
        <v>Mi piacciono i libri di testo scolastici e anche i documentari.</v>
      </c>
    </row>
    <row r="2315">
      <c r="A2315" s="4">
        <v>2313.0</v>
      </c>
      <c r="B2315" s="5" t="s">
        <v>6946</v>
      </c>
      <c r="C2315" s="4">
        <v>0.0</v>
      </c>
      <c r="D2315" s="5" t="s">
        <v>6947</v>
      </c>
      <c r="E2315" s="5" t="s">
        <v>6948</v>
      </c>
      <c r="F2315" s="6" t="str">
        <f>IFERROR(__xludf.DUMMYFUNCTION("GOOGLETRANSLATE(D2315,""en"",""it"")"),"Mi piace Prosciutto, tranne i broccoli.")</f>
        <v>Mi piace Prosciutto, tranne i broccoli.</v>
      </c>
      <c r="G2315" s="6" t="str">
        <f>IFERROR(__xludf.DUMMYFUNCTION("GOOGLETRANSLATE(E2315,""fr"",""it"")"),"Adoro il prosciutto, tranne i broccoli.")</f>
        <v>Adoro il prosciutto, tranne i broccoli.</v>
      </c>
    </row>
    <row r="2316">
      <c r="A2316" s="4">
        <v>2314.0</v>
      </c>
      <c r="B2316" s="5" t="s">
        <v>6949</v>
      </c>
      <c r="C2316" s="4">
        <v>1.0</v>
      </c>
      <c r="D2316" s="5" t="s">
        <v>6950</v>
      </c>
      <c r="E2316" s="5" t="s">
        <v>6951</v>
      </c>
      <c r="F2316" s="6" t="str">
        <f>IFERROR(__xludf.DUMMYFUNCTION("GOOGLETRANSLATE(D2316,""en"",""it"")"),"Mi piacciono i documentari e i tavolini anche.")</f>
        <v>Mi piacciono i documentari e i tavolini anche.</v>
      </c>
      <c r="G2316" s="6" t="str">
        <f>IFERROR(__xludf.DUMMYFUNCTION("GOOGLETRANSLATE(E2316,""fr"",""it"")"),"Mi piacciono i documentari e anche i giochi da tavolo.")</f>
        <v>Mi piacciono i documentari e anche i giochi da tavolo.</v>
      </c>
    </row>
    <row r="2317">
      <c r="A2317" s="4">
        <v>2315.0</v>
      </c>
      <c r="B2317" s="5" t="s">
        <v>6952</v>
      </c>
      <c r="C2317" s="4">
        <v>1.0</v>
      </c>
      <c r="D2317" s="5" t="s">
        <v>6953</v>
      </c>
      <c r="E2317" s="5" t="s">
        <v>6954</v>
      </c>
      <c r="F2317" s="6" t="str">
        <f>IFERROR(__xludf.DUMMYFUNCTION("GOOGLETRANSLATE(D2317,""en"",""it"")"),"Mi piacciono i boardgames e anche i documentari.")</f>
        <v>Mi piacciono i boardgames e anche i documentari.</v>
      </c>
      <c r="G2317" s="6" t="str">
        <f>IFERROR(__xludf.DUMMYFUNCTION("GOOGLETRANSLATE(E2317,""fr"",""it"")"),"Mi piacciono i giochi da tavolo e anche i documentari.")</f>
        <v>Mi piacciono i giochi da tavolo e anche i documentari.</v>
      </c>
    </row>
    <row r="2318">
      <c r="A2318" s="4">
        <v>2316.0</v>
      </c>
      <c r="B2318" s="5" t="s">
        <v>6955</v>
      </c>
      <c r="C2318" s="4">
        <v>1.0</v>
      </c>
      <c r="D2318" s="5" t="s">
        <v>6956</v>
      </c>
      <c r="E2318" s="5" t="s">
        <v>6957</v>
      </c>
      <c r="F2318" s="6" t="str">
        <f>IFERROR(__xludf.DUMMYFUNCTION("GOOGLETRANSLATE(D2318,""en"",""it"")"),"Mi piacciono anche i documentari e i videogiochi.")</f>
        <v>Mi piacciono anche i documentari e i videogiochi.</v>
      </c>
      <c r="G2318" s="6" t="str">
        <f>IFERROR(__xludf.DUMMYFUNCTION("GOOGLETRANSLATE(E2318,""fr"",""it"")"),"Mi piacciono i documentari e anche i videogiochi.")</f>
        <v>Mi piacciono i documentari e anche i videogiochi.</v>
      </c>
    </row>
    <row r="2319">
      <c r="A2319" s="4">
        <v>2317.0</v>
      </c>
      <c r="B2319" s="5" t="s">
        <v>6958</v>
      </c>
      <c r="C2319" s="4">
        <v>1.0</v>
      </c>
      <c r="D2319" s="5" t="s">
        <v>6959</v>
      </c>
      <c r="E2319" s="5" t="s">
        <v>6960</v>
      </c>
      <c r="F2319" s="6" t="str">
        <f>IFERROR(__xludf.DUMMYFUNCTION("GOOGLETRANSLATE(D2319,""en"",""it"")"),"Mi piacciono i videogiochi e i documentari.")</f>
        <v>Mi piacciono i videogiochi e i documentari.</v>
      </c>
      <c r="G2319" s="6" t="str">
        <f>IFERROR(__xludf.DUMMYFUNCTION("GOOGLETRANSLATE(E2319,""fr"",""it"")"),"Mi piacciono i videogiochi e anche i documentari.")</f>
        <v>Mi piacciono i videogiochi e anche i documentari.</v>
      </c>
    </row>
    <row r="2320">
      <c r="A2320" s="4">
        <v>2318.0</v>
      </c>
      <c r="B2320" s="5" t="s">
        <v>6961</v>
      </c>
      <c r="C2320" s="4">
        <v>0.0</v>
      </c>
      <c r="D2320" s="5" t="s">
        <v>6962</v>
      </c>
      <c r="E2320" s="5" t="s">
        <v>6963</v>
      </c>
      <c r="F2320" s="6" t="str">
        <f>IFERROR(__xludf.DUMMYFUNCTION("GOOGLETRANSLATE(D2320,""en"",""it"")"),"Mi piacciono i broccoli, tranne il prosciutto.")</f>
        <v>Mi piacciono i broccoli, tranne il prosciutto.</v>
      </c>
      <c r="G2320" s="6" t="str">
        <f>IFERROR(__xludf.DUMMYFUNCTION("GOOGLETRANSLATE(E2320,""fr"",""it"")"),"Adoro i broccoli tranne il prosciutto.")</f>
        <v>Adoro i broccoli tranne il prosciutto.</v>
      </c>
    </row>
    <row r="2321">
      <c r="A2321" s="4">
        <v>2319.0</v>
      </c>
      <c r="B2321" s="5" t="s">
        <v>6964</v>
      </c>
      <c r="C2321" s="4">
        <v>1.0</v>
      </c>
      <c r="D2321" s="5" t="s">
        <v>6965</v>
      </c>
      <c r="E2321" s="5" t="s">
        <v>6966</v>
      </c>
      <c r="F2321" s="6" t="str">
        <f>IFERROR(__xludf.DUMMYFUNCTION("GOOGLETRANSLATE(D2321,""en"",""it"")"),"Mi piacciono anche i braccialetti e le borse.")</f>
        <v>Mi piacciono anche i braccialetti e le borse.</v>
      </c>
      <c r="G2321" s="6" t="str">
        <f>IFERROR(__xludf.DUMMYFUNCTION("GOOGLETRANSLATE(E2321,""fr"",""it"")"),"Mi piacciono i braccialetti e anche le borse.")</f>
        <v>Mi piacciono i braccialetti e anche le borse.</v>
      </c>
    </row>
    <row r="2322">
      <c r="A2322" s="4">
        <v>2320.0</v>
      </c>
      <c r="B2322" s="5" t="s">
        <v>6967</v>
      </c>
      <c r="C2322" s="4">
        <v>1.0</v>
      </c>
      <c r="D2322" s="5" t="s">
        <v>6968</v>
      </c>
      <c r="E2322" s="5" t="s">
        <v>6969</v>
      </c>
      <c r="F2322" s="6" t="str">
        <f>IFERROR(__xludf.DUMMYFUNCTION("GOOGLETRANSLATE(D2322,""en"",""it"")"),"Mi piacciono anche le borse e i braccialetti.")</f>
        <v>Mi piacciono anche le borse e i braccialetti.</v>
      </c>
      <c r="G2322" s="6" t="str">
        <f>IFERROR(__xludf.DUMMYFUNCTION("GOOGLETRANSLATE(E2322,""fr"",""it"")"),"Mi piacciono le borse e anche i braccialetti.")</f>
        <v>Mi piacciono le borse e anche i braccialetti.</v>
      </c>
    </row>
    <row r="2323">
      <c r="A2323" s="4">
        <v>2321.0</v>
      </c>
      <c r="B2323" s="5" t="s">
        <v>6970</v>
      </c>
      <c r="C2323" s="4">
        <v>0.0</v>
      </c>
      <c r="D2323" s="5" t="s">
        <v>6971</v>
      </c>
      <c r="E2323" s="5" t="s">
        <v>6972</v>
      </c>
      <c r="F2323" s="6" t="str">
        <f>IFERROR(__xludf.DUMMYFUNCTION("GOOGLETRANSLATE(D2323,""en"",""it"")"),"Mi piacciono i braccialetti e anche i gioielli.")</f>
        <v>Mi piacciono i braccialetti e anche i gioielli.</v>
      </c>
      <c r="G2323" s="6" t="str">
        <f>IFERROR(__xludf.DUMMYFUNCTION("GOOGLETRANSLATE(E2323,""fr"",""it"")"),"Mi piacciono i braccialetti e anche i gioielli.")</f>
        <v>Mi piacciono i braccialetti e anche i gioielli.</v>
      </c>
    </row>
    <row r="2324">
      <c r="A2324" s="4">
        <v>2322.0</v>
      </c>
      <c r="B2324" s="5" t="s">
        <v>6973</v>
      </c>
      <c r="C2324" s="4">
        <v>0.0</v>
      </c>
      <c r="D2324" s="5" t="s">
        <v>6974</v>
      </c>
      <c r="E2324" s="5" t="s">
        <v>6975</v>
      </c>
      <c r="F2324" s="6" t="str">
        <f>IFERROR(__xludf.DUMMYFUNCTION("GOOGLETRANSLATE(D2324,""en"",""it"")"),"Mi piacciono anche i gioielli e i braccialetti.")</f>
        <v>Mi piacciono anche i gioielli e i braccialetti.</v>
      </c>
      <c r="G2324" s="6" t="str">
        <f>IFERROR(__xludf.DUMMYFUNCTION("GOOGLETRANSLATE(E2324,""fr"",""it"")"),"Mi piacciono i gioielli, e anche i braccialetti.")</f>
        <v>Mi piacciono i gioielli, e anche i braccialetti.</v>
      </c>
    </row>
    <row r="2325">
      <c r="A2325" s="4">
        <v>2323.0</v>
      </c>
      <c r="B2325" s="5" t="s">
        <v>6976</v>
      </c>
      <c r="C2325" s="4">
        <v>1.0</v>
      </c>
      <c r="D2325" s="5" t="s">
        <v>6977</v>
      </c>
      <c r="E2325" s="5" t="s">
        <v>6978</v>
      </c>
      <c r="F2325" s="6" t="str">
        <f>IFERROR(__xludf.DUMMYFUNCTION("GOOGLETRANSLATE(D2325,""en"",""it"")"),"Mi piacciono anche i gioielli e le borse.")</f>
        <v>Mi piacciono anche i gioielli e le borse.</v>
      </c>
      <c r="G2325" s="6" t="str">
        <f>IFERROR(__xludf.DUMMYFUNCTION("GOOGLETRANSLATE(E2325,""fr"",""it"")"),"Mi piacciono i gioielli e anche le borse.")</f>
        <v>Mi piacciono i gioielli e anche le borse.</v>
      </c>
    </row>
    <row r="2326">
      <c r="A2326" s="4">
        <v>2324.0</v>
      </c>
      <c r="B2326" s="5" t="s">
        <v>6979</v>
      </c>
      <c r="C2326" s="4">
        <v>1.0</v>
      </c>
      <c r="D2326" s="5" t="s">
        <v>6980</v>
      </c>
      <c r="E2326" s="5" t="s">
        <v>6981</v>
      </c>
      <c r="F2326" s="6" t="str">
        <f>IFERROR(__xludf.DUMMYFUNCTION("GOOGLETRANSLATE(D2326,""en"",""it"")"),"Mi piacciono anche i braccialetti e le sciarpe.")</f>
        <v>Mi piacciono anche i braccialetti e le sciarpe.</v>
      </c>
      <c r="G2326" s="6" t="str">
        <f>IFERROR(__xludf.DUMMYFUNCTION("GOOGLETRANSLATE(E2326,""fr"",""it"")"),"Mi piacciono i braccialetti, e anche le sciarpe.")</f>
        <v>Mi piacciono i braccialetti, e anche le sciarpe.</v>
      </c>
    </row>
    <row r="2327">
      <c r="A2327" s="4">
        <v>2325.0</v>
      </c>
      <c r="B2327" s="5" t="s">
        <v>6982</v>
      </c>
      <c r="C2327" s="4">
        <v>1.0</v>
      </c>
      <c r="D2327" s="5" t="s">
        <v>6983</v>
      </c>
      <c r="E2327" s="5" t="s">
        <v>6984</v>
      </c>
      <c r="F2327" s="6" t="str">
        <f>IFERROR(__xludf.DUMMYFUNCTION("GOOGLETRANSLATE(D2327,""en"",""it"")"),"Mi piacciono anche le sciarpe e i braccialetti.")</f>
        <v>Mi piacciono anche le sciarpe e i braccialetti.</v>
      </c>
      <c r="G2327" s="6" t="str">
        <f>IFERROR(__xludf.DUMMYFUNCTION("GOOGLETRANSLATE(E2327,""fr"",""it"")"),"Mi piacciono le sciarpe, e anche i braccialetti.")</f>
        <v>Mi piacciono le sciarpe, e anche i braccialetti.</v>
      </c>
    </row>
    <row r="2328">
      <c r="A2328" s="4">
        <v>2326.0</v>
      </c>
      <c r="B2328" s="5" t="s">
        <v>6985</v>
      </c>
      <c r="C2328" s="4">
        <v>1.0</v>
      </c>
      <c r="D2328" s="5" t="s">
        <v>6986</v>
      </c>
      <c r="E2328" s="5" t="s">
        <v>6987</v>
      </c>
      <c r="F2328" s="6" t="str">
        <f>IFERROR(__xludf.DUMMYFUNCTION("GOOGLETRANSLATE(D2328,""en"",""it"")"),"Mi piacciono anche i gioielli e le sciarpe.")</f>
        <v>Mi piacciono anche i gioielli e le sciarpe.</v>
      </c>
      <c r="G2328" s="6" t="str">
        <f>IFERROR(__xludf.DUMMYFUNCTION("GOOGLETRANSLATE(E2328,""fr"",""it"")"),"Amo i gioielli, e anche le sciarpe.")</f>
        <v>Amo i gioielli, e anche le sciarpe.</v>
      </c>
    </row>
    <row r="2329">
      <c r="A2329" s="4">
        <v>2327.0</v>
      </c>
      <c r="B2329" s="5" t="s">
        <v>6988</v>
      </c>
      <c r="C2329" s="4">
        <v>1.0</v>
      </c>
      <c r="D2329" s="5" t="s">
        <v>6989</v>
      </c>
      <c r="E2329" s="5" t="s">
        <v>6990</v>
      </c>
      <c r="F2329" s="6" t="str">
        <f>IFERROR(__xludf.DUMMYFUNCTION("GOOGLETRANSLATE(D2329,""en"",""it"")"),"Mi piacciono anche i braccialetti e gli occhiali.")</f>
        <v>Mi piacciono anche i braccialetti e gli occhiali.</v>
      </c>
      <c r="G2329" s="6" t="str">
        <f>IFERROR(__xludf.DUMMYFUNCTION("GOOGLETRANSLATE(E2329,""fr"",""it"")"),"Mi piacciono i braccialetti e anche gli occhiali.")</f>
        <v>Mi piacciono i braccialetti e anche gli occhiali.</v>
      </c>
    </row>
    <row r="2330">
      <c r="A2330" s="4">
        <v>2328.0</v>
      </c>
      <c r="B2330" s="5" t="s">
        <v>6991</v>
      </c>
      <c r="C2330" s="4">
        <v>1.0</v>
      </c>
      <c r="D2330" s="5" t="s">
        <v>6992</v>
      </c>
      <c r="E2330" s="5" t="s">
        <v>6993</v>
      </c>
      <c r="F2330" s="6" t="str">
        <f>IFERROR(__xludf.DUMMYFUNCTION("GOOGLETRANSLATE(D2330,""en"",""it"")"),"Mi piacciono anche gli occhiali e i braccialetti.")</f>
        <v>Mi piacciono anche gli occhiali e i braccialetti.</v>
      </c>
      <c r="G2330" s="6" t="str">
        <f>IFERROR(__xludf.DUMMYFUNCTION("GOOGLETRANSLATE(E2330,""fr"",""it"")"),"Mi piacciono gli occhiali e anche i braccialetti.")</f>
        <v>Mi piacciono gli occhiali e anche i braccialetti.</v>
      </c>
    </row>
    <row r="2331">
      <c r="A2331" s="4">
        <v>2329.0</v>
      </c>
      <c r="B2331" s="5" t="s">
        <v>6994</v>
      </c>
      <c r="C2331" s="4">
        <v>1.0</v>
      </c>
      <c r="D2331" s="5" t="s">
        <v>6995</v>
      </c>
      <c r="E2331" s="5" t="s">
        <v>6996</v>
      </c>
      <c r="F2331" s="6" t="str">
        <f>IFERROR(__xludf.DUMMYFUNCTION("GOOGLETRANSLATE(D2331,""en"",""it"")"),"Mi piacciono i gioielli e gli occhiali anche.")</f>
        <v>Mi piacciono i gioielli e gli occhiali anche.</v>
      </c>
      <c r="G2331" s="6" t="str">
        <f>IFERROR(__xludf.DUMMYFUNCTION("GOOGLETRANSLATE(E2331,""fr"",""it"")"),"Amo i gioielli e anche gli occhiali.")</f>
        <v>Amo i gioielli e anche gli occhiali.</v>
      </c>
    </row>
    <row r="2332">
      <c r="A2332" s="4">
        <v>2330.0</v>
      </c>
      <c r="B2332" s="5" t="s">
        <v>6997</v>
      </c>
      <c r="C2332" s="4">
        <v>1.0</v>
      </c>
      <c r="D2332" s="5" t="s">
        <v>6998</v>
      </c>
      <c r="E2332" s="5" t="s">
        <v>6999</v>
      </c>
      <c r="F2332" s="6" t="str">
        <f>IFERROR(__xludf.DUMMYFUNCTION("GOOGLETRANSLATE(D2332,""en"",""it"")"),"Mi piacciono i braccialetti e anche le scarpe.")</f>
        <v>Mi piacciono i braccialetti e anche le scarpe.</v>
      </c>
      <c r="G2332" s="6" t="str">
        <f>IFERROR(__xludf.DUMMYFUNCTION("GOOGLETRANSLATE(E2332,""fr"",""it"")"),"Mi piacciono i braccialetti e anche le scarpe.")</f>
        <v>Mi piacciono i braccialetti e anche le scarpe.</v>
      </c>
    </row>
    <row r="2333">
      <c r="A2333" s="4">
        <v>2331.0</v>
      </c>
      <c r="B2333" s="5" t="s">
        <v>7000</v>
      </c>
      <c r="C2333" s="4">
        <v>1.0</v>
      </c>
      <c r="D2333" s="5" t="s">
        <v>7001</v>
      </c>
      <c r="E2333" s="5" t="s">
        <v>7002</v>
      </c>
      <c r="F2333" s="6" t="str">
        <f>IFERROR(__xludf.DUMMYFUNCTION("GOOGLETRANSLATE(D2333,""en"",""it"")"),"Mi piacciono le scarpe e i braccialetti.")</f>
        <v>Mi piacciono le scarpe e i braccialetti.</v>
      </c>
      <c r="G2333" s="6" t="str">
        <f>IFERROR(__xludf.DUMMYFUNCTION("GOOGLETRANSLATE(E2333,""fr"",""it"")"),"Mi piacciono le scarpe, e anche i braccialetti.")</f>
        <v>Mi piacciono le scarpe, e anche i braccialetti.</v>
      </c>
    </row>
    <row r="2334">
      <c r="A2334" s="4">
        <v>2332.0</v>
      </c>
      <c r="B2334" s="5" t="s">
        <v>7003</v>
      </c>
      <c r="C2334" s="4">
        <v>1.0</v>
      </c>
      <c r="D2334" s="5" t="s">
        <v>7004</v>
      </c>
      <c r="E2334" s="5" t="s">
        <v>7005</v>
      </c>
      <c r="F2334" s="6" t="str">
        <f>IFERROR(__xludf.DUMMYFUNCTION("GOOGLETRANSLATE(D2334,""en"",""it"")"),"Mi piacciono i gioielli e le scarpe anche.")</f>
        <v>Mi piacciono i gioielli e le scarpe anche.</v>
      </c>
      <c r="G2334" s="6" t="str">
        <f>IFERROR(__xludf.DUMMYFUNCTION("GOOGLETRANSLATE(E2334,""fr"",""it"")"),"Amo i gioielli, e anche le scarpe.")</f>
        <v>Amo i gioielli, e anche le scarpe.</v>
      </c>
    </row>
    <row r="2335">
      <c r="A2335" s="4">
        <v>2333.0</v>
      </c>
      <c r="B2335" s="5" t="s">
        <v>7006</v>
      </c>
      <c r="C2335" s="4">
        <v>1.0</v>
      </c>
      <c r="D2335" s="5" t="s">
        <v>7007</v>
      </c>
      <c r="E2335" s="5" t="s">
        <v>7008</v>
      </c>
      <c r="F2335" s="6" t="str">
        <f>IFERROR(__xludf.DUMMYFUNCTION("GOOGLETRANSLATE(D2335,""en"",""it"")"),"Mi piacciono anche le collane e le borse.")</f>
        <v>Mi piacciono anche le collane e le borse.</v>
      </c>
      <c r="G2335" s="6" t="str">
        <f>IFERROR(__xludf.DUMMYFUNCTION("GOOGLETRANSLATE(E2335,""fr"",""it"")"),"Mi piacciono le collane e anche le borse.")</f>
        <v>Mi piacciono le collane e anche le borse.</v>
      </c>
    </row>
    <row r="2336">
      <c r="A2336" s="4">
        <v>2334.0</v>
      </c>
      <c r="B2336" s="5" t="s">
        <v>7009</v>
      </c>
      <c r="C2336" s="4">
        <v>1.0</v>
      </c>
      <c r="D2336" s="5" t="s">
        <v>7010</v>
      </c>
      <c r="E2336" s="5" t="s">
        <v>7011</v>
      </c>
      <c r="F2336" s="6" t="str">
        <f>IFERROR(__xludf.DUMMYFUNCTION("GOOGLETRANSLATE(D2336,""en"",""it"")"),"Mi piacciono anche le borse e le collane.")</f>
        <v>Mi piacciono anche le borse e le collane.</v>
      </c>
      <c r="G2336" s="6" t="str">
        <f>IFERROR(__xludf.DUMMYFUNCTION("GOOGLETRANSLATE(E2336,""fr"",""it"")"),"Mi piacciono le borse e anche le collane.")</f>
        <v>Mi piacciono le borse e anche le collane.</v>
      </c>
    </row>
    <row r="2337">
      <c r="A2337" s="4">
        <v>2335.0</v>
      </c>
      <c r="B2337" s="5" t="s">
        <v>7012</v>
      </c>
      <c r="C2337" s="4">
        <v>0.0</v>
      </c>
      <c r="D2337" s="5" t="s">
        <v>7013</v>
      </c>
      <c r="E2337" s="5" t="s">
        <v>7014</v>
      </c>
      <c r="F2337" s="6" t="str">
        <f>IFERROR(__xludf.DUMMYFUNCTION("GOOGLETRANSLATE(D2337,""en"",""it"")"),"Mi piacciono anche le collane e i gioielli.")</f>
        <v>Mi piacciono anche le collane e i gioielli.</v>
      </c>
      <c r="G2337" s="6" t="str">
        <f>IFERROR(__xludf.DUMMYFUNCTION("GOOGLETRANSLATE(E2337,""fr"",""it"")"),"Mi piacciono le collane e anche gioielli.")</f>
        <v>Mi piacciono le collane e anche gioielli.</v>
      </c>
    </row>
    <row r="2338">
      <c r="A2338" s="4">
        <v>2336.0</v>
      </c>
      <c r="B2338" s="5" t="s">
        <v>7015</v>
      </c>
      <c r="C2338" s="4">
        <v>0.0</v>
      </c>
      <c r="D2338" s="5" t="s">
        <v>7016</v>
      </c>
      <c r="E2338" s="5" t="s">
        <v>7017</v>
      </c>
      <c r="F2338" s="6" t="str">
        <f>IFERROR(__xludf.DUMMYFUNCTION("GOOGLETRANSLATE(D2338,""en"",""it"")"),"Mi piacciono anche i gioielli e le collane.")</f>
        <v>Mi piacciono anche i gioielli e le collane.</v>
      </c>
      <c r="G2338" s="6" t="str">
        <f>IFERROR(__xludf.DUMMYFUNCTION("GOOGLETRANSLATE(E2338,""fr"",""it"")"),"Mi piacciono i gioielli, e anche le collane.")</f>
        <v>Mi piacciono i gioielli, e anche le collane.</v>
      </c>
    </row>
    <row r="2339">
      <c r="A2339" s="4">
        <v>2337.0</v>
      </c>
      <c r="B2339" s="5" t="s">
        <v>7018</v>
      </c>
      <c r="C2339" s="4">
        <v>1.0</v>
      </c>
      <c r="D2339" s="5" t="s">
        <v>7019</v>
      </c>
      <c r="E2339" s="5" t="s">
        <v>7020</v>
      </c>
      <c r="F2339" s="6" t="str">
        <f>IFERROR(__xludf.DUMMYFUNCTION("GOOGLETRANSLATE(D2339,""en"",""it"")"),"Mi piacciono anche le collane e le sciarpe.")</f>
        <v>Mi piacciono anche le collane e le sciarpe.</v>
      </c>
      <c r="G2339" s="6" t="str">
        <f>IFERROR(__xludf.DUMMYFUNCTION("GOOGLETRANSLATE(E2339,""fr"",""it"")"),"Adoro le collane e anche le sciarpe.")</f>
        <v>Adoro le collane e anche le sciarpe.</v>
      </c>
    </row>
    <row r="2340">
      <c r="A2340" s="4">
        <v>2338.0</v>
      </c>
      <c r="B2340" s="5" t="s">
        <v>7021</v>
      </c>
      <c r="C2340" s="4">
        <v>1.0</v>
      </c>
      <c r="D2340" s="5" t="s">
        <v>7022</v>
      </c>
      <c r="E2340" s="5" t="s">
        <v>7023</v>
      </c>
      <c r="F2340" s="6" t="str">
        <f>IFERROR(__xludf.DUMMYFUNCTION("GOOGLETRANSLATE(D2340,""en"",""it"")"),"Mi piacciono anche le sciarpe e le collane.")</f>
        <v>Mi piacciono anche le sciarpe e le collane.</v>
      </c>
      <c r="G2340" s="6" t="str">
        <f>IFERROR(__xludf.DUMMYFUNCTION("GOOGLETRANSLATE(E2340,""fr"",""it"")"),"Adoro sciarpe, e anche le collane.")</f>
        <v>Adoro sciarpe, e anche le collane.</v>
      </c>
    </row>
    <row r="2341">
      <c r="A2341" s="4">
        <v>2339.0</v>
      </c>
      <c r="B2341" s="5" t="s">
        <v>7024</v>
      </c>
      <c r="C2341" s="4">
        <v>1.0</v>
      </c>
      <c r="D2341" s="5" t="s">
        <v>7025</v>
      </c>
      <c r="E2341" s="5" t="s">
        <v>7026</v>
      </c>
      <c r="F2341" s="6" t="str">
        <f>IFERROR(__xludf.DUMMYFUNCTION("GOOGLETRANSLATE(D2341,""en"",""it"")"),"Mi piacciono anche le collane e gli occhiali.")</f>
        <v>Mi piacciono anche le collane e gli occhiali.</v>
      </c>
      <c r="G2341" s="6" t="str">
        <f>IFERROR(__xludf.DUMMYFUNCTION("GOOGLETRANSLATE(E2341,""fr"",""it"")"),"Adoro le collane e anche gli occhiali.")</f>
        <v>Adoro le collane e anche gli occhiali.</v>
      </c>
    </row>
    <row r="2342">
      <c r="A2342" s="4">
        <v>2340.0</v>
      </c>
      <c r="B2342" s="5" t="s">
        <v>7027</v>
      </c>
      <c r="C2342" s="4">
        <v>1.0</v>
      </c>
      <c r="D2342" s="5" t="s">
        <v>7028</v>
      </c>
      <c r="E2342" s="5" t="s">
        <v>7029</v>
      </c>
      <c r="F2342" s="6" t="str">
        <f>IFERROR(__xludf.DUMMYFUNCTION("GOOGLETRANSLATE(D2342,""en"",""it"")"),"Mi piacciono anche gli occhiali e le collane.")</f>
        <v>Mi piacciono anche gli occhiali e le collane.</v>
      </c>
      <c r="G2342" s="6" t="str">
        <f>IFERROR(__xludf.DUMMYFUNCTION("GOOGLETRANSLATE(E2342,""fr"",""it"")"),"Mi piacciono gli occhiali e anche le collane.")</f>
        <v>Mi piacciono gli occhiali e anche le collane.</v>
      </c>
    </row>
    <row r="2343">
      <c r="A2343" s="4">
        <v>2341.0</v>
      </c>
      <c r="B2343" s="5" t="s">
        <v>7030</v>
      </c>
      <c r="C2343" s="4">
        <v>1.0</v>
      </c>
      <c r="D2343" s="5" t="s">
        <v>7031</v>
      </c>
      <c r="E2343" s="5" t="s">
        <v>7032</v>
      </c>
      <c r="F2343" s="6" t="str">
        <f>IFERROR(__xludf.DUMMYFUNCTION("GOOGLETRANSLATE(D2343,""en"",""it"")"),"Mi piacciono anche le collane e le scarpe.")</f>
        <v>Mi piacciono anche le collane e le scarpe.</v>
      </c>
      <c r="G2343" s="6" t="str">
        <f>IFERROR(__xludf.DUMMYFUNCTION("GOOGLETRANSLATE(E2343,""fr"",""it"")"),"Amo le collane e anche le scarpe.")</f>
        <v>Amo le collane e anche le scarpe.</v>
      </c>
    </row>
    <row r="2344">
      <c r="A2344" s="4">
        <v>2342.0</v>
      </c>
      <c r="B2344" s="5" t="s">
        <v>7033</v>
      </c>
      <c r="C2344" s="4">
        <v>1.0</v>
      </c>
      <c r="D2344" s="5" t="s">
        <v>7034</v>
      </c>
      <c r="E2344" s="5" t="s">
        <v>7035</v>
      </c>
      <c r="F2344" s="6" t="str">
        <f>IFERROR(__xludf.DUMMYFUNCTION("GOOGLETRANSLATE(D2344,""en"",""it"")"),"Mi piacciono anche le scarpe e le collane.")</f>
        <v>Mi piacciono anche le scarpe e le collane.</v>
      </c>
      <c r="G2344" s="6" t="str">
        <f>IFERROR(__xludf.DUMMYFUNCTION("GOOGLETRANSLATE(E2344,""fr"",""it"")"),"Amo le scarpe, e anche le collane.")</f>
        <v>Amo le scarpe, e anche le collane.</v>
      </c>
    </row>
    <row r="2345">
      <c r="A2345" s="4">
        <v>2343.0</v>
      </c>
      <c r="B2345" s="5" t="s">
        <v>7036</v>
      </c>
      <c r="C2345" s="4">
        <v>0.0</v>
      </c>
      <c r="D2345" s="5" t="s">
        <v>7037</v>
      </c>
      <c r="E2345" s="5" t="s">
        <v>7038</v>
      </c>
      <c r="F2345" s="6" t="str">
        <f>IFERROR(__xludf.DUMMYFUNCTION("GOOGLETRANSLATE(D2345,""en"",""it"")"),"Mi piace Prosciutto, ad eccezione delle mele.")</f>
        <v>Mi piace Prosciutto, ad eccezione delle mele.</v>
      </c>
      <c r="G2345" s="6" t="str">
        <f>IFERROR(__xludf.DUMMYFUNCTION("GOOGLETRANSLATE(E2345,""fr"",""it"")"),"Adoro il prosciutto, ad eccezione delle mele.")</f>
        <v>Adoro il prosciutto, ad eccezione delle mele.</v>
      </c>
    </row>
    <row r="2346">
      <c r="A2346" s="4">
        <v>2344.0</v>
      </c>
      <c r="B2346" s="5" t="s">
        <v>7039</v>
      </c>
      <c r="C2346" s="4">
        <v>1.0</v>
      </c>
      <c r="D2346" s="5" t="s">
        <v>7040</v>
      </c>
      <c r="E2346" s="5" t="s">
        <v>7041</v>
      </c>
      <c r="F2346" s="6" t="str">
        <f>IFERROR(__xludf.DUMMYFUNCTION("GOOGLETRANSLATE(D2346,""en"",""it"")"),"Mi piacciono gli orecchini e anche le borse.")</f>
        <v>Mi piacciono gli orecchini e anche le borse.</v>
      </c>
      <c r="G2346" s="6" t="str">
        <f>IFERROR(__xludf.DUMMYFUNCTION("GOOGLETRANSLATE(E2346,""fr"",""it"")"),"Mi piacciono gli orecchini e anche le borse.")</f>
        <v>Mi piacciono gli orecchini e anche le borse.</v>
      </c>
    </row>
    <row r="2347">
      <c r="A2347" s="4">
        <v>2345.0</v>
      </c>
      <c r="B2347" s="5" t="s">
        <v>7042</v>
      </c>
      <c r="C2347" s="4">
        <v>1.0</v>
      </c>
      <c r="D2347" s="5" t="s">
        <v>7043</v>
      </c>
      <c r="E2347" s="5" t="s">
        <v>7044</v>
      </c>
      <c r="F2347" s="6" t="str">
        <f>IFERROR(__xludf.DUMMYFUNCTION("GOOGLETRANSLATE(D2347,""en"",""it"")"),"Mi piacciono anche le borse e gli orecchini.")</f>
        <v>Mi piacciono anche le borse e gli orecchini.</v>
      </c>
      <c r="G2347" s="6" t="str">
        <f>IFERROR(__xludf.DUMMYFUNCTION("GOOGLETRANSLATE(E2347,""fr"",""it"")"),"Amo le borse e anche gli orecchini.")</f>
        <v>Amo le borse e anche gli orecchini.</v>
      </c>
    </row>
    <row r="2348">
      <c r="A2348" s="4">
        <v>2346.0</v>
      </c>
      <c r="B2348" s="5" t="s">
        <v>7045</v>
      </c>
      <c r="C2348" s="4">
        <v>0.0</v>
      </c>
      <c r="D2348" s="5" t="s">
        <v>7046</v>
      </c>
      <c r="E2348" s="5" t="s">
        <v>7047</v>
      </c>
      <c r="F2348" s="6" t="str">
        <f>IFERROR(__xludf.DUMMYFUNCTION("GOOGLETRANSLATE(D2348,""en"",""it"")"),"Mi piacciono gli orecchini e anche i gioielli.")</f>
        <v>Mi piacciono gli orecchini e anche i gioielli.</v>
      </c>
      <c r="G2348" s="6" t="str">
        <f>IFERROR(__xludf.DUMMYFUNCTION("GOOGLETRANSLATE(E2348,""fr"",""it"")"),"Mi piacciono gli orecchini, e anche gioielli.")</f>
        <v>Mi piacciono gli orecchini, e anche gioielli.</v>
      </c>
    </row>
    <row r="2349">
      <c r="A2349" s="4">
        <v>2347.0</v>
      </c>
      <c r="B2349" s="5" t="s">
        <v>7048</v>
      </c>
      <c r="C2349" s="4">
        <v>0.0</v>
      </c>
      <c r="D2349" s="5" t="s">
        <v>7049</v>
      </c>
      <c r="E2349" s="5" t="s">
        <v>7050</v>
      </c>
      <c r="F2349" s="6" t="str">
        <f>IFERROR(__xludf.DUMMYFUNCTION("GOOGLETRANSLATE(D2349,""en"",""it"")"),"Mi piacciono anche i gioielli e gli orecchini.")</f>
        <v>Mi piacciono anche i gioielli e gli orecchini.</v>
      </c>
      <c r="G2349" s="6" t="str">
        <f>IFERROR(__xludf.DUMMYFUNCTION("GOOGLETRANSLATE(E2349,""fr"",""it"")"),"Mi piacciono i gioielli e anche gli orecchini.")</f>
        <v>Mi piacciono i gioielli e anche gli orecchini.</v>
      </c>
    </row>
    <row r="2350">
      <c r="A2350" s="4">
        <v>2348.0</v>
      </c>
      <c r="B2350" s="5" t="s">
        <v>7051</v>
      </c>
      <c r="C2350" s="4">
        <v>1.0</v>
      </c>
      <c r="D2350" s="5" t="s">
        <v>7052</v>
      </c>
      <c r="E2350" s="5" t="s">
        <v>7053</v>
      </c>
      <c r="F2350" s="6" t="str">
        <f>IFERROR(__xludf.DUMMYFUNCTION("GOOGLETRANSLATE(D2350,""en"",""it"")"),"Mi piacciono anche gli orecchini e le sciarpe.")</f>
        <v>Mi piacciono anche gli orecchini e le sciarpe.</v>
      </c>
      <c r="G2350" s="6" t="str">
        <f>IFERROR(__xludf.DUMMYFUNCTION("GOOGLETRANSLATE(E2350,""fr"",""it"")"),"Mi piacciono gli orecchini, e anche le sciarpe.")</f>
        <v>Mi piacciono gli orecchini, e anche le sciarpe.</v>
      </c>
    </row>
    <row r="2351">
      <c r="A2351" s="4">
        <v>2349.0</v>
      </c>
      <c r="B2351" s="5" t="s">
        <v>7054</v>
      </c>
      <c r="C2351" s="4">
        <v>1.0</v>
      </c>
      <c r="D2351" s="5" t="s">
        <v>7055</v>
      </c>
      <c r="E2351" s="5" t="s">
        <v>7056</v>
      </c>
      <c r="F2351" s="6" t="str">
        <f>IFERROR(__xludf.DUMMYFUNCTION("GOOGLETRANSLATE(D2351,""en"",""it"")"),"Mi piacciono anche le sciarpe e gli orecchini.")</f>
        <v>Mi piacciono anche le sciarpe e gli orecchini.</v>
      </c>
      <c r="G2351" s="6" t="str">
        <f>IFERROR(__xludf.DUMMYFUNCTION("GOOGLETRANSLATE(E2351,""fr"",""it"")"),"Adoro sciarpe e anche orecchini.")</f>
        <v>Adoro sciarpe e anche orecchini.</v>
      </c>
    </row>
    <row r="2352">
      <c r="A2352" s="4">
        <v>2350.0</v>
      </c>
      <c r="B2352" s="5" t="s">
        <v>7057</v>
      </c>
      <c r="C2352" s="4">
        <v>0.0</v>
      </c>
      <c r="D2352" s="5" t="s">
        <v>7058</v>
      </c>
      <c r="E2352" s="5" t="s">
        <v>7059</v>
      </c>
      <c r="F2352" s="6" t="str">
        <f>IFERROR(__xludf.DUMMYFUNCTION("GOOGLETRANSLATE(D2352,""en"",""it"")"),"Mi piacciono le mele, tranne il prosciutto.")</f>
        <v>Mi piacciono le mele, tranne il prosciutto.</v>
      </c>
      <c r="G2352" s="6" t="str">
        <f>IFERROR(__xludf.DUMMYFUNCTION("GOOGLETRANSLATE(E2352,""fr"",""it"")"),"Amo le mele, tranne il prosciutto.")</f>
        <v>Amo le mele, tranne il prosciutto.</v>
      </c>
    </row>
    <row r="2353">
      <c r="A2353" s="4">
        <v>2351.0</v>
      </c>
      <c r="B2353" s="5" t="s">
        <v>7060</v>
      </c>
      <c r="C2353" s="4">
        <v>1.0</v>
      </c>
      <c r="D2353" s="5" t="s">
        <v>7061</v>
      </c>
      <c r="E2353" s="5" t="s">
        <v>7062</v>
      </c>
      <c r="F2353" s="6" t="str">
        <f>IFERROR(__xludf.DUMMYFUNCTION("GOOGLETRANSLATE(D2353,""en"",""it"")"),"Mi piacciono gli orecchini e gli occhiali.")</f>
        <v>Mi piacciono gli orecchini e gli occhiali.</v>
      </c>
      <c r="G2353" s="6" t="str">
        <f>IFERROR(__xludf.DUMMYFUNCTION("GOOGLETRANSLATE(E2353,""fr"",""it"")"),"Mi piacciono gli orecchini e anche gli occhiali.")</f>
        <v>Mi piacciono gli orecchini e anche gli occhiali.</v>
      </c>
    </row>
    <row r="2354">
      <c r="A2354" s="4">
        <v>2352.0</v>
      </c>
      <c r="B2354" s="5" t="s">
        <v>7063</v>
      </c>
      <c r="C2354" s="4">
        <v>1.0</v>
      </c>
      <c r="D2354" s="5" t="s">
        <v>7064</v>
      </c>
      <c r="E2354" s="5" t="s">
        <v>7065</v>
      </c>
      <c r="F2354" s="6" t="str">
        <f>IFERROR(__xludf.DUMMYFUNCTION("GOOGLETRANSLATE(D2354,""en"",""it"")"),"Mi piacciono anche gli occhiali e gli orecchini.")</f>
        <v>Mi piacciono anche gli occhiali e gli orecchini.</v>
      </c>
      <c r="G2354" s="6" t="str">
        <f>IFERROR(__xludf.DUMMYFUNCTION("GOOGLETRANSLATE(E2354,""fr"",""it"")"),"Amo gli occhiali e anche gli orecchini.")</f>
        <v>Amo gli occhiali e anche gli orecchini.</v>
      </c>
    </row>
    <row r="2355">
      <c r="A2355" s="4">
        <v>2353.0</v>
      </c>
      <c r="B2355" s="5" t="s">
        <v>7066</v>
      </c>
      <c r="C2355" s="4">
        <v>1.0</v>
      </c>
      <c r="D2355" s="5" t="s">
        <v>7067</v>
      </c>
      <c r="E2355" s="5" t="s">
        <v>7068</v>
      </c>
      <c r="F2355" s="6" t="str">
        <f>IFERROR(__xludf.DUMMYFUNCTION("GOOGLETRANSLATE(D2355,""en"",""it"")"),"Mi piacciono gli orecchini e anche le scarpe.")</f>
        <v>Mi piacciono gli orecchini e anche le scarpe.</v>
      </c>
      <c r="G2355" s="6" t="str">
        <f>IFERROR(__xludf.DUMMYFUNCTION("GOOGLETRANSLATE(E2355,""fr"",""it"")"),"Mi piacciono gli orecchini, e anche le scarpe.")</f>
        <v>Mi piacciono gli orecchini, e anche le scarpe.</v>
      </c>
    </row>
    <row r="2356">
      <c r="A2356" s="4">
        <v>2354.0</v>
      </c>
      <c r="B2356" s="5" t="s">
        <v>7069</v>
      </c>
      <c r="C2356" s="4">
        <v>1.0</v>
      </c>
      <c r="D2356" s="5" t="s">
        <v>7070</v>
      </c>
      <c r="E2356" s="5" t="s">
        <v>7071</v>
      </c>
      <c r="F2356" s="6" t="str">
        <f>IFERROR(__xludf.DUMMYFUNCTION("GOOGLETRANSLATE(D2356,""en"",""it"")"),"Mi piacciono anche le scarpe e gli orecchini.")</f>
        <v>Mi piacciono anche le scarpe e gli orecchini.</v>
      </c>
      <c r="G2356" s="6" t="str">
        <f>IFERROR(__xludf.DUMMYFUNCTION("GOOGLETRANSLATE(E2356,""fr"",""it"")"),"Mi piacciono le scarpe, e anche gli orecchini.")</f>
        <v>Mi piacciono le scarpe, e anche gli orecchini.</v>
      </c>
    </row>
    <row r="2357">
      <c r="A2357" s="4">
        <v>2355.0</v>
      </c>
      <c r="B2357" s="5" t="s">
        <v>7072</v>
      </c>
      <c r="C2357" s="4">
        <v>1.0</v>
      </c>
      <c r="D2357" s="5" t="s">
        <v>7073</v>
      </c>
      <c r="E2357" s="5" t="s">
        <v>7074</v>
      </c>
      <c r="F2357" s="6" t="str">
        <f>IFERROR(__xludf.DUMMYFUNCTION("GOOGLETRANSLATE(D2357,""en"",""it"")"),"Mi piacciono anche gli anelli e le borse.")</f>
        <v>Mi piacciono anche gli anelli e le borse.</v>
      </c>
      <c r="G2357" s="6" t="str">
        <f>IFERROR(__xludf.DUMMYFUNCTION("GOOGLETRANSLATE(E2357,""fr"",""it"")"),"Amo gli anelli e anche le borse.")</f>
        <v>Amo gli anelli e anche le borse.</v>
      </c>
    </row>
    <row r="2358">
      <c r="A2358" s="4">
        <v>2356.0</v>
      </c>
      <c r="B2358" s="5" t="s">
        <v>7075</v>
      </c>
      <c r="C2358" s="4">
        <v>1.0</v>
      </c>
      <c r="D2358" s="5" t="s">
        <v>7076</v>
      </c>
      <c r="E2358" s="5" t="s">
        <v>7077</v>
      </c>
      <c r="F2358" s="6" t="str">
        <f>IFERROR(__xludf.DUMMYFUNCTION("GOOGLETRANSLATE(D2358,""en"",""it"")"),"Mi piacciono anche le borse e gli anelli.")</f>
        <v>Mi piacciono anche le borse e gli anelli.</v>
      </c>
      <c r="G2358" s="6" t="str">
        <f>IFERROR(__xludf.DUMMYFUNCTION("GOOGLETRANSLATE(E2358,""fr"",""it"")"),"Mi piacciono le borse e anche gli anelli.")</f>
        <v>Mi piacciono le borse e anche gli anelli.</v>
      </c>
    </row>
    <row r="2359">
      <c r="A2359" s="4">
        <v>2357.0</v>
      </c>
      <c r="B2359" s="5" t="s">
        <v>7078</v>
      </c>
      <c r="C2359" s="4">
        <v>0.0</v>
      </c>
      <c r="D2359" s="5" t="s">
        <v>7079</v>
      </c>
      <c r="E2359" s="5" t="s">
        <v>7080</v>
      </c>
      <c r="F2359" s="6" t="str">
        <f>IFERROR(__xludf.DUMMYFUNCTION("GOOGLETRANSLATE(D2359,""en"",""it"")"),"Mi piacciono anche gli anelli e i gioielli.")</f>
        <v>Mi piacciono anche gli anelli e i gioielli.</v>
      </c>
      <c r="G2359" s="6" t="str">
        <f>IFERROR(__xludf.DUMMYFUNCTION("GOOGLETRANSLATE(E2359,""fr"",""it"")"),"Amo gli anelli e anche i gioielli.")</f>
        <v>Amo gli anelli e anche i gioielli.</v>
      </c>
    </row>
    <row r="2360">
      <c r="A2360" s="4">
        <v>2358.0</v>
      </c>
      <c r="B2360" s="5" t="s">
        <v>7081</v>
      </c>
      <c r="C2360" s="4">
        <v>0.0</v>
      </c>
      <c r="D2360" s="5" t="s">
        <v>7082</v>
      </c>
      <c r="E2360" s="5" t="s">
        <v>7083</v>
      </c>
      <c r="F2360" s="6" t="str">
        <f>IFERROR(__xludf.DUMMYFUNCTION("GOOGLETRANSLATE(D2360,""en"",""it"")"),"Mi piacciono anche i gioielli e gli anelli.")</f>
        <v>Mi piacciono anche i gioielli e gli anelli.</v>
      </c>
      <c r="G2360" s="6" t="str">
        <f>IFERROR(__xludf.DUMMYFUNCTION("GOOGLETRANSLATE(E2360,""fr"",""it"")"),"Amo i gioielli, e anche gli anelli.")</f>
        <v>Amo i gioielli, e anche gli anelli.</v>
      </c>
    </row>
    <row r="2361">
      <c r="A2361" s="4">
        <v>2359.0</v>
      </c>
      <c r="B2361" s="5" t="s">
        <v>7084</v>
      </c>
      <c r="C2361" s="4">
        <v>1.0</v>
      </c>
      <c r="D2361" s="5" t="s">
        <v>7085</v>
      </c>
      <c r="E2361" s="5" t="s">
        <v>7086</v>
      </c>
      <c r="F2361" s="6" t="str">
        <f>IFERROR(__xludf.DUMMYFUNCTION("GOOGLETRANSLATE(D2361,""en"",""it"")"),"Mi piacciono anche gli anelli e le sciarpe.")</f>
        <v>Mi piacciono anche gli anelli e le sciarpe.</v>
      </c>
      <c r="G2361" s="6" t="str">
        <f>IFERROR(__xludf.DUMMYFUNCTION("GOOGLETRANSLATE(E2361,""fr"",""it"")"),"Amo gli anelli, e anche le sciarpe.")</f>
        <v>Amo gli anelli, e anche le sciarpe.</v>
      </c>
    </row>
    <row r="2362">
      <c r="A2362" s="4">
        <v>2360.0</v>
      </c>
      <c r="B2362" s="5" t="s">
        <v>7087</v>
      </c>
      <c r="C2362" s="4">
        <v>1.0</v>
      </c>
      <c r="D2362" s="5" t="s">
        <v>7088</v>
      </c>
      <c r="E2362" s="5" t="s">
        <v>7089</v>
      </c>
      <c r="F2362" s="6" t="str">
        <f>IFERROR(__xludf.DUMMYFUNCTION("GOOGLETRANSLATE(D2362,""en"",""it"")"),"Mi piacciono anche le sciarpe e anelli.")</f>
        <v>Mi piacciono anche le sciarpe e anelli.</v>
      </c>
      <c r="G2362" s="6" t="str">
        <f>IFERROR(__xludf.DUMMYFUNCTION("GOOGLETRANSLATE(E2362,""fr"",""it"")"),"Adoro sciarpe e anche gli anelli.")</f>
        <v>Adoro sciarpe e anche gli anelli.</v>
      </c>
    </row>
    <row r="2363">
      <c r="A2363" s="4">
        <v>2361.0</v>
      </c>
      <c r="B2363" s="5" t="s">
        <v>7090</v>
      </c>
      <c r="C2363" s="4">
        <v>1.0</v>
      </c>
      <c r="D2363" s="5" t="s">
        <v>7091</v>
      </c>
      <c r="E2363" s="5" t="s">
        <v>7092</v>
      </c>
      <c r="F2363" s="6" t="str">
        <f>IFERROR(__xludf.DUMMYFUNCTION("GOOGLETRANSLATE(D2363,""en"",""it"")"),"Mi piacciono anche gli anelli e gli occhiali.")</f>
        <v>Mi piacciono anche gli anelli e gli occhiali.</v>
      </c>
      <c r="G2363" s="6" t="str">
        <f>IFERROR(__xludf.DUMMYFUNCTION("GOOGLETRANSLATE(E2363,""fr"",""it"")"),"Adoro gli anelli, e anche gli occhiali.")</f>
        <v>Adoro gli anelli, e anche gli occhiali.</v>
      </c>
    </row>
    <row r="2364">
      <c r="A2364" s="4">
        <v>2362.0</v>
      </c>
      <c r="B2364" s="5" t="s">
        <v>7093</v>
      </c>
      <c r="C2364" s="4">
        <v>1.0</v>
      </c>
      <c r="D2364" s="5" t="s">
        <v>7094</v>
      </c>
      <c r="E2364" s="5" t="s">
        <v>7095</v>
      </c>
      <c r="F2364" s="6" t="str">
        <f>IFERROR(__xludf.DUMMYFUNCTION("GOOGLETRANSLATE(D2364,""en"",""it"")"),"Mi piacciono anche gli occhiali e gli anelli.")</f>
        <v>Mi piacciono anche gli occhiali e gli anelli.</v>
      </c>
      <c r="G2364" s="6" t="str">
        <f>IFERROR(__xludf.DUMMYFUNCTION("GOOGLETRANSLATE(E2364,""fr"",""it"")"),"Amo gli occhiali, e anche gli anelli.")</f>
        <v>Amo gli occhiali, e anche gli anelli.</v>
      </c>
    </row>
    <row r="2365">
      <c r="A2365" s="4">
        <v>2363.0</v>
      </c>
      <c r="B2365" s="5" t="s">
        <v>7096</v>
      </c>
      <c r="C2365" s="4">
        <v>1.0</v>
      </c>
      <c r="D2365" s="5" t="s">
        <v>7097</v>
      </c>
      <c r="E2365" s="5" t="s">
        <v>7098</v>
      </c>
      <c r="F2365" s="6" t="str">
        <f>IFERROR(__xludf.DUMMYFUNCTION("GOOGLETRANSLATE(D2365,""en"",""it"")"),"Mi piacciono anche gli anelli e le scarpe.")</f>
        <v>Mi piacciono anche gli anelli e le scarpe.</v>
      </c>
      <c r="G2365" s="6" t="str">
        <f>IFERROR(__xludf.DUMMYFUNCTION("GOOGLETRANSLATE(E2365,""fr"",""it"")"),"Amo gli anelli e anche le scarpe.")</f>
        <v>Amo gli anelli e anche le scarpe.</v>
      </c>
    </row>
    <row r="2366">
      <c r="A2366" s="4">
        <v>2364.0</v>
      </c>
      <c r="B2366" s="5" t="s">
        <v>7099</v>
      </c>
      <c r="C2366" s="4">
        <v>1.0</v>
      </c>
      <c r="D2366" s="5" t="s">
        <v>7100</v>
      </c>
      <c r="E2366" s="5" t="s">
        <v>7101</v>
      </c>
      <c r="F2366" s="6" t="str">
        <f>IFERROR(__xludf.DUMMYFUNCTION("GOOGLETRANSLATE(D2366,""en"",""it"")"),"Mi piacciono le scarpe e anche gli anelli.")</f>
        <v>Mi piacciono le scarpe e anche gli anelli.</v>
      </c>
      <c r="G2366" s="6" t="str">
        <f>IFERROR(__xludf.DUMMYFUNCTION("GOOGLETRANSLATE(E2366,""fr"",""it"")"),"Adoro le scarpe e anche gli anelli.")</f>
        <v>Adoro le scarpe e anche gli anelli.</v>
      </c>
    </row>
    <row r="2367">
      <c r="A2367" s="4">
        <v>2365.0</v>
      </c>
      <c r="B2367" s="5" t="s">
        <v>7102</v>
      </c>
      <c r="C2367" s="4">
        <v>1.0</v>
      </c>
      <c r="D2367" s="5" t="s">
        <v>7103</v>
      </c>
      <c r="E2367" s="5" t="s">
        <v>7104</v>
      </c>
      <c r="F2367" s="6" t="str">
        <f>IFERROR(__xludf.DUMMYFUNCTION("GOOGLETRANSLATE(D2367,""en"",""it"")"),"Mi piacciono anche i gatti e le giraffe.")</f>
        <v>Mi piacciono anche i gatti e le giraffe.</v>
      </c>
      <c r="G2367" s="6" t="str">
        <f>IFERROR(__xludf.DUMMYFUNCTION("GOOGLETRANSLATE(E2367,""fr"",""it"")"),"Mi piacciono i gatti, e anche le giraffe.")</f>
        <v>Mi piacciono i gatti, e anche le giraffe.</v>
      </c>
    </row>
    <row r="2368">
      <c r="A2368" s="4">
        <v>2366.0</v>
      </c>
      <c r="B2368" s="5" t="s">
        <v>7105</v>
      </c>
      <c r="C2368" s="4">
        <v>1.0</v>
      </c>
      <c r="D2368" s="5" t="s">
        <v>7106</v>
      </c>
      <c r="E2368" s="5" t="s">
        <v>7107</v>
      </c>
      <c r="F2368" s="6" t="str">
        <f>IFERROR(__xludf.DUMMYFUNCTION("GOOGLETRANSLATE(D2368,""en"",""it"")"),"Mi piacciono anche le giraffe e i gatti.")</f>
        <v>Mi piacciono anche le giraffe e i gatti.</v>
      </c>
      <c r="G2368" s="6" t="str">
        <f>IFERROR(__xludf.DUMMYFUNCTION("GOOGLETRANSLATE(E2368,""fr"",""it"")"),"Amo le giraffe, e anche i gatti.")</f>
        <v>Amo le giraffe, e anche i gatti.</v>
      </c>
    </row>
    <row r="2369">
      <c r="A2369" s="4">
        <v>2367.0</v>
      </c>
      <c r="B2369" s="5" t="s">
        <v>7108</v>
      </c>
      <c r="C2369" s="4">
        <v>0.0</v>
      </c>
      <c r="D2369" s="5" t="s">
        <v>7109</v>
      </c>
      <c r="E2369" s="5" t="s">
        <v>7110</v>
      </c>
      <c r="F2369" s="6" t="str">
        <f>IFERROR(__xludf.DUMMYFUNCTION("GOOGLETRANSLATE(D2369,""en"",""it"")"),"Mi piacciono anche i gatti e gli animali domestici.")</f>
        <v>Mi piacciono anche i gatti e gli animali domestici.</v>
      </c>
      <c r="G2369" s="6" t="str">
        <f>IFERROR(__xludf.DUMMYFUNCTION("GOOGLETRANSLATE(E2369,""fr"",""it"")"),"Mi piacciono i gatti e anche gli animali domestici.")</f>
        <v>Mi piacciono i gatti e anche gli animali domestici.</v>
      </c>
    </row>
    <row r="2370">
      <c r="A2370" s="4">
        <v>2368.0</v>
      </c>
      <c r="B2370" s="5" t="s">
        <v>7111</v>
      </c>
      <c r="C2370" s="4">
        <v>0.0</v>
      </c>
      <c r="D2370" s="5" t="s">
        <v>7112</v>
      </c>
      <c r="E2370" s="5" t="s">
        <v>7113</v>
      </c>
      <c r="F2370" s="6" t="str">
        <f>IFERROR(__xludf.DUMMYFUNCTION("GOOGLETRANSLATE(D2370,""en"",""it"")"),"Mi piacciono anche gli animali domestici e i gatti.")</f>
        <v>Mi piacciono anche gli animali domestici e i gatti.</v>
      </c>
      <c r="G2370" s="6" t="str">
        <f>IFERROR(__xludf.DUMMYFUNCTION("GOOGLETRANSLATE(E2370,""fr"",""it"")"),"Amo gli animali domestici e anche i gatti.")</f>
        <v>Amo gli animali domestici e anche i gatti.</v>
      </c>
    </row>
    <row r="2371">
      <c r="A2371" s="4">
        <v>2369.0</v>
      </c>
      <c r="B2371" s="5" t="s">
        <v>7114</v>
      </c>
      <c r="C2371" s="4">
        <v>1.0</v>
      </c>
      <c r="D2371" s="5" t="s">
        <v>7115</v>
      </c>
      <c r="E2371" s="5" t="s">
        <v>7116</v>
      </c>
      <c r="F2371" s="6" t="str">
        <f>IFERROR(__xludf.DUMMYFUNCTION("GOOGLETRANSLATE(D2371,""en"",""it"")"),"Mi piacciono anche gli animali domestici e le giraffe.")</f>
        <v>Mi piacciono anche gli animali domestici e le giraffe.</v>
      </c>
      <c r="G2371" s="6" t="str">
        <f>IFERROR(__xludf.DUMMYFUNCTION("GOOGLETRANSLATE(E2371,""fr"",""it"")"),"Amo gli animali domestici, e anche le giraffe.")</f>
        <v>Amo gli animali domestici, e anche le giraffe.</v>
      </c>
    </row>
    <row r="2372">
      <c r="A2372" s="4">
        <v>2370.0</v>
      </c>
      <c r="B2372" s="5" t="s">
        <v>7117</v>
      </c>
      <c r="C2372" s="4">
        <v>1.0</v>
      </c>
      <c r="D2372" s="5" t="s">
        <v>7118</v>
      </c>
      <c r="E2372" s="5" t="s">
        <v>7119</v>
      </c>
      <c r="F2372" s="6" t="str">
        <f>IFERROR(__xludf.DUMMYFUNCTION("GOOGLETRANSLATE(D2372,""en"",""it"")"),"Mi piacciono anche i gatti e gli orsi.")</f>
        <v>Mi piacciono anche i gatti e gli orsi.</v>
      </c>
      <c r="G2372" s="6" t="str">
        <f>IFERROR(__xludf.DUMMYFUNCTION("GOOGLETRANSLATE(E2372,""fr"",""it"")"),"Mi piacciono i gatti e anche gli orsi.")</f>
        <v>Mi piacciono i gatti e anche gli orsi.</v>
      </c>
    </row>
    <row r="2373">
      <c r="A2373" s="4">
        <v>2371.0</v>
      </c>
      <c r="B2373" s="5" t="s">
        <v>7120</v>
      </c>
      <c r="C2373" s="4">
        <v>1.0</v>
      </c>
      <c r="D2373" s="5" t="s">
        <v>7121</v>
      </c>
      <c r="E2373" s="5" t="s">
        <v>7122</v>
      </c>
      <c r="F2373" s="6" t="str">
        <f>IFERROR(__xludf.DUMMYFUNCTION("GOOGLETRANSLATE(D2373,""en"",""it"")"),"Mi piacciono anche gli orsi e i gatti.")</f>
        <v>Mi piacciono anche gli orsi e i gatti.</v>
      </c>
      <c r="G2373" s="6" t="str">
        <f>IFERROR(__xludf.DUMMYFUNCTION("GOOGLETRANSLATE(E2373,""fr"",""it"")"),"Amo gli orsi e anche i gatti.")</f>
        <v>Amo gli orsi e anche i gatti.</v>
      </c>
    </row>
    <row r="2374">
      <c r="A2374" s="4">
        <v>2372.0</v>
      </c>
      <c r="B2374" s="5" t="s">
        <v>7123</v>
      </c>
      <c r="C2374" s="4">
        <v>0.0</v>
      </c>
      <c r="D2374" s="5" t="s">
        <v>7124</v>
      </c>
      <c r="E2374" s="5" t="s">
        <v>7125</v>
      </c>
      <c r="F2374" s="6" t="str">
        <f>IFERROR(__xludf.DUMMYFUNCTION("GOOGLETRANSLATE(D2374,""en"",""it"")"),"Mi piace Prosciutto, tranne carote.")</f>
        <v>Mi piace Prosciutto, tranne carote.</v>
      </c>
      <c r="G2374" s="6" t="str">
        <f>IFERROR(__xludf.DUMMYFUNCTION("GOOGLETRANSLATE(E2374,""fr"",""it"")"),"Adoro il prosciutto, tranne le carote.")</f>
        <v>Adoro il prosciutto, tranne le carote.</v>
      </c>
    </row>
    <row r="2375">
      <c r="A2375" s="4">
        <v>2373.0</v>
      </c>
      <c r="B2375" s="5" t="s">
        <v>7126</v>
      </c>
      <c r="C2375" s="4">
        <v>1.0</v>
      </c>
      <c r="D2375" s="5" t="s">
        <v>7127</v>
      </c>
      <c r="E2375" s="5" t="s">
        <v>7128</v>
      </c>
      <c r="F2375" s="6" t="str">
        <f>IFERROR(__xludf.DUMMYFUNCTION("GOOGLETRANSLATE(D2375,""en"",""it"")"),"Mi piacciono anche gli animali domestici e gli orsi.")</f>
        <v>Mi piacciono anche gli animali domestici e gli orsi.</v>
      </c>
      <c r="G2375" s="6" t="str">
        <f>IFERROR(__xludf.DUMMYFUNCTION("GOOGLETRANSLATE(E2375,""fr"",""it"")"),"Amo gli animali domestici, e anche gli orsi.")</f>
        <v>Amo gli animali domestici, e anche gli orsi.</v>
      </c>
    </row>
    <row r="2376">
      <c r="A2376" s="4">
        <v>2374.0</v>
      </c>
      <c r="B2376" s="5" t="s">
        <v>7129</v>
      </c>
      <c r="C2376" s="4">
        <v>1.0</v>
      </c>
      <c r="D2376" s="5" t="s">
        <v>7130</v>
      </c>
      <c r="E2376" s="5" t="s">
        <v>7131</v>
      </c>
      <c r="F2376" s="6" t="str">
        <f>IFERROR(__xludf.DUMMYFUNCTION("GOOGLETRANSLATE(D2376,""en"",""it"")"),"Mi piacciono anche i gatti e le meduse.")</f>
        <v>Mi piacciono anche i gatti e le meduse.</v>
      </c>
      <c r="G2376" s="6" t="str">
        <f>IFERROR(__xludf.DUMMYFUNCTION("GOOGLETRANSLATE(E2376,""fr"",""it"")"),"Mi piacciono i gatti e anche le meduse.")</f>
        <v>Mi piacciono i gatti e anche le meduse.</v>
      </c>
    </row>
    <row r="2377">
      <c r="A2377" s="4">
        <v>2375.0</v>
      </c>
      <c r="B2377" s="5" t="s">
        <v>7132</v>
      </c>
      <c r="C2377" s="4">
        <v>1.0</v>
      </c>
      <c r="D2377" s="5" t="s">
        <v>7133</v>
      </c>
      <c r="E2377" s="5" t="s">
        <v>7134</v>
      </c>
      <c r="F2377" s="6" t="str">
        <f>IFERROR(__xludf.DUMMYFUNCTION("GOOGLETRANSLATE(D2377,""en"",""it"")"),"Mi piacciono anche le meduse e i gatti.")</f>
        <v>Mi piacciono anche le meduse e i gatti.</v>
      </c>
      <c r="G2377" s="6" t="str">
        <f>IFERROR(__xludf.DUMMYFUNCTION("GOOGLETRANSLATE(E2377,""fr"",""it"")"),"Amo la medusa e anche i gatti.")</f>
        <v>Amo la medusa e anche i gatti.</v>
      </c>
    </row>
    <row r="2378">
      <c r="A2378" s="4">
        <v>2376.0</v>
      </c>
      <c r="B2378" s="5" t="s">
        <v>7135</v>
      </c>
      <c r="C2378" s="4">
        <v>1.0</v>
      </c>
      <c r="D2378" s="5" t="s">
        <v>7136</v>
      </c>
      <c r="E2378" s="5" t="s">
        <v>7137</v>
      </c>
      <c r="F2378" s="6" t="str">
        <f>IFERROR(__xludf.DUMMYFUNCTION("GOOGLETRANSLATE(D2378,""en"",""it"")"),"Mi piacciono anche gli animali domestici e le meduse.")</f>
        <v>Mi piacciono anche gli animali domestici e le meduse.</v>
      </c>
      <c r="G2378" s="6" t="str">
        <f>IFERROR(__xludf.DUMMYFUNCTION("GOOGLETRANSLATE(E2378,""fr"",""it"")"),"Amo gli animali domestici, e anche le meduse.")</f>
        <v>Amo gli animali domestici, e anche le meduse.</v>
      </c>
    </row>
    <row r="2379">
      <c r="A2379" s="4">
        <v>2377.0</v>
      </c>
      <c r="B2379" s="5" t="s">
        <v>7138</v>
      </c>
      <c r="C2379" s="4">
        <v>1.0</v>
      </c>
      <c r="D2379" s="5" t="s">
        <v>7139</v>
      </c>
      <c r="E2379" s="5" t="s">
        <v>7140</v>
      </c>
      <c r="F2379" s="6" t="str">
        <f>IFERROR(__xludf.DUMMYFUNCTION("GOOGLETRANSLATE(D2379,""en"",""it"")"),"Mi piacciono anche i gatti e le balene.")</f>
        <v>Mi piacciono anche i gatti e le balene.</v>
      </c>
      <c r="G2379" s="6" t="str">
        <f>IFERROR(__xludf.DUMMYFUNCTION("GOOGLETRANSLATE(E2379,""fr"",""it"")"),"Mi piacciono i gatti e anche le balene.")</f>
        <v>Mi piacciono i gatti e anche le balene.</v>
      </c>
    </row>
    <row r="2380">
      <c r="A2380" s="4">
        <v>2378.0</v>
      </c>
      <c r="B2380" s="5" t="s">
        <v>7141</v>
      </c>
      <c r="C2380" s="4">
        <v>1.0</v>
      </c>
      <c r="D2380" s="5" t="s">
        <v>7142</v>
      </c>
      <c r="E2380" s="5" t="s">
        <v>7143</v>
      </c>
      <c r="F2380" s="6" t="str">
        <f>IFERROR(__xludf.DUMMYFUNCTION("GOOGLETRANSLATE(D2380,""en"",""it"")"),"Mi piacciono anche le balene e i gatti.")</f>
        <v>Mi piacciono anche le balene e i gatti.</v>
      </c>
      <c r="G2380" s="6" t="str">
        <f>IFERROR(__xludf.DUMMYFUNCTION("GOOGLETRANSLATE(E2380,""fr"",""it"")"),"Adoro le balene e anche i gatti.")</f>
        <v>Adoro le balene e anche i gatti.</v>
      </c>
    </row>
    <row r="2381">
      <c r="A2381" s="4">
        <v>2379.0</v>
      </c>
      <c r="B2381" s="5" t="s">
        <v>7144</v>
      </c>
      <c r="C2381" s="4">
        <v>0.0</v>
      </c>
      <c r="D2381" s="5" t="s">
        <v>7145</v>
      </c>
      <c r="E2381" s="5" t="s">
        <v>7146</v>
      </c>
      <c r="F2381" s="6" t="str">
        <f>IFERROR(__xludf.DUMMYFUNCTION("GOOGLETRANSLATE(D2381,""en"",""it"")"),"Mi piacciono le carote, tranne il prosciutto.")</f>
        <v>Mi piacciono le carote, tranne il prosciutto.</v>
      </c>
      <c r="G2381" s="6" t="str">
        <f>IFERROR(__xludf.DUMMYFUNCTION("GOOGLETRANSLATE(E2381,""fr"",""it"")"),"Adoro le carote, tranne il prosciutto.")</f>
        <v>Adoro le carote, tranne il prosciutto.</v>
      </c>
    </row>
    <row r="2382">
      <c r="A2382" s="4">
        <v>2380.0</v>
      </c>
      <c r="B2382" s="5" t="s">
        <v>7147</v>
      </c>
      <c r="C2382" s="4">
        <v>1.0</v>
      </c>
      <c r="D2382" s="5" t="s">
        <v>7148</v>
      </c>
      <c r="E2382" s="5" t="s">
        <v>7149</v>
      </c>
      <c r="F2382" s="6" t="str">
        <f>IFERROR(__xludf.DUMMYFUNCTION("GOOGLETRANSLATE(D2382,""en"",""it"")"),"Mi piacciono anche gli animali domestici e le balene.")</f>
        <v>Mi piacciono anche gli animali domestici e le balene.</v>
      </c>
      <c r="G2382" s="6" t="str">
        <f>IFERROR(__xludf.DUMMYFUNCTION("GOOGLETRANSLATE(E2382,""fr"",""it"")"),"Amo gli animali domestici, e anche le balene.")</f>
        <v>Amo gli animali domestici, e anche le balene.</v>
      </c>
    </row>
    <row r="2383">
      <c r="A2383" s="4">
        <v>2381.0</v>
      </c>
      <c r="B2383" s="5" t="s">
        <v>7150</v>
      </c>
      <c r="C2383" s="4">
        <v>1.0</v>
      </c>
      <c r="D2383" s="5" t="s">
        <v>7151</v>
      </c>
      <c r="E2383" s="5" t="s">
        <v>7152</v>
      </c>
      <c r="F2383" s="6" t="str">
        <f>IFERROR(__xludf.DUMMYFUNCTION("GOOGLETRANSLATE(D2383,""en"",""it"")"),"Mi piacciono anche i cani e le giraffe.")</f>
        <v>Mi piacciono anche i cani e le giraffe.</v>
      </c>
      <c r="G2383" s="6" t="str">
        <f>IFERROR(__xludf.DUMMYFUNCTION("GOOGLETRANSLATE(E2383,""fr"",""it"")"),"Amo i cani, e anche le giraffe.")</f>
        <v>Amo i cani, e anche le giraffe.</v>
      </c>
    </row>
    <row r="2384">
      <c r="A2384" s="4">
        <v>2382.0</v>
      </c>
      <c r="B2384" s="5" t="s">
        <v>7153</v>
      </c>
      <c r="C2384" s="4">
        <v>1.0</v>
      </c>
      <c r="D2384" s="5" t="s">
        <v>7154</v>
      </c>
      <c r="E2384" s="5" t="s">
        <v>7155</v>
      </c>
      <c r="F2384" s="6" t="str">
        <f>IFERROR(__xludf.DUMMYFUNCTION("GOOGLETRANSLATE(D2384,""en"",""it"")"),"Mi piacciono anche le giraffe e i cani.")</f>
        <v>Mi piacciono anche le giraffe e i cani.</v>
      </c>
      <c r="G2384" s="6" t="str">
        <f>IFERROR(__xludf.DUMMYFUNCTION("GOOGLETRANSLATE(E2384,""fr"",""it"")"),"Amo le giraffe, e anche i cani.")</f>
        <v>Amo le giraffe, e anche i cani.</v>
      </c>
    </row>
    <row r="2385">
      <c r="A2385" s="4">
        <v>2383.0</v>
      </c>
      <c r="B2385" s="5" t="s">
        <v>7156</v>
      </c>
      <c r="C2385" s="4">
        <v>0.0</v>
      </c>
      <c r="D2385" s="5" t="s">
        <v>7157</v>
      </c>
      <c r="E2385" s="5" t="s">
        <v>7158</v>
      </c>
      <c r="F2385" s="6" t="str">
        <f>IFERROR(__xludf.DUMMYFUNCTION("GOOGLETRANSLATE(D2385,""en"",""it"")"),"Mi piacciono anche i cani e gli animali domestici.")</f>
        <v>Mi piacciono anche i cani e gli animali domestici.</v>
      </c>
      <c r="G2385" s="6" t="str">
        <f>IFERROR(__xludf.DUMMYFUNCTION("GOOGLETRANSLATE(E2385,""fr"",""it"")"),"Amo i cani, e anche animali domestici.")</f>
        <v>Amo i cani, e anche animali domestici.</v>
      </c>
    </row>
    <row r="2386">
      <c r="A2386" s="4">
        <v>2384.0</v>
      </c>
      <c r="B2386" s="5" t="s">
        <v>7159</v>
      </c>
      <c r="C2386" s="4">
        <v>0.0</v>
      </c>
      <c r="D2386" s="5" t="s">
        <v>7160</v>
      </c>
      <c r="E2386" s="5" t="s">
        <v>7161</v>
      </c>
      <c r="F2386" s="6" t="str">
        <f>IFERROR(__xludf.DUMMYFUNCTION("GOOGLETRANSLATE(D2386,""en"",""it"")"),"Mi piacciono anche gli animali domestici e i cani.")</f>
        <v>Mi piacciono anche gli animali domestici e i cani.</v>
      </c>
      <c r="G2386" s="6" t="str">
        <f>IFERROR(__xludf.DUMMYFUNCTION("GOOGLETRANSLATE(E2386,""fr"",""it"")"),"Amo gli animali domestici, e anche i cani.")</f>
        <v>Amo gli animali domestici, e anche i cani.</v>
      </c>
    </row>
    <row r="2387">
      <c r="A2387" s="4">
        <v>2385.0</v>
      </c>
      <c r="B2387" s="5" t="s">
        <v>7162</v>
      </c>
      <c r="C2387" s="4">
        <v>1.0</v>
      </c>
      <c r="D2387" s="5" t="s">
        <v>7163</v>
      </c>
      <c r="E2387" s="5" t="s">
        <v>7164</v>
      </c>
      <c r="F2387" s="6" t="str">
        <f>IFERROR(__xludf.DUMMYFUNCTION("GOOGLETRANSLATE(D2387,""en"",""it"")"),"Mi piacciono anche i cani e anche gli orsi.")</f>
        <v>Mi piacciono anche i cani e anche gli orsi.</v>
      </c>
      <c r="G2387" s="6" t="str">
        <f>IFERROR(__xludf.DUMMYFUNCTION("GOOGLETRANSLATE(E2387,""fr"",""it"")"),"Mi piacciono i cani e anche gli orsi.")</f>
        <v>Mi piacciono i cani e anche gli orsi.</v>
      </c>
    </row>
    <row r="2388">
      <c r="A2388" s="4">
        <v>2386.0</v>
      </c>
      <c r="B2388" s="5" t="s">
        <v>7165</v>
      </c>
      <c r="C2388" s="4">
        <v>1.0</v>
      </c>
      <c r="D2388" s="5" t="s">
        <v>7166</v>
      </c>
      <c r="E2388" s="5" t="s">
        <v>7167</v>
      </c>
      <c r="F2388" s="6" t="str">
        <f>IFERROR(__xludf.DUMMYFUNCTION("GOOGLETRANSLATE(D2388,""en"",""it"")"),"Mi piacciono anche gli orsi e i cani.")</f>
        <v>Mi piacciono anche gli orsi e i cani.</v>
      </c>
      <c r="G2388" s="6" t="str">
        <f>IFERROR(__xludf.DUMMYFUNCTION("GOOGLETRANSLATE(E2388,""fr"",""it"")"),"Amo gli orsi e anche i cani.")</f>
        <v>Amo gli orsi e anche i cani.</v>
      </c>
    </row>
    <row r="2389">
      <c r="A2389" s="4">
        <v>2387.0</v>
      </c>
      <c r="B2389" s="5" t="s">
        <v>7168</v>
      </c>
      <c r="C2389" s="4">
        <v>1.0</v>
      </c>
      <c r="D2389" s="5" t="s">
        <v>7169</v>
      </c>
      <c r="E2389" s="5" t="s">
        <v>7170</v>
      </c>
      <c r="F2389" s="6" t="str">
        <f>IFERROR(__xludf.DUMMYFUNCTION("GOOGLETRANSLATE(D2389,""en"",""it"")"),"Mi piacciono anche i cani e le meduse.")</f>
        <v>Mi piacciono anche i cani e le meduse.</v>
      </c>
      <c r="G2389" s="6" t="str">
        <f>IFERROR(__xludf.DUMMYFUNCTION("GOOGLETRANSLATE(E2389,""fr"",""it"")"),"Amo i cani, e anche le meduse.")</f>
        <v>Amo i cani, e anche le meduse.</v>
      </c>
    </row>
    <row r="2390">
      <c r="A2390" s="4">
        <v>2388.0</v>
      </c>
      <c r="B2390" s="5" t="s">
        <v>7171</v>
      </c>
      <c r="C2390" s="4">
        <v>1.0</v>
      </c>
      <c r="D2390" s="5" t="s">
        <v>7172</v>
      </c>
      <c r="E2390" s="5" t="s">
        <v>7173</v>
      </c>
      <c r="F2390" s="6" t="str">
        <f>IFERROR(__xludf.DUMMYFUNCTION("GOOGLETRANSLATE(D2390,""en"",""it"")"),"Mi piacciono anche le meduse e i cani.")</f>
        <v>Mi piacciono anche le meduse e i cani.</v>
      </c>
      <c r="G2390" s="6" t="str">
        <f>IFERROR(__xludf.DUMMYFUNCTION("GOOGLETRANSLATE(E2390,""fr"",""it"")"),"Amo le meduse e anche i cani.")</f>
        <v>Amo le meduse e anche i cani.</v>
      </c>
    </row>
    <row r="2391">
      <c r="A2391" s="4">
        <v>2389.0</v>
      </c>
      <c r="B2391" s="5" t="s">
        <v>7174</v>
      </c>
      <c r="C2391" s="4">
        <v>1.0</v>
      </c>
      <c r="D2391" s="5" t="s">
        <v>7175</v>
      </c>
      <c r="E2391" s="5" t="s">
        <v>7176</v>
      </c>
      <c r="F2391" s="6" t="str">
        <f>IFERROR(__xludf.DUMMYFUNCTION("GOOGLETRANSLATE(D2391,""en"",""it"")"),"Mi piacciono anche i cani e le balene.")</f>
        <v>Mi piacciono anche i cani e le balene.</v>
      </c>
      <c r="G2391" s="6" t="str">
        <f>IFERROR(__xludf.DUMMYFUNCTION("GOOGLETRANSLATE(E2391,""fr"",""it"")"),"Mi piacciono i cani e anche le balene.")</f>
        <v>Mi piacciono i cani e anche le balene.</v>
      </c>
    </row>
    <row r="2392">
      <c r="A2392" s="4">
        <v>2390.0</v>
      </c>
      <c r="B2392" s="5" t="s">
        <v>7177</v>
      </c>
      <c r="C2392" s="4">
        <v>1.0</v>
      </c>
      <c r="D2392" s="5" t="s">
        <v>7178</v>
      </c>
      <c r="E2392" s="5" t="s">
        <v>7179</v>
      </c>
      <c r="F2392" s="6" t="str">
        <f>IFERROR(__xludf.DUMMYFUNCTION("GOOGLETRANSLATE(D2392,""en"",""it"")"),"Mi piacciono anche le balene e i cani.")</f>
        <v>Mi piacciono anche le balene e i cani.</v>
      </c>
      <c r="G2392" s="6" t="str">
        <f>IFERROR(__xludf.DUMMYFUNCTION("GOOGLETRANSLATE(E2392,""fr"",""it"")"),"Amo le balene e anche i cani.")</f>
        <v>Amo le balene e anche i cani.</v>
      </c>
    </row>
    <row r="2393">
      <c r="A2393" s="4">
        <v>2391.0</v>
      </c>
      <c r="B2393" s="5" t="s">
        <v>7180</v>
      </c>
      <c r="C2393" s="4">
        <v>1.0</v>
      </c>
      <c r="D2393" s="5" t="s">
        <v>7181</v>
      </c>
      <c r="E2393" s="5" t="s">
        <v>7182</v>
      </c>
      <c r="F2393" s="6" t="str">
        <f>IFERROR(__xludf.DUMMYFUNCTION("GOOGLETRANSLATE(D2393,""en"",""it"")"),"Mi piacciono anche i conigli e le giraffe.")</f>
        <v>Mi piacciono anche i conigli e le giraffe.</v>
      </c>
      <c r="G2393" s="6" t="str">
        <f>IFERROR(__xludf.DUMMYFUNCTION("GOOGLETRANSLATE(E2393,""fr"",""it"")"),"Amo i conigli, e anche le giraffe.")</f>
        <v>Amo i conigli, e anche le giraffe.</v>
      </c>
    </row>
    <row r="2394">
      <c r="A2394" s="4">
        <v>2392.0</v>
      </c>
      <c r="B2394" s="5" t="s">
        <v>7183</v>
      </c>
      <c r="C2394" s="4">
        <v>1.0</v>
      </c>
      <c r="D2394" s="5" t="s">
        <v>7184</v>
      </c>
      <c r="E2394" s="5" t="s">
        <v>7185</v>
      </c>
      <c r="F2394" s="6" t="str">
        <f>IFERROR(__xludf.DUMMYFUNCTION("GOOGLETRANSLATE(D2394,""en"",""it"")"),"Mi piacciono anche le giraffe e i conigli.")</f>
        <v>Mi piacciono anche le giraffe e i conigli.</v>
      </c>
      <c r="G2394" s="6" t="str">
        <f>IFERROR(__xludf.DUMMYFUNCTION("GOOGLETRANSLATE(E2394,""fr"",""it"")"),"Amo le giraffe, e anche i conigli.")</f>
        <v>Amo le giraffe, e anche i conigli.</v>
      </c>
    </row>
    <row r="2395">
      <c r="A2395" s="4">
        <v>2393.0</v>
      </c>
      <c r="B2395" s="5" t="s">
        <v>7186</v>
      </c>
      <c r="C2395" s="4">
        <v>0.0</v>
      </c>
      <c r="D2395" s="5" t="s">
        <v>7187</v>
      </c>
      <c r="E2395" s="5" t="s">
        <v>7188</v>
      </c>
      <c r="F2395" s="6" t="str">
        <f>IFERROR(__xludf.DUMMYFUNCTION("GOOGLETRANSLATE(D2395,""en"",""it"")"),"Mi piacciono anche i conigli e gli animali domestici.")</f>
        <v>Mi piacciono anche i conigli e gli animali domestici.</v>
      </c>
      <c r="G2395" s="6" t="str">
        <f>IFERROR(__xludf.DUMMYFUNCTION("GOOGLETRANSLATE(E2395,""fr"",""it"")"),"Amo i conigli e anche gli animali domestici.")</f>
        <v>Amo i conigli e anche gli animali domestici.</v>
      </c>
    </row>
    <row r="2396">
      <c r="A2396" s="4">
        <v>2394.0</v>
      </c>
      <c r="B2396" s="5" t="s">
        <v>7189</v>
      </c>
      <c r="C2396" s="4">
        <v>0.0</v>
      </c>
      <c r="D2396" s="5" t="s">
        <v>7190</v>
      </c>
      <c r="E2396" s="5" t="s">
        <v>7191</v>
      </c>
      <c r="F2396" s="6" t="str">
        <f>IFERROR(__xludf.DUMMYFUNCTION("GOOGLETRANSLATE(D2396,""en"",""it"")"),"Mi piacciono anche gli animali domestici e i conigli.")</f>
        <v>Mi piacciono anche gli animali domestici e i conigli.</v>
      </c>
      <c r="G2396" s="6" t="str">
        <f>IFERROR(__xludf.DUMMYFUNCTION("GOOGLETRANSLATE(E2396,""fr"",""it"")"),"Amo gli animali domestici e anche i conigli.")</f>
        <v>Amo gli animali domestici e anche i conigli.</v>
      </c>
    </row>
    <row r="2397">
      <c r="A2397" s="4">
        <v>2395.0</v>
      </c>
      <c r="B2397" s="5" t="s">
        <v>7192</v>
      </c>
      <c r="C2397" s="4">
        <v>1.0</v>
      </c>
      <c r="D2397" s="5" t="s">
        <v>7193</v>
      </c>
      <c r="E2397" s="5" t="s">
        <v>7194</v>
      </c>
      <c r="F2397" s="6" t="str">
        <f>IFERROR(__xludf.DUMMYFUNCTION("GOOGLETRANSLATE(D2397,""en"",""it"")"),"Mi piacciono i conigli e anche gli orsi.")</f>
        <v>Mi piacciono i conigli e anche gli orsi.</v>
      </c>
      <c r="G2397" s="6" t="str">
        <f>IFERROR(__xludf.DUMMYFUNCTION("GOOGLETRANSLATE(E2397,""fr"",""it"")"),"Amo i conigli e anche gli orsi.")</f>
        <v>Amo i conigli e anche gli orsi.</v>
      </c>
    </row>
    <row r="2398">
      <c r="A2398" s="4">
        <v>2396.0</v>
      </c>
      <c r="B2398" s="5" t="s">
        <v>7195</v>
      </c>
      <c r="C2398" s="4">
        <v>1.0</v>
      </c>
      <c r="D2398" s="5" t="s">
        <v>7196</v>
      </c>
      <c r="E2398" s="5" t="s">
        <v>7197</v>
      </c>
      <c r="F2398" s="6" t="str">
        <f>IFERROR(__xludf.DUMMYFUNCTION("GOOGLETRANSLATE(D2398,""en"",""it"")"),"Mi piacciono anche gli orsi e i conigli.")</f>
        <v>Mi piacciono anche gli orsi e i conigli.</v>
      </c>
      <c r="G2398" s="6" t="str">
        <f>IFERROR(__xludf.DUMMYFUNCTION("GOOGLETRANSLATE(E2398,""fr"",""it"")"),"Amo gli orsi e anche i conigli.")</f>
        <v>Amo gli orsi e anche i conigli.</v>
      </c>
    </row>
    <row r="2399">
      <c r="A2399" s="4">
        <v>2397.0</v>
      </c>
      <c r="B2399" s="5" t="s">
        <v>7198</v>
      </c>
      <c r="C2399" s="4">
        <v>1.0</v>
      </c>
      <c r="D2399" s="5" t="s">
        <v>7199</v>
      </c>
      <c r="E2399" s="5" t="s">
        <v>7200</v>
      </c>
      <c r="F2399" s="6" t="str">
        <f>IFERROR(__xludf.DUMMYFUNCTION("GOOGLETRANSLATE(D2399,""en"",""it"")"),"Mi piacciono anche i conigli e le meduse.")</f>
        <v>Mi piacciono anche i conigli e le meduse.</v>
      </c>
      <c r="G2399" s="6" t="str">
        <f>IFERROR(__xludf.DUMMYFUNCTION("GOOGLETRANSLATE(E2399,""fr"",""it"")"),"Amo i conigli, e anche le meduse.")</f>
        <v>Amo i conigli, e anche le meduse.</v>
      </c>
    </row>
    <row r="2400">
      <c r="A2400" s="4">
        <v>2398.0</v>
      </c>
      <c r="B2400" s="5" t="s">
        <v>7201</v>
      </c>
      <c r="C2400" s="4">
        <v>1.0</v>
      </c>
      <c r="D2400" s="5" t="s">
        <v>7202</v>
      </c>
      <c r="E2400" s="5" t="s">
        <v>7203</v>
      </c>
      <c r="F2400" s="6" t="str">
        <f>IFERROR(__xludf.DUMMYFUNCTION("GOOGLETRANSLATE(D2400,""en"",""it"")"),"Mi piacciono anche le meduse e i conigli.")</f>
        <v>Mi piacciono anche le meduse e i conigli.</v>
      </c>
      <c r="G2400" s="6" t="str">
        <f>IFERROR(__xludf.DUMMYFUNCTION("GOOGLETRANSLATE(E2400,""fr"",""it"")"),"Amo la medusa, e anche i conigli.")</f>
        <v>Amo la medusa, e anche i conigli.</v>
      </c>
    </row>
    <row r="2401">
      <c r="A2401" s="4">
        <v>2399.0</v>
      </c>
      <c r="B2401" s="5" t="s">
        <v>7204</v>
      </c>
      <c r="C2401" s="4">
        <v>1.0</v>
      </c>
      <c r="D2401" s="5" t="s">
        <v>7205</v>
      </c>
      <c r="E2401" s="5" t="s">
        <v>7206</v>
      </c>
      <c r="F2401" s="6" t="str">
        <f>IFERROR(__xludf.DUMMYFUNCTION("GOOGLETRANSLATE(D2401,""en"",""it"")"),"Mi piacciono anche i conigli e le balene.")</f>
        <v>Mi piacciono anche i conigli e le balene.</v>
      </c>
      <c r="G2401" s="6" t="str">
        <f>IFERROR(__xludf.DUMMYFUNCTION("GOOGLETRANSLATE(E2401,""fr"",""it"")"),"Amo i conigli, e anche le balene.")</f>
        <v>Amo i conigli, e anche le balene.</v>
      </c>
    </row>
    <row r="2402">
      <c r="A2402" s="4">
        <v>2400.0</v>
      </c>
      <c r="B2402" s="5" t="s">
        <v>7207</v>
      </c>
      <c r="C2402" s="4">
        <v>1.0</v>
      </c>
      <c r="D2402" s="5" t="s">
        <v>7208</v>
      </c>
      <c r="E2402" s="5" t="s">
        <v>7209</v>
      </c>
      <c r="F2402" s="6" t="str">
        <f>IFERROR(__xludf.DUMMYFUNCTION("GOOGLETRANSLATE(D2402,""en"",""it"")"),"Mi piacciono anche le balene e i conigli.")</f>
        <v>Mi piacciono anche le balene e i conigli.</v>
      </c>
      <c r="G2402" s="6" t="str">
        <f>IFERROR(__xludf.DUMMYFUNCTION("GOOGLETRANSLATE(E2402,""fr"",""it"")"),"Amo le balene e anche i conigli.")</f>
        <v>Amo le balene e anche i conigli.</v>
      </c>
    </row>
    <row r="2403">
      <c r="A2403" s="4">
        <v>2401.0</v>
      </c>
      <c r="B2403" s="5" t="s">
        <v>7210</v>
      </c>
      <c r="C2403" s="4">
        <v>1.0</v>
      </c>
      <c r="D2403" s="5" t="s">
        <v>7211</v>
      </c>
      <c r="E2403" s="5" t="s">
        <v>7212</v>
      </c>
      <c r="F2403" s="6" t="str">
        <f>IFERROR(__xludf.DUMMYFUNCTION("GOOGLETRANSLATE(D2403,""en"",""it"")"),"Mi piacciono anche i criceti e le giraffe.")</f>
        <v>Mi piacciono anche i criceti e le giraffe.</v>
      </c>
      <c r="G2403" s="6" t="str">
        <f>IFERROR(__xludf.DUMMYFUNCTION("GOOGLETRANSLATE(E2403,""fr"",""it"")"),"Mi piacciono i criceti, e anche le giraffe.")</f>
        <v>Mi piacciono i criceti, e anche le giraffe.</v>
      </c>
    </row>
    <row r="2404">
      <c r="A2404" s="4">
        <v>2402.0</v>
      </c>
      <c r="B2404" s="5" t="s">
        <v>7213</v>
      </c>
      <c r="C2404" s="4">
        <v>1.0</v>
      </c>
      <c r="D2404" s="5" t="s">
        <v>7214</v>
      </c>
      <c r="E2404" s="5" t="s">
        <v>7215</v>
      </c>
      <c r="F2404" s="6" t="str">
        <f>IFERROR(__xludf.DUMMYFUNCTION("GOOGLETRANSLATE(D2404,""en"",""it"")"),"Mi piacciono anche le giraffe e i criceti.")</f>
        <v>Mi piacciono anche le giraffe e i criceti.</v>
      </c>
      <c r="G2404" s="6" t="str">
        <f>IFERROR(__xludf.DUMMYFUNCTION("GOOGLETRANSLATE(E2404,""fr"",""it"")"),"Amo le giraffe e anche i criceti.")</f>
        <v>Amo le giraffe e anche i criceti.</v>
      </c>
    </row>
    <row r="2405">
      <c r="A2405" s="4">
        <v>2403.0</v>
      </c>
      <c r="B2405" s="5" t="s">
        <v>7216</v>
      </c>
      <c r="C2405" s="4">
        <v>0.0</v>
      </c>
      <c r="D2405" s="5" t="s">
        <v>7217</v>
      </c>
      <c r="E2405" s="5" t="s">
        <v>7218</v>
      </c>
      <c r="F2405" s="6" t="str">
        <f>IFERROR(__xludf.DUMMYFUNCTION("GOOGLETRANSLATE(D2405,""en"",""it"")"),"Mi piacciono i criceti e anche gli animali domestici.")</f>
        <v>Mi piacciono i criceti e anche gli animali domestici.</v>
      </c>
      <c r="G2405" s="6" t="str">
        <f>IFERROR(__xludf.DUMMYFUNCTION("GOOGLETRANSLATE(E2405,""fr"",""it"")"),"Adoro i criceti e anche gli animali domestici.")</f>
        <v>Adoro i criceti e anche gli animali domestici.</v>
      </c>
    </row>
    <row r="2406">
      <c r="A2406" s="4">
        <v>2404.0</v>
      </c>
      <c r="B2406" s="5" t="s">
        <v>7219</v>
      </c>
      <c r="C2406" s="4">
        <v>0.0</v>
      </c>
      <c r="D2406" s="5" t="s">
        <v>7220</v>
      </c>
      <c r="E2406" s="5" t="s">
        <v>7221</v>
      </c>
      <c r="F2406" s="6" t="str">
        <f>IFERROR(__xludf.DUMMYFUNCTION("GOOGLETRANSLATE(D2406,""en"",""it"")"),"Mi piacciono anche gli animali domestici e i criceti.")</f>
        <v>Mi piacciono anche gli animali domestici e i criceti.</v>
      </c>
      <c r="G2406" s="6" t="str">
        <f>IFERROR(__xludf.DUMMYFUNCTION("GOOGLETRANSLATE(E2406,""fr"",""it"")"),"Amo gli animali domestici e anche i criceti.")</f>
        <v>Amo gli animali domestici e anche i criceti.</v>
      </c>
    </row>
    <row r="2407">
      <c r="A2407" s="4">
        <v>2405.0</v>
      </c>
      <c r="B2407" s="5" t="s">
        <v>7222</v>
      </c>
      <c r="C2407" s="4">
        <v>1.0</v>
      </c>
      <c r="D2407" s="5" t="s">
        <v>7223</v>
      </c>
      <c r="E2407" s="5" t="s">
        <v>7224</v>
      </c>
      <c r="F2407" s="6" t="str">
        <f>IFERROR(__xludf.DUMMYFUNCTION("GOOGLETRANSLATE(D2407,""en"",""it"")"),"Mi piacciono i criceti e anche gli orsi.")</f>
        <v>Mi piacciono i criceti e anche gli orsi.</v>
      </c>
      <c r="G2407" s="6" t="str">
        <f>IFERROR(__xludf.DUMMYFUNCTION("GOOGLETRANSLATE(E2407,""fr"",""it"")"),"Amo i criceti e anche gli orsi.")</f>
        <v>Amo i criceti e anche gli orsi.</v>
      </c>
    </row>
    <row r="2408">
      <c r="A2408" s="4">
        <v>2406.0</v>
      </c>
      <c r="B2408" s="5" t="s">
        <v>7225</v>
      </c>
      <c r="C2408" s="4">
        <v>1.0</v>
      </c>
      <c r="D2408" s="5" t="s">
        <v>7226</v>
      </c>
      <c r="E2408" s="5" t="s">
        <v>7227</v>
      </c>
      <c r="F2408" s="6" t="str">
        <f>IFERROR(__xludf.DUMMYFUNCTION("GOOGLETRANSLATE(D2408,""en"",""it"")"),"Mi piacciono anche gli orsi e i criceti.")</f>
        <v>Mi piacciono anche gli orsi e i criceti.</v>
      </c>
      <c r="G2408" s="6" t="str">
        <f>IFERROR(__xludf.DUMMYFUNCTION("GOOGLETRANSLATE(E2408,""fr"",""it"")"),"Amo gli orsi e anche i criceti.")</f>
        <v>Amo gli orsi e anche i criceti.</v>
      </c>
    </row>
    <row r="2409">
      <c r="A2409" s="4">
        <v>2407.0</v>
      </c>
      <c r="B2409" s="5" t="s">
        <v>7228</v>
      </c>
      <c r="C2409" s="4">
        <v>1.0</v>
      </c>
      <c r="D2409" s="5" t="s">
        <v>7229</v>
      </c>
      <c r="E2409" s="5" t="s">
        <v>7230</v>
      </c>
      <c r="F2409" s="6" t="str">
        <f>IFERROR(__xludf.DUMMYFUNCTION("GOOGLETRANSLATE(D2409,""en"",""it"")"),"Mi piacciono i criceti e anche le meduse.")</f>
        <v>Mi piacciono i criceti e anche le meduse.</v>
      </c>
      <c r="G2409" s="6" t="str">
        <f>IFERROR(__xludf.DUMMYFUNCTION("GOOGLETRANSLATE(E2409,""fr"",""it"")"),"Amo i criceti e anche le meduse.")</f>
        <v>Amo i criceti e anche le meduse.</v>
      </c>
    </row>
    <row r="2410">
      <c r="A2410" s="4">
        <v>2408.0</v>
      </c>
      <c r="B2410" s="5" t="s">
        <v>7231</v>
      </c>
      <c r="C2410" s="4">
        <v>1.0</v>
      </c>
      <c r="D2410" s="5" t="s">
        <v>7232</v>
      </c>
      <c r="E2410" s="5" t="s">
        <v>7233</v>
      </c>
      <c r="F2410" s="6" t="str">
        <f>IFERROR(__xludf.DUMMYFUNCTION("GOOGLETRANSLATE(D2410,""en"",""it"")"),"Mi piacciono anche le meduse e i criceti.")</f>
        <v>Mi piacciono anche le meduse e i criceti.</v>
      </c>
      <c r="G2410" s="6" t="str">
        <f>IFERROR(__xludf.DUMMYFUNCTION("GOOGLETRANSLATE(E2410,""fr"",""it"")"),"Amo le meduse e anche i criceti.")</f>
        <v>Amo le meduse e anche i criceti.</v>
      </c>
    </row>
    <row r="2411">
      <c r="A2411" s="4">
        <v>2409.0</v>
      </c>
      <c r="B2411" s="5" t="s">
        <v>7234</v>
      </c>
      <c r="C2411" s="4">
        <v>1.0</v>
      </c>
      <c r="D2411" s="5" t="s">
        <v>7235</v>
      </c>
      <c r="E2411" s="5" t="s">
        <v>7236</v>
      </c>
      <c r="F2411" s="6" t="str">
        <f>IFERROR(__xludf.DUMMYFUNCTION("GOOGLETRANSLATE(D2411,""en"",""it"")"),"Mi piacciono i criceti e anche le balene.")</f>
        <v>Mi piacciono i criceti e anche le balene.</v>
      </c>
      <c r="G2411" s="6" t="str">
        <f>IFERROR(__xludf.DUMMYFUNCTION("GOOGLETRANSLATE(E2411,""fr"",""it"")"),"Amo i criceti, e anche le balene.")</f>
        <v>Amo i criceti, e anche le balene.</v>
      </c>
    </row>
    <row r="2412">
      <c r="A2412" s="4">
        <v>2410.0</v>
      </c>
      <c r="B2412" s="5" t="s">
        <v>7237</v>
      </c>
      <c r="C2412" s="4">
        <v>1.0</v>
      </c>
      <c r="D2412" s="5" t="s">
        <v>7238</v>
      </c>
      <c r="E2412" s="5" t="s">
        <v>7239</v>
      </c>
      <c r="F2412" s="6" t="str">
        <f>IFERROR(__xludf.DUMMYFUNCTION("GOOGLETRANSLATE(D2412,""en"",""it"")"),"Mi piacciono le balene e i criceti.")</f>
        <v>Mi piacciono le balene e i criceti.</v>
      </c>
      <c r="G2412" s="6" t="str">
        <f>IFERROR(__xludf.DUMMYFUNCTION("GOOGLETRANSLATE(E2412,""fr"",""it"")"),"Amo le balene e anche i criceti.")</f>
        <v>Amo le balene e anche i criceti.</v>
      </c>
    </row>
    <row r="2413">
      <c r="A2413" s="4">
        <v>2411.0</v>
      </c>
      <c r="B2413" s="5" t="s">
        <v>7240</v>
      </c>
      <c r="C2413" s="4">
        <v>1.0</v>
      </c>
      <c r="D2413" s="5" t="s">
        <v>7241</v>
      </c>
      <c r="E2413" s="5" t="s">
        <v>7242</v>
      </c>
      <c r="F2413" s="6" t="str">
        <f>IFERROR(__xludf.DUMMYFUNCTION("GOOGLETRANSLATE(D2413,""en"",""it"")"),"Si fida anche della sua vista e delle voci.")</f>
        <v>Si fida anche della sua vista e delle voci.</v>
      </c>
      <c r="G2413" s="6" t="str">
        <f>IFERROR(__xludf.DUMMYFUNCTION("GOOGLETRANSLATE(E2413,""fr"",""it"")"),"Si fida della sua visione, e anche le voci.")</f>
        <v>Si fida della sua visione, e anche le voci.</v>
      </c>
    </row>
    <row r="2414">
      <c r="A2414" s="4">
        <v>2412.0</v>
      </c>
      <c r="B2414" s="5" t="s">
        <v>7243</v>
      </c>
      <c r="C2414" s="4">
        <v>1.0</v>
      </c>
      <c r="D2414" s="5" t="s">
        <v>7244</v>
      </c>
      <c r="E2414" s="5" t="s">
        <v>7245</v>
      </c>
      <c r="F2414" s="6" t="str">
        <f>IFERROR(__xludf.DUMMYFUNCTION("GOOGLETRANSLATE(D2414,""en"",""it"")"),"Si fida anche delle voci e della sua vista.")</f>
        <v>Si fida anche delle voci e della sua vista.</v>
      </c>
      <c r="G2414" s="6" t="str">
        <f>IFERROR(__xludf.DUMMYFUNCTION("GOOGLETRANSLATE(E2414,""fr"",""it"")"),"Si fida delle voci e anche la sua visione.")</f>
        <v>Si fida delle voci e anche la sua visione.</v>
      </c>
    </row>
    <row r="2415">
      <c r="A2415" s="4">
        <v>2413.0</v>
      </c>
      <c r="B2415" s="5" t="s">
        <v>7246</v>
      </c>
      <c r="C2415" s="4">
        <v>0.0</v>
      </c>
      <c r="D2415" s="5" t="s">
        <v>7247</v>
      </c>
      <c r="E2415" s="5" t="s">
        <v>7248</v>
      </c>
      <c r="F2415" s="6" t="str">
        <f>IFERROR(__xludf.DUMMYFUNCTION("GOOGLETRANSLATE(D2415,""en"",""it"")"),"Si fida della sua vista, e anche i suoi sensi.")</f>
        <v>Si fida della sua vista, e anche i suoi sensi.</v>
      </c>
      <c r="G2415" s="6" t="str">
        <f>IFERROR(__xludf.DUMMYFUNCTION("GOOGLETRANSLATE(E2415,""fr"",""it"")"),"Si fida della sua visione, e anche i suoi sensi.")</f>
        <v>Si fida della sua visione, e anche i suoi sensi.</v>
      </c>
    </row>
    <row r="2416">
      <c r="A2416" s="4">
        <v>2414.0</v>
      </c>
      <c r="B2416" s="5" t="s">
        <v>7249</v>
      </c>
      <c r="C2416" s="4">
        <v>0.0</v>
      </c>
      <c r="D2416" s="5" t="s">
        <v>7250</v>
      </c>
      <c r="E2416" s="5" t="s">
        <v>7251</v>
      </c>
      <c r="F2416" s="6" t="str">
        <f>IFERROR(__xludf.DUMMYFUNCTION("GOOGLETRANSLATE(D2416,""en"",""it"")"),"Si fida dei suoi sensi, e anche la sua vista.")</f>
        <v>Si fida dei suoi sensi, e anche la sua vista.</v>
      </c>
      <c r="G2416" s="6" t="str">
        <f>IFERROR(__xludf.DUMMYFUNCTION("GOOGLETRANSLATE(E2416,""fr"",""it"")"),"Si fida dei suoi sensi, e anche la sua visione.")</f>
        <v>Si fida dei suoi sensi, e anche la sua visione.</v>
      </c>
    </row>
    <row r="2417">
      <c r="A2417" s="4">
        <v>2415.0</v>
      </c>
      <c r="B2417" s="5" t="s">
        <v>7252</v>
      </c>
      <c r="C2417" s="4">
        <v>1.0</v>
      </c>
      <c r="D2417" s="5" t="s">
        <v>7253</v>
      </c>
      <c r="E2417" s="5" t="s">
        <v>7254</v>
      </c>
      <c r="F2417" s="6" t="str">
        <f>IFERROR(__xludf.DUMMYFUNCTION("GOOGLETRANSLATE(D2417,""en"",""it"")"),"Si fida anche dei suoi sensi e delle voci.")</f>
        <v>Si fida anche dei suoi sensi e delle voci.</v>
      </c>
      <c r="G2417" s="6" t="str">
        <f>IFERROR(__xludf.DUMMYFUNCTION("GOOGLETRANSLATE(E2417,""fr"",""it"")"),"Si fida dei suoi sensi, e anche le voci.")</f>
        <v>Si fida dei suoi sensi, e anche le voci.</v>
      </c>
    </row>
    <row r="2418">
      <c r="A2418" s="4">
        <v>2416.0</v>
      </c>
      <c r="B2418" s="5" t="s">
        <v>7255</v>
      </c>
      <c r="C2418" s="4">
        <v>1.0</v>
      </c>
      <c r="D2418" s="5" t="s">
        <v>7256</v>
      </c>
      <c r="E2418" s="5" t="s">
        <v>7257</v>
      </c>
      <c r="F2418" s="6" t="str">
        <f>IFERROR(__xludf.DUMMYFUNCTION("GOOGLETRANSLATE(D2418,""en"",""it"")"),"Si fida anche della sua vista e ha riferito anche.")</f>
        <v>Si fida anche della sua vista e ha riferito anche.</v>
      </c>
      <c r="G2418" s="6" t="str">
        <f>IFERROR(__xludf.DUMMYFUNCTION("GOOGLETRANSLATE(E2418,""fr"",""it"")"),"Si fida della sua visione, e anche i rapporti.")</f>
        <v>Si fida della sua visione, e anche i rapporti.</v>
      </c>
    </row>
    <row r="2419">
      <c r="A2419" s="4">
        <v>2417.0</v>
      </c>
      <c r="B2419" s="5" t="s">
        <v>7258</v>
      </c>
      <c r="C2419" s="4">
        <v>1.0</v>
      </c>
      <c r="D2419" s="5" t="s">
        <v>7259</v>
      </c>
      <c r="E2419" s="5" t="s">
        <v>7260</v>
      </c>
      <c r="F2419" s="6" t="str">
        <f>IFERROR(__xludf.DUMMYFUNCTION("GOOGLETRANSLATE(D2419,""en"",""it"")"),"Si fida dei rapporti, e anche la sua vista.")</f>
        <v>Si fida dei rapporti, e anche la sua vista.</v>
      </c>
      <c r="G2419" s="6" t="str">
        <f>IFERROR(__xludf.DUMMYFUNCTION("GOOGLETRANSLATE(E2419,""fr"",""it"")"),"Si fida dei rapporti, e anche la sua visione.")</f>
        <v>Si fida dei rapporti, e anche la sua visione.</v>
      </c>
    </row>
    <row r="2420">
      <c r="A2420" s="4">
        <v>2418.0</v>
      </c>
      <c r="B2420" s="5" t="s">
        <v>7261</v>
      </c>
      <c r="C2420" s="4">
        <v>1.0</v>
      </c>
      <c r="D2420" s="5" t="s">
        <v>7262</v>
      </c>
      <c r="E2420" s="5" t="s">
        <v>7263</v>
      </c>
      <c r="F2420" s="6" t="str">
        <f>IFERROR(__xludf.DUMMYFUNCTION("GOOGLETRANSLATE(D2420,""en"",""it"")"),"Si fida anche dei suoi sensi e riferisce anche.")</f>
        <v>Si fida anche dei suoi sensi e riferisce anche.</v>
      </c>
      <c r="G2420" s="6" t="str">
        <f>IFERROR(__xludf.DUMMYFUNCTION("GOOGLETRANSLATE(E2420,""fr"",""it"")"),"Si fida dei suoi sensi, e anche i rapporti.")</f>
        <v>Si fida dei suoi sensi, e anche i rapporti.</v>
      </c>
    </row>
    <row r="2421">
      <c r="A2421" s="4">
        <v>2419.0</v>
      </c>
      <c r="B2421" s="5" t="s">
        <v>7264</v>
      </c>
      <c r="C2421" s="4">
        <v>1.0</v>
      </c>
      <c r="D2421" s="5" t="s">
        <v>7265</v>
      </c>
      <c r="E2421" s="5" t="s">
        <v>7266</v>
      </c>
      <c r="F2421" s="6" t="str">
        <f>IFERROR(__xludf.DUMMYFUNCTION("GOOGLETRANSLATE(D2421,""en"",""it"")"),"Si fida della sua vista e anche le ricostruzioni.")</f>
        <v>Si fida della sua vista e anche le ricostruzioni.</v>
      </c>
      <c r="G2421" s="6" t="str">
        <f>IFERROR(__xludf.DUMMYFUNCTION("GOOGLETRANSLATE(E2421,""fr"",""it"")"),"Si fida della sua visione, e anche le ricostruzioni.")</f>
        <v>Si fida della sua visione, e anche le ricostruzioni.</v>
      </c>
    </row>
    <row r="2422">
      <c r="A2422" s="4">
        <v>2420.0</v>
      </c>
      <c r="B2422" s="5" t="s">
        <v>7267</v>
      </c>
      <c r="C2422" s="4">
        <v>1.0</v>
      </c>
      <c r="D2422" s="5" t="s">
        <v>7268</v>
      </c>
      <c r="E2422" s="5" t="s">
        <v>7269</v>
      </c>
      <c r="F2422" s="6" t="str">
        <f>IFERROR(__xludf.DUMMYFUNCTION("GOOGLETRANSLATE(D2422,""en"",""it"")"),"Si fida di ricostruzioni, e anche la sua vista.")</f>
        <v>Si fida di ricostruzioni, e anche la sua vista.</v>
      </c>
      <c r="G2422" s="6" t="str">
        <f>IFERROR(__xludf.DUMMYFUNCTION("GOOGLETRANSLATE(E2422,""fr"",""it"")"),"Si fida di ricostruzioni e anche la sua visione.")</f>
        <v>Si fida di ricostruzioni e anche la sua visione.</v>
      </c>
    </row>
    <row r="2423">
      <c r="A2423" s="4">
        <v>2421.0</v>
      </c>
      <c r="B2423" s="5" t="s">
        <v>7270</v>
      </c>
      <c r="C2423" s="4">
        <v>1.0</v>
      </c>
      <c r="D2423" s="5" t="s">
        <v>7271</v>
      </c>
      <c r="E2423" s="5" t="s">
        <v>7272</v>
      </c>
      <c r="F2423" s="6" t="str">
        <f>IFERROR(__xludf.DUMMYFUNCTION("GOOGLETRANSLATE(D2423,""en"",""it"")"),"Si fida anche dei suoi sensi e ricostruzioni.")</f>
        <v>Si fida anche dei suoi sensi e ricostruzioni.</v>
      </c>
      <c r="G2423" s="6" t="str">
        <f>IFERROR(__xludf.DUMMYFUNCTION("GOOGLETRANSLATE(E2423,""fr"",""it"")"),"Si fida dei suoi sensi, e anche ricostruzioni.")</f>
        <v>Si fida dei suoi sensi, e anche ricostruzioni.</v>
      </c>
    </row>
    <row r="2424">
      <c r="A2424" s="4">
        <v>2422.0</v>
      </c>
      <c r="B2424" s="5" t="s">
        <v>7273</v>
      </c>
      <c r="C2424" s="4">
        <v>1.0</v>
      </c>
      <c r="D2424" s="5" t="s">
        <v>7274</v>
      </c>
      <c r="E2424" s="5" t="s">
        <v>7275</v>
      </c>
      <c r="F2424" s="6" t="str">
        <f>IFERROR(__xludf.DUMMYFUNCTION("GOOGLETRANSLATE(D2424,""en"",""it"")"),"Si fida anche della sua vista e indovina anche lui.")</f>
        <v>Si fida anche della sua vista e indovina anche lui.</v>
      </c>
      <c r="G2424" s="6" t="str">
        <f>IFERROR(__xludf.DUMMYFUNCTION("GOOGLETRANSLATE(E2424,""fr"",""it"")"),"Si fida della sua visione, e anche le ipotesi.")</f>
        <v>Si fida della sua visione, e anche le ipotesi.</v>
      </c>
    </row>
    <row r="2425">
      <c r="A2425" s="4">
        <v>2423.0</v>
      </c>
      <c r="B2425" s="5" t="s">
        <v>7276</v>
      </c>
      <c r="C2425" s="4">
        <v>1.0</v>
      </c>
      <c r="D2425" s="5" t="s">
        <v>7277</v>
      </c>
      <c r="E2425" s="5" t="s">
        <v>7278</v>
      </c>
      <c r="F2425" s="6" t="str">
        <f>IFERROR(__xludf.DUMMYFUNCTION("GOOGLETRANSLATE(D2425,""en"",""it"")"),"Si fida indovina, e anche la sua vista.")</f>
        <v>Si fida indovina, e anche la sua vista.</v>
      </c>
      <c r="G2425" s="6" t="str">
        <f>IFERROR(__xludf.DUMMYFUNCTION("GOOGLETRANSLATE(E2425,""fr"",""it"")"),"Si fida deipotesi, e anche la sua visione.")</f>
        <v>Si fida deipotesi, e anche la sua visione.</v>
      </c>
    </row>
    <row r="2426">
      <c r="A2426" s="4">
        <v>2424.0</v>
      </c>
      <c r="B2426" s="5" t="s">
        <v>7279</v>
      </c>
      <c r="C2426" s="4">
        <v>0.0</v>
      </c>
      <c r="D2426" s="5" t="s">
        <v>7280</v>
      </c>
      <c r="E2426" s="5" t="s">
        <v>7281</v>
      </c>
      <c r="F2426" s="6" t="str">
        <f>IFERROR(__xludf.DUMMYFUNCTION("GOOGLETRANSLATE(D2426,""en"",""it"")"),"Mi piace la pancetta, tranne il pesce.")</f>
        <v>Mi piace la pancetta, tranne il pesce.</v>
      </c>
      <c r="G2426" s="6" t="str">
        <f>IFERROR(__xludf.DUMMYFUNCTION("GOOGLETRANSLATE(E2426,""fr"",""it"")"),"Adoro la pancetta tranne il pesce.")</f>
        <v>Adoro la pancetta tranne il pesce.</v>
      </c>
    </row>
    <row r="2427">
      <c r="A2427" s="4">
        <v>2425.0</v>
      </c>
      <c r="B2427" s="5" t="s">
        <v>7282</v>
      </c>
      <c r="C2427" s="4">
        <v>1.0</v>
      </c>
      <c r="D2427" s="5" t="s">
        <v>7283</v>
      </c>
      <c r="E2427" s="5" t="s">
        <v>7284</v>
      </c>
      <c r="F2427" s="6" t="str">
        <f>IFERROR(__xludf.DUMMYFUNCTION("GOOGLETRANSLATE(D2427,""en"",""it"")"),"Si fida anche dei suoi sensi e indovina anche.")</f>
        <v>Si fida anche dei suoi sensi e indovina anche.</v>
      </c>
      <c r="G2427" s="6" t="str">
        <f>IFERROR(__xludf.DUMMYFUNCTION("GOOGLETRANSLATE(E2427,""fr"",""it"")"),"Si fida dei suoi sensi, e anche le ipotesi.")</f>
        <v>Si fida dei suoi sensi, e anche le ipotesi.</v>
      </c>
    </row>
    <row r="2428">
      <c r="A2428" s="4">
        <v>2426.0</v>
      </c>
      <c r="B2428" s="5" t="s">
        <v>7285</v>
      </c>
      <c r="C2428" s="4">
        <v>1.0</v>
      </c>
      <c r="D2428" s="5" t="s">
        <v>7286</v>
      </c>
      <c r="E2428" s="5" t="s">
        <v>7287</v>
      </c>
      <c r="F2428" s="6" t="str">
        <f>IFERROR(__xludf.DUMMYFUNCTION("GOOGLETRANSLATE(D2428,""en"",""it"")"),"Si fida anche della sua udito e delle voci.")</f>
        <v>Si fida anche della sua udito e delle voci.</v>
      </c>
      <c r="G2428" s="6" t="str">
        <f>IFERROR(__xludf.DUMMYFUNCTION("GOOGLETRANSLATE(E2428,""fr"",""it"")"),"Si fida del suo odore, e anche le voci.")</f>
        <v>Si fida del suo odore, e anche le voci.</v>
      </c>
    </row>
    <row r="2429">
      <c r="A2429" s="4">
        <v>2427.0</v>
      </c>
      <c r="B2429" s="5" t="s">
        <v>7288</v>
      </c>
      <c r="C2429" s="4">
        <v>1.0</v>
      </c>
      <c r="D2429" s="5" t="s">
        <v>7289</v>
      </c>
      <c r="E2429" s="5" t="s">
        <v>7290</v>
      </c>
      <c r="F2429" s="6" t="str">
        <f>IFERROR(__xludf.DUMMYFUNCTION("GOOGLETRANSLATE(D2429,""en"",""it"")"),"Si fida anche delle voci e anche il suo udito.")</f>
        <v>Si fida anche delle voci e anche il suo udito.</v>
      </c>
      <c r="G2429" s="6" t="str">
        <f>IFERROR(__xludf.DUMMYFUNCTION("GOOGLETRANSLATE(E2429,""fr"",""it"")"),"Si fida delle voci e anche il suo odore.")</f>
        <v>Si fida delle voci e anche il suo odore.</v>
      </c>
    </row>
    <row r="2430">
      <c r="A2430" s="4">
        <v>2428.0</v>
      </c>
      <c r="B2430" s="5" t="s">
        <v>7291</v>
      </c>
      <c r="C2430" s="4">
        <v>0.0</v>
      </c>
      <c r="D2430" s="5" t="s">
        <v>7292</v>
      </c>
      <c r="E2430" s="5" t="s">
        <v>7293</v>
      </c>
      <c r="F2430" s="6" t="str">
        <f>IFERROR(__xludf.DUMMYFUNCTION("GOOGLETRANSLATE(D2430,""en"",""it"")"),"Si fida del suo udito, e anche i suoi sensi.")</f>
        <v>Si fida del suo udito, e anche i suoi sensi.</v>
      </c>
      <c r="G2430" s="6" t="str">
        <f>IFERROR(__xludf.DUMMYFUNCTION("GOOGLETRANSLATE(E2430,""fr"",""it"")"),"Si fida del suo odore, e anche i suoi sensi.")</f>
        <v>Si fida del suo odore, e anche i suoi sensi.</v>
      </c>
    </row>
    <row r="2431">
      <c r="A2431" s="4">
        <v>2429.0</v>
      </c>
      <c r="B2431" s="5" t="s">
        <v>7294</v>
      </c>
      <c r="C2431" s="4">
        <v>0.0</v>
      </c>
      <c r="D2431" s="5" t="s">
        <v>7295</v>
      </c>
      <c r="E2431" s="5" t="s">
        <v>7296</v>
      </c>
      <c r="F2431" s="6" t="str">
        <f>IFERROR(__xludf.DUMMYFUNCTION("GOOGLETRANSLATE(D2431,""en"",""it"")"),"Si fida dei suoi sensi, e anche il suo udito.")</f>
        <v>Si fida dei suoi sensi, e anche il suo udito.</v>
      </c>
      <c r="G2431" s="6" t="str">
        <f>IFERROR(__xludf.DUMMYFUNCTION("GOOGLETRANSLATE(E2431,""fr"",""it"")"),"Si fida dei suoi sensi, e anche il suo odore.")</f>
        <v>Si fida dei suoi sensi, e anche il suo odore.</v>
      </c>
    </row>
    <row r="2432">
      <c r="A2432" s="4">
        <v>2430.0</v>
      </c>
      <c r="B2432" s="5" t="s">
        <v>7297</v>
      </c>
      <c r="C2432" s="4">
        <v>1.0</v>
      </c>
      <c r="D2432" s="5" t="s">
        <v>7298</v>
      </c>
      <c r="E2432" s="5" t="s">
        <v>7299</v>
      </c>
      <c r="F2432" s="6" t="str">
        <f>IFERROR(__xludf.DUMMYFUNCTION("GOOGLETRANSLATE(D2432,""en"",""it"")"),"Si fida anche del suo udito e dei rapporti.")</f>
        <v>Si fida anche del suo udito e dei rapporti.</v>
      </c>
      <c r="G2432" s="6" t="str">
        <f>IFERROR(__xludf.DUMMYFUNCTION("GOOGLETRANSLATE(E2432,""fr"",""it"")"),"Si fida del suo odore e anche dei rapporti.")</f>
        <v>Si fida del suo odore e anche dei rapporti.</v>
      </c>
    </row>
    <row r="2433">
      <c r="A2433" s="4">
        <v>2431.0</v>
      </c>
      <c r="B2433" s="5" t="s">
        <v>7300</v>
      </c>
      <c r="C2433" s="4">
        <v>1.0</v>
      </c>
      <c r="D2433" s="5" t="s">
        <v>7301</v>
      </c>
      <c r="E2433" s="5" t="s">
        <v>7302</v>
      </c>
      <c r="F2433" s="6" t="str">
        <f>IFERROR(__xludf.DUMMYFUNCTION("GOOGLETRANSLATE(D2433,""en"",""it"")"),"Si fida dei rapporti, e anche il suo udito.")</f>
        <v>Si fida dei rapporti, e anche il suo udito.</v>
      </c>
      <c r="G2433" s="6" t="str">
        <f>IFERROR(__xludf.DUMMYFUNCTION("GOOGLETRANSLATE(E2433,""fr"",""it"")"),"Si fida dei rapporti, e anche il suo odore.")</f>
        <v>Si fida dei rapporti, e anche il suo odore.</v>
      </c>
    </row>
    <row r="2434">
      <c r="A2434" s="4">
        <v>2432.0</v>
      </c>
      <c r="B2434" s="5" t="s">
        <v>7303</v>
      </c>
      <c r="C2434" s="4">
        <v>0.0</v>
      </c>
      <c r="D2434" s="5" t="s">
        <v>7304</v>
      </c>
      <c r="E2434" s="5" t="s">
        <v>7305</v>
      </c>
      <c r="F2434" s="6" t="str">
        <f>IFERROR(__xludf.DUMMYFUNCTION("GOOGLETRANSLATE(D2434,""en"",""it"")"),"Mi piace il pesce, tranne la pancetta.")</f>
        <v>Mi piace il pesce, tranne la pancetta.</v>
      </c>
      <c r="G2434" s="6" t="str">
        <f>IFERROR(__xludf.DUMMYFUNCTION("GOOGLETRANSLATE(E2434,""fr"",""it"")"),"Amo il pesce tranne la pancetta.")</f>
        <v>Amo il pesce tranne la pancetta.</v>
      </c>
    </row>
    <row r="2435">
      <c r="A2435" s="4">
        <v>2433.0</v>
      </c>
      <c r="B2435" s="5" t="s">
        <v>7306</v>
      </c>
      <c r="C2435" s="4">
        <v>1.0</v>
      </c>
      <c r="D2435" s="5" t="s">
        <v>7307</v>
      </c>
      <c r="E2435" s="5" t="s">
        <v>7308</v>
      </c>
      <c r="F2435" s="6" t="str">
        <f>IFERROR(__xludf.DUMMYFUNCTION("GOOGLETRANSLATE(D2435,""en"",""it"")"),"Si fida anche della sua udito e delle ricostruzioni.")</f>
        <v>Si fida anche della sua udito e delle ricostruzioni.</v>
      </c>
      <c r="G2435" s="6" t="str">
        <f>IFERROR(__xludf.DUMMYFUNCTION("GOOGLETRANSLATE(E2435,""fr"",""it"")"),"Si fida del suo odore, e anche le ricostruzioni.")</f>
        <v>Si fida del suo odore, e anche le ricostruzioni.</v>
      </c>
    </row>
    <row r="2436">
      <c r="A2436" s="4">
        <v>2434.0</v>
      </c>
      <c r="B2436" s="5" t="s">
        <v>7309</v>
      </c>
      <c r="C2436" s="4">
        <v>1.0</v>
      </c>
      <c r="D2436" s="5" t="s">
        <v>7310</v>
      </c>
      <c r="E2436" s="5" t="s">
        <v>7311</v>
      </c>
      <c r="F2436" s="6" t="str">
        <f>IFERROR(__xludf.DUMMYFUNCTION("GOOGLETRANSLATE(D2436,""en"",""it"")"),"Si fida anche di ricostruzioni e anche il suo udito.")</f>
        <v>Si fida anche di ricostruzioni e anche il suo udito.</v>
      </c>
      <c r="G2436" s="6" t="str">
        <f>IFERROR(__xludf.DUMMYFUNCTION("GOOGLETRANSLATE(E2436,""fr"",""it"")"),"Si fida di ricostruzioni e anche il suo odore.")</f>
        <v>Si fida di ricostruzioni e anche il suo odore.</v>
      </c>
    </row>
    <row r="2437">
      <c r="A2437" s="4">
        <v>2435.0</v>
      </c>
      <c r="B2437" s="5" t="s">
        <v>7312</v>
      </c>
      <c r="C2437" s="4">
        <v>1.0</v>
      </c>
      <c r="D2437" s="5" t="s">
        <v>7313</v>
      </c>
      <c r="E2437" s="5" t="s">
        <v>7314</v>
      </c>
      <c r="F2437" s="6" t="str">
        <f>IFERROR(__xludf.DUMMYFUNCTION("GOOGLETRANSLATE(D2437,""en"",""it"")"),"Si fida anche del suo udito, e indovina anche lui.")</f>
        <v>Si fida anche del suo udito, e indovina anche lui.</v>
      </c>
      <c r="G2437" s="6" t="str">
        <f>IFERROR(__xludf.DUMMYFUNCTION("GOOGLETRANSLATE(E2437,""fr"",""it"")"),"Si fida del suo odore, e anche le ipotesi.")</f>
        <v>Si fida del suo odore, e anche le ipotesi.</v>
      </c>
    </row>
    <row r="2438">
      <c r="A2438" s="4">
        <v>2436.0</v>
      </c>
      <c r="B2438" s="5" t="s">
        <v>7315</v>
      </c>
      <c r="C2438" s="4">
        <v>1.0</v>
      </c>
      <c r="D2438" s="5" t="s">
        <v>7316</v>
      </c>
      <c r="E2438" s="5" t="s">
        <v>7317</v>
      </c>
      <c r="F2438" s="6" t="str">
        <f>IFERROR(__xludf.DUMMYFUNCTION("GOOGLETRANSLATE(D2438,""en"",""it"")"),"Si fida indovina, e anche il suo udito.")</f>
        <v>Si fida indovina, e anche il suo udito.</v>
      </c>
      <c r="G2438" s="6" t="str">
        <f>IFERROR(__xludf.DUMMYFUNCTION("GOOGLETRANSLATE(E2438,""fr"",""it"")"),"Si fida di supposizione, e anche il suo odore.")</f>
        <v>Si fida di supposizione, e anche il suo odore.</v>
      </c>
    </row>
    <row r="2439">
      <c r="A2439" s="4">
        <v>2437.0</v>
      </c>
      <c r="B2439" s="5" t="s">
        <v>7318</v>
      </c>
      <c r="C2439" s="4">
        <v>0.0</v>
      </c>
      <c r="D2439" s="5" t="s">
        <v>7319</v>
      </c>
      <c r="E2439" s="5" t="s">
        <v>7320</v>
      </c>
      <c r="F2439" s="6" t="str">
        <f>IFERROR(__xludf.DUMMYFUNCTION("GOOGLETRANSLATE(D2439,""en"",""it"")"),"Mi piace la pancetta, tranne il maiale.")</f>
        <v>Mi piace la pancetta, tranne il maiale.</v>
      </c>
      <c r="G2439" s="6" t="str">
        <f>IFERROR(__xludf.DUMMYFUNCTION("GOOGLETRANSLATE(E2439,""fr"",""it"")"),"Adoro la pancetta tranne il maiale.")</f>
        <v>Adoro la pancetta tranne il maiale.</v>
      </c>
    </row>
    <row r="2440">
      <c r="A2440" s="4">
        <v>2438.0</v>
      </c>
      <c r="B2440" s="5" t="s">
        <v>7321</v>
      </c>
      <c r="C2440" s="4">
        <v>1.0</v>
      </c>
      <c r="D2440" s="5" t="s">
        <v>7322</v>
      </c>
      <c r="E2440" s="5" t="s">
        <v>7323</v>
      </c>
      <c r="F2440" s="6" t="str">
        <f>IFERROR(__xludf.DUMMYFUNCTION("GOOGLETRANSLATE(D2440,""en"",""it"")"),"Si fida anche del suo tocco e delle voci.")</f>
        <v>Si fida anche del suo tocco e delle voci.</v>
      </c>
      <c r="G2440" s="6" t="str">
        <f>IFERROR(__xludf.DUMMYFUNCTION("GOOGLETRANSLATE(E2440,""fr"",""it"")"),"Si fida del suo senso del tatto e anche delle voci.")</f>
        <v>Si fida del suo senso del tatto e anche delle voci.</v>
      </c>
    </row>
    <row r="2441">
      <c r="A2441" s="4">
        <v>2439.0</v>
      </c>
      <c r="B2441" s="5" t="s">
        <v>7324</v>
      </c>
      <c r="C2441" s="4">
        <v>1.0</v>
      </c>
      <c r="D2441" s="5" t="s">
        <v>7325</v>
      </c>
      <c r="E2441" s="5" t="s">
        <v>7326</v>
      </c>
      <c r="F2441" s="6" t="str">
        <f>IFERROR(__xludf.DUMMYFUNCTION("GOOGLETRANSLATE(D2441,""en"",""it"")"),"Si fida anche delle voci e del suo tocco.")</f>
        <v>Si fida anche delle voci e del suo tocco.</v>
      </c>
      <c r="G2441" s="6" t="str">
        <f>IFERROR(__xludf.DUMMYFUNCTION("GOOGLETRANSLATE(E2441,""fr"",""it"")"),"Si fida delle voci e anche il suo senso del tatto.")</f>
        <v>Si fida delle voci e anche il suo senso del tatto.</v>
      </c>
    </row>
    <row r="2442">
      <c r="A2442" s="4">
        <v>2440.0</v>
      </c>
      <c r="B2442" s="5" t="s">
        <v>7327</v>
      </c>
      <c r="C2442" s="4">
        <v>0.0</v>
      </c>
      <c r="D2442" s="5" t="s">
        <v>7328</v>
      </c>
      <c r="E2442" s="5" t="s">
        <v>7329</v>
      </c>
      <c r="F2442" s="6" t="str">
        <f>IFERROR(__xludf.DUMMYFUNCTION("GOOGLETRANSLATE(D2442,""en"",""it"")"),"Si fida del suo tocco, e anche i suoi sensi.")</f>
        <v>Si fida del suo tocco, e anche i suoi sensi.</v>
      </c>
      <c r="G2442" s="6" t="str">
        <f>IFERROR(__xludf.DUMMYFUNCTION("GOOGLETRANSLATE(E2442,""fr"",""it"")"),"Si fida del suo senso del tatto, e anche i suoi sensi.")</f>
        <v>Si fida del suo senso del tatto, e anche i suoi sensi.</v>
      </c>
    </row>
    <row r="2443">
      <c r="A2443" s="4">
        <v>2441.0</v>
      </c>
      <c r="B2443" s="5" t="s">
        <v>7330</v>
      </c>
      <c r="C2443" s="4">
        <v>0.0</v>
      </c>
      <c r="D2443" s="5" t="s">
        <v>7331</v>
      </c>
      <c r="E2443" s="5" t="s">
        <v>7332</v>
      </c>
      <c r="F2443" s="6" t="str">
        <f>IFERROR(__xludf.DUMMYFUNCTION("GOOGLETRANSLATE(D2443,""en"",""it"")"),"Si fida dei suoi sensi, e anche il suo tocco.")</f>
        <v>Si fida dei suoi sensi, e anche il suo tocco.</v>
      </c>
      <c r="G2443" s="6" t="str">
        <f>IFERROR(__xludf.DUMMYFUNCTION("GOOGLETRANSLATE(E2443,""fr"",""it"")"),"Si fida dei suoi sensi, e anche il suo senso del tatto.")</f>
        <v>Si fida dei suoi sensi, e anche il suo senso del tatto.</v>
      </c>
    </row>
    <row r="2444">
      <c r="A2444" s="4">
        <v>2442.0</v>
      </c>
      <c r="B2444" s="5" t="s">
        <v>7333</v>
      </c>
      <c r="C2444" s="4">
        <v>1.0</v>
      </c>
      <c r="D2444" s="5" t="s">
        <v>7334</v>
      </c>
      <c r="E2444" s="5" t="s">
        <v>7335</v>
      </c>
      <c r="F2444" s="6" t="str">
        <f>IFERROR(__xludf.DUMMYFUNCTION("GOOGLETRANSLATE(D2444,""en"",""it"")"),"Si fida del suo tatto e anche riferisce.")</f>
        <v>Si fida del suo tatto e anche riferisce.</v>
      </c>
      <c r="G2444" s="6" t="str">
        <f>IFERROR(__xludf.DUMMYFUNCTION("GOOGLETRANSLATE(E2444,""fr"",""it"")"),"Si fida del suo senso del tatto e anche dei rapporti.")</f>
        <v>Si fida del suo senso del tatto e anche dei rapporti.</v>
      </c>
    </row>
    <row r="2445">
      <c r="A2445" s="4">
        <v>2443.0</v>
      </c>
      <c r="B2445" s="5" t="s">
        <v>7336</v>
      </c>
      <c r="C2445" s="4">
        <v>1.0</v>
      </c>
      <c r="D2445" s="5" t="s">
        <v>7337</v>
      </c>
      <c r="E2445" s="5" t="s">
        <v>7338</v>
      </c>
      <c r="F2445" s="6" t="str">
        <f>IFERROR(__xludf.DUMMYFUNCTION("GOOGLETRANSLATE(D2445,""en"",""it"")"),"Si fida anche dei rapporti e del suo tocco.")</f>
        <v>Si fida anche dei rapporti e del suo tocco.</v>
      </c>
      <c r="G2445" s="6" t="str">
        <f>IFERROR(__xludf.DUMMYFUNCTION("GOOGLETRANSLATE(E2445,""fr"",""it"")"),"Si fida dei rapporti, e anche il suo senso del tatto.")</f>
        <v>Si fida dei rapporti, e anche il suo senso del tatto.</v>
      </c>
    </row>
    <row r="2446">
      <c r="A2446" s="4">
        <v>2444.0</v>
      </c>
      <c r="B2446" s="5" t="s">
        <v>7339</v>
      </c>
      <c r="C2446" s="4">
        <v>1.0</v>
      </c>
      <c r="D2446" s="5" t="s">
        <v>7340</v>
      </c>
      <c r="E2446" s="5" t="s">
        <v>7341</v>
      </c>
      <c r="F2446" s="6" t="str">
        <f>IFERROR(__xludf.DUMMYFUNCTION("GOOGLETRANSLATE(D2446,""en"",""it"")"),"Mi piace il maiale, tranne la pancetta.")</f>
        <v>Mi piace il maiale, tranne la pancetta.</v>
      </c>
      <c r="G2446" s="6" t="str">
        <f>IFERROR(__xludf.DUMMYFUNCTION("GOOGLETRANSLATE(E2446,""fr"",""it"")"),"Amo il maiale, tranne la pancetta.")</f>
        <v>Amo il maiale, tranne la pancetta.</v>
      </c>
    </row>
    <row r="2447">
      <c r="A2447" s="4">
        <v>2445.0</v>
      </c>
      <c r="B2447" s="5" t="s">
        <v>7342</v>
      </c>
      <c r="C2447" s="4">
        <v>1.0</v>
      </c>
      <c r="D2447" s="5" t="s">
        <v>7343</v>
      </c>
      <c r="E2447" s="5" t="s">
        <v>7344</v>
      </c>
      <c r="F2447" s="6" t="str">
        <f>IFERROR(__xludf.DUMMYFUNCTION("GOOGLETRANSLATE(D2447,""en"",""it"")"),"Si fida anche del suo tocco e delle ricostruzioni.")</f>
        <v>Si fida anche del suo tocco e delle ricostruzioni.</v>
      </c>
      <c r="G2447" s="6" t="str">
        <f>IFERROR(__xludf.DUMMYFUNCTION("GOOGLETRANSLATE(E2447,""fr"",""it"")"),"Si fida del suo senso del tatto e anche la ricostruzione.")</f>
        <v>Si fida del suo senso del tatto e anche la ricostruzione.</v>
      </c>
    </row>
    <row r="2448">
      <c r="A2448" s="4">
        <v>2446.0</v>
      </c>
      <c r="B2448" s="5" t="s">
        <v>7345</v>
      </c>
      <c r="C2448" s="4">
        <v>1.0</v>
      </c>
      <c r="D2448" s="5" t="s">
        <v>7346</v>
      </c>
      <c r="E2448" s="5" t="s">
        <v>7347</v>
      </c>
      <c r="F2448" s="6" t="str">
        <f>IFERROR(__xludf.DUMMYFUNCTION("GOOGLETRANSLATE(D2448,""en"",""it"")"),"Si fida anche delle ricostruzioni e del suo tocco.")</f>
        <v>Si fida anche delle ricostruzioni e del suo tocco.</v>
      </c>
      <c r="G2448" s="6" t="str">
        <f>IFERROR(__xludf.DUMMYFUNCTION("GOOGLETRANSLATE(E2448,""fr"",""it"")"),"Si fida di ricostruzioni e anche il suo senso del tatto.")</f>
        <v>Si fida di ricostruzioni e anche il suo senso del tatto.</v>
      </c>
    </row>
    <row r="2449">
      <c r="A2449" s="4">
        <v>2447.0</v>
      </c>
      <c r="B2449" s="5" t="s">
        <v>7348</v>
      </c>
      <c r="C2449" s="4">
        <v>1.0</v>
      </c>
      <c r="D2449" s="5" t="s">
        <v>7349</v>
      </c>
      <c r="E2449" s="5" t="s">
        <v>7350</v>
      </c>
      <c r="F2449" s="6" t="str">
        <f>IFERROR(__xludf.DUMMYFUNCTION("GOOGLETRANSLATE(D2449,""en"",""it"")"),"Si fida anche del suo tocco e indovina anche lui.")</f>
        <v>Si fida anche del suo tocco e indovina anche lui.</v>
      </c>
      <c r="G2449" s="6" t="str">
        <f>IFERROR(__xludf.DUMMYFUNCTION("GOOGLETRANSLATE(E2449,""fr"",""it"")"),"Si fida del suo senso del tatto e anche le ipotesi.")</f>
        <v>Si fida del suo senso del tatto e anche le ipotesi.</v>
      </c>
    </row>
    <row r="2450">
      <c r="A2450" s="4">
        <v>2448.0</v>
      </c>
      <c r="B2450" s="5" t="s">
        <v>7351</v>
      </c>
      <c r="C2450" s="4">
        <v>1.0</v>
      </c>
      <c r="D2450" s="5" t="s">
        <v>7352</v>
      </c>
      <c r="E2450" s="5" t="s">
        <v>7353</v>
      </c>
      <c r="F2450" s="6" t="str">
        <f>IFERROR(__xludf.DUMMYFUNCTION("GOOGLETRANSLATE(D2450,""en"",""it"")"),"Si fida indovina, e anche il suo tocco.")</f>
        <v>Si fida indovina, e anche il suo tocco.</v>
      </c>
      <c r="G2450" s="6" t="str">
        <f>IFERROR(__xludf.DUMMYFUNCTION("GOOGLETRANSLATE(E2450,""fr"",""it"")"),"Si fida di supposizione, e anche il suo senso del tatto.")</f>
        <v>Si fida di supposizione, e anche il suo senso del tatto.</v>
      </c>
    </row>
    <row r="2451">
      <c r="A2451" s="4">
        <v>2449.0</v>
      </c>
      <c r="B2451" s="5" t="s">
        <v>7354</v>
      </c>
      <c r="C2451" s="4">
        <v>1.0</v>
      </c>
      <c r="D2451" s="5" t="s">
        <v>7355</v>
      </c>
      <c r="E2451" s="5" t="s">
        <v>7356</v>
      </c>
      <c r="F2451" s="6" t="str">
        <f>IFERROR(__xludf.DUMMYFUNCTION("GOOGLETRANSLATE(D2451,""en"",""it"")"),"Si fida anche dei suoi gusti e delle voci.")</f>
        <v>Si fida anche dei suoi gusti e delle voci.</v>
      </c>
      <c r="G2451" s="6" t="str">
        <f>IFERROR(__xludf.DUMMYFUNCTION("GOOGLETRANSLATE(E2451,""fr"",""it"")"),"Si fida del suo senso del gusto, e anche le voci.")</f>
        <v>Si fida del suo senso del gusto, e anche le voci.</v>
      </c>
    </row>
    <row r="2452">
      <c r="A2452" s="4">
        <v>2450.0</v>
      </c>
      <c r="B2452" s="5" t="s">
        <v>7357</v>
      </c>
      <c r="C2452" s="4">
        <v>1.0</v>
      </c>
      <c r="D2452" s="5" t="s">
        <v>7358</v>
      </c>
      <c r="E2452" s="5" t="s">
        <v>7359</v>
      </c>
      <c r="F2452" s="6" t="str">
        <f>IFERROR(__xludf.DUMMYFUNCTION("GOOGLETRANSLATE(D2452,""en"",""it"")"),"Si fida anche delle voci e del suo gusto.")</f>
        <v>Si fida anche delle voci e del suo gusto.</v>
      </c>
      <c r="G2452" s="6" t="str">
        <f>IFERROR(__xludf.DUMMYFUNCTION("GOOGLETRANSLATE(E2452,""fr"",""it"")"),"Si fida delle voci e anche il suo senso del gusto.")</f>
        <v>Si fida delle voci e anche il suo senso del gusto.</v>
      </c>
    </row>
    <row r="2453">
      <c r="A2453" s="4">
        <v>2451.0</v>
      </c>
      <c r="B2453" s="5" t="s">
        <v>7360</v>
      </c>
      <c r="C2453" s="4">
        <v>0.0</v>
      </c>
      <c r="D2453" s="5" t="s">
        <v>7361</v>
      </c>
      <c r="E2453" s="5" t="s">
        <v>7362</v>
      </c>
      <c r="F2453" s="6" t="str">
        <f>IFERROR(__xludf.DUMMYFUNCTION("GOOGLETRANSLATE(D2453,""en"",""it"")"),"Si fida anche del suo gusto e dei suoi sensi.")</f>
        <v>Si fida anche del suo gusto e dei suoi sensi.</v>
      </c>
      <c r="G2453" s="6" t="str">
        <f>IFERROR(__xludf.DUMMYFUNCTION("GOOGLETRANSLATE(E2453,""fr"",""it"")"),"Si fida del suo senso del gusto, e anche i suoi sensi.")</f>
        <v>Si fida del suo senso del gusto, e anche i suoi sensi.</v>
      </c>
    </row>
    <row r="2454">
      <c r="A2454" s="4">
        <v>2452.0</v>
      </c>
      <c r="B2454" s="5" t="s">
        <v>7363</v>
      </c>
      <c r="C2454" s="4">
        <v>0.0</v>
      </c>
      <c r="D2454" s="5" t="s">
        <v>7364</v>
      </c>
      <c r="E2454" s="5" t="s">
        <v>7365</v>
      </c>
      <c r="F2454" s="6" t="str">
        <f>IFERROR(__xludf.DUMMYFUNCTION("GOOGLETRANSLATE(D2454,""en"",""it"")"),"Si fida anche dei suoi sensi, e anche il suo gusto.")</f>
        <v>Si fida anche dei suoi sensi, e anche il suo gusto.</v>
      </c>
      <c r="G2454" s="6" t="str">
        <f>IFERROR(__xludf.DUMMYFUNCTION("GOOGLETRANSLATE(E2454,""fr"",""it"")"),"Si fida dei suoi sensi, e anche il suo senso del gusto.")</f>
        <v>Si fida dei suoi sensi, e anche il suo senso del gusto.</v>
      </c>
    </row>
    <row r="2455">
      <c r="A2455" s="4">
        <v>2453.0</v>
      </c>
      <c r="B2455" s="5" t="s">
        <v>7366</v>
      </c>
      <c r="C2455" s="4">
        <v>1.0</v>
      </c>
      <c r="D2455" s="5" t="s">
        <v>7367</v>
      </c>
      <c r="E2455" s="5" t="s">
        <v>7368</v>
      </c>
      <c r="F2455" s="6" t="str">
        <f>IFERROR(__xludf.DUMMYFUNCTION("GOOGLETRANSLATE(D2455,""en"",""it"")"),"Si fida anche del suo gusto e dei rapporti.")</f>
        <v>Si fida anche del suo gusto e dei rapporti.</v>
      </c>
      <c r="G2455" s="6" t="str">
        <f>IFERROR(__xludf.DUMMYFUNCTION("GOOGLETRANSLATE(E2455,""fr"",""it"")"),"Si fida del suo senso del gusto e anche dei rapporti.")</f>
        <v>Si fida del suo senso del gusto e anche dei rapporti.</v>
      </c>
    </row>
    <row r="2456">
      <c r="A2456" s="4">
        <v>2454.0</v>
      </c>
      <c r="B2456" s="5" t="s">
        <v>7369</v>
      </c>
      <c r="C2456" s="4">
        <v>1.0</v>
      </c>
      <c r="D2456" s="5" t="s">
        <v>7370</v>
      </c>
      <c r="E2456" s="5" t="s">
        <v>7371</v>
      </c>
      <c r="F2456" s="6" t="str">
        <f>IFERROR(__xludf.DUMMYFUNCTION("GOOGLETRANSLATE(D2456,""en"",""it"")"),"Si fida anche dei rapporti, e anche il suo gusto.")</f>
        <v>Si fida anche dei rapporti, e anche il suo gusto.</v>
      </c>
      <c r="G2456" s="6" t="str">
        <f>IFERROR(__xludf.DUMMYFUNCTION("GOOGLETRANSLATE(E2456,""fr"",""it"")"),"Si fida dei rapporti e anche il suo senso del gusto.")</f>
        <v>Si fida dei rapporti e anche il suo senso del gusto.</v>
      </c>
    </row>
    <row r="2457">
      <c r="A2457" s="4">
        <v>2455.0</v>
      </c>
      <c r="B2457" s="5" t="s">
        <v>7372</v>
      </c>
      <c r="C2457" s="4">
        <v>0.0</v>
      </c>
      <c r="D2457" s="5" t="s">
        <v>7373</v>
      </c>
      <c r="E2457" s="5" t="s">
        <v>7374</v>
      </c>
      <c r="F2457" s="6" t="str">
        <f>IFERROR(__xludf.DUMMYFUNCTION("GOOGLETRANSLATE(D2457,""en"",""it"")"),"Mi piace la pancetta, tranne i broccoli.")</f>
        <v>Mi piace la pancetta, tranne i broccoli.</v>
      </c>
      <c r="G2457" s="6" t="str">
        <f>IFERROR(__xludf.DUMMYFUNCTION("GOOGLETRANSLATE(E2457,""fr"",""it"")"),"Adoro la pancetta tranne i broccoli.")</f>
        <v>Adoro la pancetta tranne i broccoli.</v>
      </c>
    </row>
    <row r="2458">
      <c r="A2458" s="4">
        <v>2456.0</v>
      </c>
      <c r="B2458" s="5" t="s">
        <v>7375</v>
      </c>
      <c r="C2458" s="4">
        <v>1.0</v>
      </c>
      <c r="D2458" s="5" t="s">
        <v>7376</v>
      </c>
      <c r="E2458" s="5" t="s">
        <v>7377</v>
      </c>
      <c r="F2458" s="6" t="str">
        <f>IFERROR(__xludf.DUMMYFUNCTION("GOOGLETRANSLATE(D2458,""en"",""it"")"),"Si fida anche dei suoi gusti e ricostruzioni.")</f>
        <v>Si fida anche dei suoi gusti e ricostruzioni.</v>
      </c>
      <c r="G2458" s="6" t="str">
        <f>IFERROR(__xludf.DUMMYFUNCTION("GOOGLETRANSLATE(E2458,""fr"",""it"")"),"Si fida del suo senso del gusto, e anche le ricostruzioni.")</f>
        <v>Si fida del suo senso del gusto, e anche le ricostruzioni.</v>
      </c>
    </row>
    <row r="2459">
      <c r="A2459" s="4">
        <v>2457.0</v>
      </c>
      <c r="B2459" s="5" t="s">
        <v>7378</v>
      </c>
      <c r="C2459" s="4">
        <v>1.0</v>
      </c>
      <c r="D2459" s="5" t="s">
        <v>7379</v>
      </c>
      <c r="E2459" s="5" t="s">
        <v>7380</v>
      </c>
      <c r="F2459" s="6" t="str">
        <f>IFERROR(__xludf.DUMMYFUNCTION("GOOGLETRANSLATE(D2459,""en"",""it"")"),"Si fida anche delle ricostruzioni e del suo gusto.")</f>
        <v>Si fida anche delle ricostruzioni e del suo gusto.</v>
      </c>
      <c r="G2459" s="6" t="str">
        <f>IFERROR(__xludf.DUMMYFUNCTION("GOOGLETRANSLATE(E2459,""fr"",""it"")"),"Si fida di ricostruzioni e anche il suo senso del gusto.")</f>
        <v>Si fida di ricostruzioni e anche il suo senso del gusto.</v>
      </c>
    </row>
    <row r="2460">
      <c r="A2460" s="4">
        <v>2458.0</v>
      </c>
      <c r="B2460" s="5" t="s">
        <v>7381</v>
      </c>
      <c r="C2460" s="4">
        <v>1.0</v>
      </c>
      <c r="D2460" s="5" t="s">
        <v>7382</v>
      </c>
      <c r="E2460" s="5" t="s">
        <v>7383</v>
      </c>
      <c r="F2460" s="6" t="str">
        <f>IFERROR(__xludf.DUMMYFUNCTION("GOOGLETRANSLATE(D2460,""en"",""it"")"),"Si fida anche del suo gusto e indovina anche.")</f>
        <v>Si fida anche del suo gusto e indovina anche.</v>
      </c>
      <c r="G2460" s="6" t="str">
        <f>IFERROR(__xludf.DUMMYFUNCTION("GOOGLETRANSLATE(E2460,""fr"",""it"")"),"Si fida del suo senso del gusto, e anche le ipotesi.")</f>
        <v>Si fida del suo senso del gusto, e anche le ipotesi.</v>
      </c>
    </row>
    <row r="2461">
      <c r="A2461" s="4">
        <v>2459.0</v>
      </c>
      <c r="B2461" s="5" t="s">
        <v>7384</v>
      </c>
      <c r="C2461" s="4">
        <v>1.0</v>
      </c>
      <c r="D2461" s="5" t="s">
        <v>7385</v>
      </c>
      <c r="E2461" s="5" t="s">
        <v>7386</v>
      </c>
      <c r="F2461" s="6" t="str">
        <f>IFERROR(__xludf.DUMMYFUNCTION("GOOGLETRANSLATE(D2461,""en"",""it"")"),"Si fida indovina, e anche il suo gusto.")</f>
        <v>Si fida indovina, e anche il suo gusto.</v>
      </c>
      <c r="G2461" s="6" t="str">
        <f>IFERROR(__xludf.DUMMYFUNCTION("GOOGLETRANSLATE(E2461,""fr"",""it"")"),"Si fida di supposizione, e anche il suo senso del gusto.")</f>
        <v>Si fida di supposizione, e anche il suo senso del gusto.</v>
      </c>
    </row>
    <row r="2462">
      <c r="A2462" s="4">
        <v>2460.0</v>
      </c>
      <c r="B2462" s="5" t="s">
        <v>7387</v>
      </c>
      <c r="C2462" s="4">
        <v>0.0</v>
      </c>
      <c r="D2462" s="5" t="s">
        <v>7388</v>
      </c>
      <c r="E2462" s="5" t="s">
        <v>7389</v>
      </c>
      <c r="F2462" s="6" t="str">
        <f>IFERROR(__xludf.DUMMYFUNCTION("GOOGLETRANSLATE(D2462,""en"",""it"")"),"Mi piacciono i broccoli, tranne il bacon.")</f>
        <v>Mi piacciono i broccoli, tranne il bacon.</v>
      </c>
      <c r="G2462" s="6" t="str">
        <f>IFERROR(__xludf.DUMMYFUNCTION("GOOGLETRANSLATE(E2462,""fr"",""it"")"),"Adoro i broccoli tranne la pancetta.")</f>
        <v>Adoro i broccoli tranne la pancetta.</v>
      </c>
    </row>
    <row r="2463">
      <c r="A2463" s="4">
        <v>2461.0</v>
      </c>
      <c r="B2463" s="5" t="s">
        <v>7390</v>
      </c>
      <c r="C2463" s="4">
        <v>1.0</v>
      </c>
      <c r="D2463" s="5" t="s">
        <v>7391</v>
      </c>
      <c r="E2463" s="5" t="s">
        <v>7392</v>
      </c>
      <c r="F2463" s="6" t="str">
        <f>IFERROR(__xludf.DUMMYFUNCTION("GOOGLETRANSLATE(D2463,""en"",""it"")"),"A lui piace la gioia e anche la saggezza.")</f>
        <v>A lui piace la gioia e anche la saggezza.</v>
      </c>
      <c r="G2463" s="6" t="str">
        <f>IFERROR(__xludf.DUMMYFUNCTION("GOOGLETRANSLATE(E2463,""fr"",""it"")"),"Posso capire la gioia e anche la saggezza.")</f>
        <v>Posso capire la gioia e anche la saggezza.</v>
      </c>
    </row>
    <row r="2464">
      <c r="A2464" s="4">
        <v>2462.0</v>
      </c>
      <c r="B2464" s="5" t="s">
        <v>7393</v>
      </c>
      <c r="C2464" s="4">
        <v>1.0</v>
      </c>
      <c r="D2464" s="5" t="s">
        <v>7394</v>
      </c>
      <c r="E2464" s="5" t="s">
        <v>7395</v>
      </c>
      <c r="F2464" s="6" t="str">
        <f>IFERROR(__xludf.DUMMYFUNCTION("GOOGLETRANSLATE(D2464,""en"",""it"")"),"A lui piace anche la saggezza e la gioia.")</f>
        <v>A lui piace anche la saggezza e la gioia.</v>
      </c>
      <c r="G2464" s="6" t="str">
        <f>IFERROR(__xludf.DUMMYFUNCTION("GOOGLETRANSLATE(E2464,""fr"",""it"")"),"Posso capire la saggezza e anche la gioia.")</f>
        <v>Posso capire la saggezza e anche la gioia.</v>
      </c>
    </row>
    <row r="2465">
      <c r="A2465" s="4">
        <v>2463.0</v>
      </c>
      <c r="B2465" s="5" t="s">
        <v>7396</v>
      </c>
      <c r="C2465" s="4">
        <v>0.0</v>
      </c>
      <c r="D2465" s="5" t="s">
        <v>7397</v>
      </c>
      <c r="E2465" s="5" t="s">
        <v>7398</v>
      </c>
      <c r="F2465" s="6" t="str">
        <f>IFERROR(__xludf.DUMMYFUNCTION("GOOGLETRANSLATE(D2465,""en"",""it"")"),"A lui piace anche la gioia e le emozioni.")</f>
        <v>A lui piace anche la gioia e le emozioni.</v>
      </c>
      <c r="G2465" s="6" t="str">
        <f>IFERROR(__xludf.DUMMYFUNCTION("GOOGLETRANSLATE(E2465,""fr"",""it"")"),"Posso capire la gioia e anche le emozioni.")</f>
        <v>Posso capire la gioia e anche le emozioni.</v>
      </c>
    </row>
    <row r="2466">
      <c r="A2466" s="4">
        <v>2464.0</v>
      </c>
      <c r="B2466" s="5" t="s">
        <v>7399</v>
      </c>
      <c r="C2466" s="4">
        <v>0.0</v>
      </c>
      <c r="D2466" s="5" t="s">
        <v>7400</v>
      </c>
      <c r="E2466" s="5" t="s">
        <v>7401</v>
      </c>
      <c r="F2466" s="6" t="str">
        <f>IFERROR(__xludf.DUMMYFUNCTION("GOOGLETRANSLATE(D2466,""en"",""it"")"),"Gli piace anche le emozioni e la gioia.")</f>
        <v>Gli piace anche le emozioni e la gioia.</v>
      </c>
      <c r="G2466" s="6" t="str">
        <f>IFERROR(__xludf.DUMMYFUNCTION("GOOGLETRANSLATE(E2466,""fr"",""it"")"),"Posso capire le emozioni e anche la gioia.")</f>
        <v>Posso capire le emozioni e anche la gioia.</v>
      </c>
    </row>
    <row r="2467">
      <c r="A2467" s="4">
        <v>2465.0</v>
      </c>
      <c r="B2467" s="5" t="s">
        <v>7402</v>
      </c>
      <c r="C2467" s="4">
        <v>1.0</v>
      </c>
      <c r="D2467" s="5" t="s">
        <v>7403</v>
      </c>
      <c r="E2467" s="5" t="s">
        <v>7404</v>
      </c>
      <c r="F2467" s="6" t="str">
        <f>IFERROR(__xludf.DUMMYFUNCTION("GOOGLETRANSLATE(D2467,""en"",""it"")"),"Gli piace anche le emozioni e la saggezza.")</f>
        <v>Gli piace anche le emozioni e la saggezza.</v>
      </c>
      <c r="G2467" s="6" t="str">
        <f>IFERROR(__xludf.DUMMYFUNCTION("GOOGLETRANSLATE(E2467,""fr"",""it"")"),"Posso capire le emozioni e anche la saggezza.")</f>
        <v>Posso capire le emozioni e anche la saggezza.</v>
      </c>
    </row>
    <row r="2468">
      <c r="A2468" s="4">
        <v>2466.0</v>
      </c>
      <c r="B2468" s="5" t="s">
        <v>7405</v>
      </c>
      <c r="C2468" s="4">
        <v>1.0</v>
      </c>
      <c r="D2468" s="5" t="s">
        <v>7406</v>
      </c>
      <c r="E2468" s="5" t="s">
        <v>7407</v>
      </c>
      <c r="F2468" s="6" t="str">
        <f>IFERROR(__xludf.DUMMYFUNCTION("GOOGLETRANSLATE(D2468,""en"",""it"")"),"A lui piace la gioia e anche la stupidità.")</f>
        <v>A lui piace la gioia e anche la stupidità.</v>
      </c>
      <c r="G2468" s="6" t="str">
        <f>IFERROR(__xludf.DUMMYFUNCTION("GOOGLETRANSLATE(E2468,""fr"",""it"")"),"Posso capire la gioia e anche la stupidità.")</f>
        <v>Posso capire la gioia e anche la stupidità.</v>
      </c>
    </row>
    <row r="2469">
      <c r="A2469" s="4">
        <v>2467.0</v>
      </c>
      <c r="B2469" s="5" t="s">
        <v>7408</v>
      </c>
      <c r="C2469" s="4">
        <v>1.0</v>
      </c>
      <c r="D2469" s="5" t="s">
        <v>7409</v>
      </c>
      <c r="E2469" s="5" t="s">
        <v>7410</v>
      </c>
      <c r="F2469" s="6" t="str">
        <f>IFERROR(__xludf.DUMMYFUNCTION("GOOGLETRANSLATE(D2469,""en"",""it"")"),"A lui piace anche la stupidità e la gioia.")</f>
        <v>A lui piace anche la stupidità e la gioia.</v>
      </c>
      <c r="G2469" s="6" t="str">
        <f>IFERROR(__xludf.DUMMYFUNCTION("GOOGLETRANSLATE(E2469,""fr"",""it"")"),"Posso capire la stupidità e anche la gioia.")</f>
        <v>Posso capire la stupidità e anche la gioia.</v>
      </c>
    </row>
    <row r="2470">
      <c r="A2470" s="4">
        <v>2468.0</v>
      </c>
      <c r="B2470" s="5" t="s">
        <v>7411</v>
      </c>
      <c r="C2470" s="4">
        <v>1.0</v>
      </c>
      <c r="D2470" s="5" t="s">
        <v>7412</v>
      </c>
      <c r="E2470" s="5" t="s">
        <v>7413</v>
      </c>
      <c r="F2470" s="6" t="str">
        <f>IFERROR(__xludf.DUMMYFUNCTION("GOOGLETRANSLATE(D2470,""en"",""it"")"),"Gli piace anche le emozioni e la stupidità.")</f>
        <v>Gli piace anche le emozioni e la stupidità.</v>
      </c>
      <c r="G2470" s="6" t="str">
        <f>IFERROR(__xludf.DUMMYFUNCTION("GOOGLETRANSLATE(E2470,""fr"",""it"")"),"Posso capire le emozioni e anche la stupidità.")</f>
        <v>Posso capire le emozioni e anche la stupidità.</v>
      </c>
    </row>
    <row r="2471">
      <c r="A2471" s="4">
        <v>2469.0</v>
      </c>
      <c r="B2471" s="5" t="s">
        <v>7414</v>
      </c>
      <c r="C2471" s="4">
        <v>1.0</v>
      </c>
      <c r="D2471" s="5" t="s">
        <v>7415</v>
      </c>
      <c r="E2471" s="5" t="s">
        <v>7416</v>
      </c>
      <c r="F2471" s="6" t="str">
        <f>IFERROR(__xludf.DUMMYFUNCTION("GOOGLETRANSLATE(D2471,""en"",""it"")"),"A lui piace la gioia e anche la logica.")</f>
        <v>A lui piace la gioia e anche la logica.</v>
      </c>
      <c r="G2471" s="6" t="str">
        <f>IFERROR(__xludf.DUMMYFUNCTION("GOOGLETRANSLATE(E2471,""fr"",""it"")"),"Posso capire la gioia e anche la logica.")</f>
        <v>Posso capire la gioia e anche la logica.</v>
      </c>
    </row>
    <row r="2472">
      <c r="A2472" s="4">
        <v>2470.0</v>
      </c>
      <c r="B2472" s="5" t="s">
        <v>7417</v>
      </c>
      <c r="C2472" s="4">
        <v>1.0</v>
      </c>
      <c r="D2472" s="5" t="s">
        <v>7418</v>
      </c>
      <c r="E2472" s="5" t="s">
        <v>7419</v>
      </c>
      <c r="F2472" s="6" t="str">
        <f>IFERROR(__xludf.DUMMYFUNCTION("GOOGLETRANSLATE(D2472,""en"",""it"")"),"A lui piace anche la logica e la gioia.")</f>
        <v>A lui piace anche la logica e la gioia.</v>
      </c>
      <c r="G2472" s="6" t="str">
        <f>IFERROR(__xludf.DUMMYFUNCTION("GOOGLETRANSLATE(E2472,""fr"",""it"")"),"Posso capire la logica e anche la gioia.")</f>
        <v>Posso capire la logica e anche la gioia.</v>
      </c>
    </row>
    <row r="2473">
      <c r="A2473" s="4">
        <v>2471.0</v>
      </c>
      <c r="B2473" s="5" t="s">
        <v>7420</v>
      </c>
      <c r="C2473" s="4">
        <v>1.0</v>
      </c>
      <c r="D2473" s="5" t="s">
        <v>7421</v>
      </c>
      <c r="E2473" s="5" t="s">
        <v>7422</v>
      </c>
      <c r="F2473" s="6" t="str">
        <f>IFERROR(__xludf.DUMMYFUNCTION("GOOGLETRANSLATE(D2473,""en"",""it"")"),"A lui piace anche le emozioni e la logica.")</f>
        <v>A lui piace anche le emozioni e la logica.</v>
      </c>
      <c r="G2473" s="6" t="str">
        <f>IFERROR(__xludf.DUMMYFUNCTION("GOOGLETRANSLATE(E2473,""fr"",""it"")"),"Posso capire le emozioni e anche la logica.")</f>
        <v>Posso capire le emozioni e anche la logica.</v>
      </c>
    </row>
    <row r="2474">
      <c r="A2474" s="4">
        <v>2472.0</v>
      </c>
      <c r="B2474" s="5" t="s">
        <v>7423</v>
      </c>
      <c r="C2474" s="4">
        <v>1.0</v>
      </c>
      <c r="D2474" s="5" t="s">
        <v>7424</v>
      </c>
      <c r="E2474" s="5" t="s">
        <v>7425</v>
      </c>
      <c r="F2474" s="6" t="str">
        <f>IFERROR(__xludf.DUMMYFUNCTION("GOOGLETRANSLATE(D2474,""en"",""it"")"),"A lui piace la gioia e anche i calcoli.")</f>
        <v>A lui piace la gioia e anche i calcoli.</v>
      </c>
      <c r="G2474" s="6" t="str">
        <f>IFERROR(__xludf.DUMMYFUNCTION("GOOGLETRANSLATE(E2474,""fr"",""it"")"),"Posso capire la gioia e anche i calcoli.")</f>
        <v>Posso capire la gioia e anche i calcoli.</v>
      </c>
    </row>
    <row r="2475">
      <c r="A2475" s="4">
        <v>2473.0</v>
      </c>
      <c r="B2475" s="5" t="s">
        <v>7426</v>
      </c>
      <c r="C2475" s="4">
        <v>1.0</v>
      </c>
      <c r="D2475" s="5" t="s">
        <v>7427</v>
      </c>
      <c r="E2475" s="5" t="s">
        <v>7428</v>
      </c>
      <c r="F2475" s="6" t="str">
        <f>IFERROR(__xludf.DUMMYFUNCTION("GOOGLETRANSLATE(D2475,""en"",""it"")"),"Gli piacciono i calcoli e anche la gioia.")</f>
        <v>Gli piacciono i calcoli e anche la gioia.</v>
      </c>
      <c r="G2475" s="6" t="str">
        <f>IFERROR(__xludf.DUMMYFUNCTION("GOOGLETRANSLATE(E2475,""fr"",""it"")"),"Posso capire i calcoli e anche la gioia.")</f>
        <v>Posso capire i calcoli e anche la gioia.</v>
      </c>
    </row>
    <row r="2476">
      <c r="A2476" s="4">
        <v>2474.0</v>
      </c>
      <c r="B2476" s="5" t="s">
        <v>7429</v>
      </c>
      <c r="C2476" s="4">
        <v>1.0</v>
      </c>
      <c r="D2476" s="5" t="s">
        <v>7430</v>
      </c>
      <c r="E2476" s="5" t="s">
        <v>7431</v>
      </c>
      <c r="F2476" s="6" t="str">
        <f>IFERROR(__xludf.DUMMYFUNCTION("GOOGLETRANSLATE(D2476,""en"",""it"")"),"A lui piace anche le emozioni e i calcoli.")</f>
        <v>A lui piace anche le emozioni e i calcoli.</v>
      </c>
      <c r="G2476" s="6" t="str">
        <f>IFERROR(__xludf.DUMMYFUNCTION("GOOGLETRANSLATE(E2476,""fr"",""it"")"),"Posso capire le emozioni e anche i calcoli.")</f>
        <v>Posso capire le emozioni e anche i calcoli.</v>
      </c>
    </row>
    <row r="2477">
      <c r="A2477" s="4">
        <v>2475.0</v>
      </c>
      <c r="B2477" s="5" t="s">
        <v>7432</v>
      </c>
      <c r="C2477" s="4">
        <v>1.0</v>
      </c>
      <c r="D2477" s="5" t="s">
        <v>7433</v>
      </c>
      <c r="E2477" s="5" t="s">
        <v>7434</v>
      </c>
      <c r="F2477" s="6" t="str">
        <f>IFERROR(__xludf.DUMMYFUNCTION("GOOGLETRANSLATE(D2477,""en"",""it"")"),"A lui piace la paura e anche la saggezza.")</f>
        <v>A lui piace la paura e anche la saggezza.</v>
      </c>
      <c r="G2477" s="6" t="str">
        <f>IFERROR(__xludf.DUMMYFUNCTION("GOOGLETRANSLATE(E2477,""fr"",""it"")"),"Posso capire la paura e anche la saggezza.")</f>
        <v>Posso capire la paura e anche la saggezza.</v>
      </c>
    </row>
    <row r="2478">
      <c r="A2478" s="4">
        <v>2476.0</v>
      </c>
      <c r="B2478" s="5" t="s">
        <v>7435</v>
      </c>
      <c r="C2478" s="4">
        <v>1.0</v>
      </c>
      <c r="D2478" s="5" t="s">
        <v>7436</v>
      </c>
      <c r="E2478" s="5" t="s">
        <v>7437</v>
      </c>
      <c r="F2478" s="6" t="str">
        <f>IFERROR(__xludf.DUMMYFUNCTION("GOOGLETRANSLATE(D2478,""en"",""it"")"),"A lui piace la saggezza e anche la paura.")</f>
        <v>A lui piace la saggezza e anche la paura.</v>
      </c>
      <c r="G2478" s="6" t="str">
        <f>IFERROR(__xludf.DUMMYFUNCTION("GOOGLETRANSLATE(E2478,""fr"",""it"")"),"Posso capire la saggezza e anche la paura.")</f>
        <v>Posso capire la saggezza e anche la paura.</v>
      </c>
    </row>
    <row r="2479">
      <c r="A2479" s="4">
        <v>2477.0</v>
      </c>
      <c r="B2479" s="5" t="s">
        <v>7438</v>
      </c>
      <c r="C2479" s="4">
        <v>0.0</v>
      </c>
      <c r="D2479" s="5" t="s">
        <v>7439</v>
      </c>
      <c r="E2479" s="5" t="s">
        <v>7440</v>
      </c>
      <c r="F2479" s="6" t="str">
        <f>IFERROR(__xludf.DUMMYFUNCTION("GOOGLETRANSLATE(D2479,""en"",""it"")"),"A lui piace anche la paura e le emozioni.")</f>
        <v>A lui piace anche la paura e le emozioni.</v>
      </c>
      <c r="G2479" s="6" t="str">
        <f>IFERROR(__xludf.DUMMYFUNCTION("GOOGLETRANSLATE(E2479,""fr"",""it"")"),"Posso capire la paura e anche le emozioni.")</f>
        <v>Posso capire la paura e anche le emozioni.</v>
      </c>
    </row>
    <row r="2480">
      <c r="A2480" s="4">
        <v>2478.0</v>
      </c>
      <c r="B2480" s="5" t="s">
        <v>7441</v>
      </c>
      <c r="C2480" s="4">
        <v>0.0</v>
      </c>
      <c r="D2480" s="5" t="s">
        <v>7442</v>
      </c>
      <c r="E2480" s="5" t="s">
        <v>7443</v>
      </c>
      <c r="F2480" s="6" t="str">
        <f>IFERROR(__xludf.DUMMYFUNCTION("GOOGLETRANSLATE(D2480,""en"",""it"")"),"A lui piace anche le emozioni e la paura.")</f>
        <v>A lui piace anche le emozioni e la paura.</v>
      </c>
      <c r="G2480" s="6" t="str">
        <f>IFERROR(__xludf.DUMMYFUNCTION("GOOGLETRANSLATE(E2480,""fr"",""it"")"),"Posso capire le emozioni e anche la paura.")</f>
        <v>Posso capire le emozioni e anche la paura.</v>
      </c>
    </row>
    <row r="2481">
      <c r="A2481" s="4">
        <v>2479.0</v>
      </c>
      <c r="B2481" s="5" t="s">
        <v>7444</v>
      </c>
      <c r="C2481" s="4">
        <v>1.0</v>
      </c>
      <c r="D2481" s="5" t="s">
        <v>7445</v>
      </c>
      <c r="E2481" s="5" t="s">
        <v>7446</v>
      </c>
      <c r="F2481" s="6" t="str">
        <f>IFERROR(__xludf.DUMMYFUNCTION("GOOGLETRANSLATE(D2481,""en"",""it"")"),"Gli piace anche la paura e la stupidità.")</f>
        <v>Gli piace anche la paura e la stupidità.</v>
      </c>
      <c r="G2481" s="6" t="str">
        <f>IFERROR(__xludf.DUMMYFUNCTION("GOOGLETRANSLATE(E2481,""fr"",""it"")"),"Posso capire la paura e anche la stupidità.")</f>
        <v>Posso capire la paura e anche la stupidità.</v>
      </c>
    </row>
    <row r="2482">
      <c r="A2482" s="4">
        <v>2480.0</v>
      </c>
      <c r="B2482" s="5" t="s">
        <v>7447</v>
      </c>
      <c r="C2482" s="4">
        <v>1.0</v>
      </c>
      <c r="D2482" s="5" t="s">
        <v>7448</v>
      </c>
      <c r="E2482" s="5" t="s">
        <v>7449</v>
      </c>
      <c r="F2482" s="6" t="str">
        <f>IFERROR(__xludf.DUMMYFUNCTION("GOOGLETRANSLATE(D2482,""en"",""it"")"),"A lui piace la stupidità e anche la paura.")</f>
        <v>A lui piace la stupidità e anche la paura.</v>
      </c>
      <c r="G2482" s="6" t="str">
        <f>IFERROR(__xludf.DUMMYFUNCTION("GOOGLETRANSLATE(E2482,""fr"",""it"")"),"Posso capire la stupidità e anche paura.")</f>
        <v>Posso capire la stupidità e anche paura.</v>
      </c>
    </row>
    <row r="2483">
      <c r="A2483" s="4">
        <v>2481.0</v>
      </c>
      <c r="B2483" s="5" t="s">
        <v>7450</v>
      </c>
      <c r="C2483" s="4">
        <v>1.0</v>
      </c>
      <c r="D2483" s="5" t="s">
        <v>7451</v>
      </c>
      <c r="E2483" s="5" t="s">
        <v>7452</v>
      </c>
      <c r="F2483" s="6" t="str">
        <f>IFERROR(__xludf.DUMMYFUNCTION("GOOGLETRANSLATE(D2483,""en"",""it"")"),"A lui piace anche la paura e la logica.")</f>
        <v>A lui piace anche la paura e la logica.</v>
      </c>
      <c r="G2483" s="6" t="str">
        <f>IFERROR(__xludf.DUMMYFUNCTION("GOOGLETRANSLATE(E2483,""fr"",""it"")"),"Posso capire la paura e anche la logica.")</f>
        <v>Posso capire la paura e anche la logica.</v>
      </c>
    </row>
    <row r="2484">
      <c r="A2484" s="4">
        <v>2482.0</v>
      </c>
      <c r="B2484" s="5" t="s">
        <v>7453</v>
      </c>
      <c r="C2484" s="4">
        <v>1.0</v>
      </c>
      <c r="D2484" s="5" t="s">
        <v>7454</v>
      </c>
      <c r="E2484" s="5" t="s">
        <v>7455</v>
      </c>
      <c r="F2484" s="6" t="str">
        <f>IFERROR(__xludf.DUMMYFUNCTION("GOOGLETRANSLATE(D2484,""en"",""it"")"),"A lui piace la logica e anche la paura.")</f>
        <v>A lui piace la logica e anche la paura.</v>
      </c>
      <c r="G2484" s="6" t="str">
        <f>IFERROR(__xludf.DUMMYFUNCTION("GOOGLETRANSLATE(E2484,""fr"",""it"")"),"Posso capire la logica e anche paura.")</f>
        <v>Posso capire la logica e anche paura.</v>
      </c>
    </row>
    <row r="2485">
      <c r="A2485" s="4">
        <v>2483.0</v>
      </c>
      <c r="B2485" s="5" t="s">
        <v>7456</v>
      </c>
      <c r="C2485" s="4">
        <v>1.0</v>
      </c>
      <c r="D2485" s="5" t="s">
        <v>7457</v>
      </c>
      <c r="E2485" s="5" t="s">
        <v>7458</v>
      </c>
      <c r="F2485" s="6" t="str">
        <f>IFERROR(__xludf.DUMMYFUNCTION("GOOGLETRANSLATE(D2485,""en"",""it"")"),"Gli piace anche la paura e i calcoli.")</f>
        <v>Gli piace anche la paura e i calcoli.</v>
      </c>
      <c r="G2485" s="6" t="str">
        <f>IFERROR(__xludf.DUMMYFUNCTION("GOOGLETRANSLATE(E2485,""fr"",""it"")"),"Posso capire la paura e anche i calcoli.")</f>
        <v>Posso capire la paura e anche i calcoli.</v>
      </c>
    </row>
    <row r="2486">
      <c r="A2486" s="4">
        <v>2484.0</v>
      </c>
      <c r="B2486" s="5" t="s">
        <v>7459</v>
      </c>
      <c r="C2486" s="4">
        <v>1.0</v>
      </c>
      <c r="D2486" s="5" t="s">
        <v>7460</v>
      </c>
      <c r="E2486" s="5" t="s">
        <v>7461</v>
      </c>
      <c r="F2486" s="6" t="str">
        <f>IFERROR(__xludf.DUMMYFUNCTION("GOOGLETRANSLATE(D2486,""en"",""it"")"),"A lui piacciono i calcoli e anche la paura.")</f>
        <v>A lui piacciono i calcoli e anche la paura.</v>
      </c>
      <c r="G2486" s="6" t="str">
        <f>IFERROR(__xludf.DUMMYFUNCTION("GOOGLETRANSLATE(E2486,""fr"",""it"")"),"Posso capire i calcoli e anche paura.")</f>
        <v>Posso capire i calcoli e anche paura.</v>
      </c>
    </row>
    <row r="2487">
      <c r="A2487" s="4">
        <v>2485.0</v>
      </c>
      <c r="B2487" s="5" t="s">
        <v>7462</v>
      </c>
      <c r="C2487" s="4">
        <v>0.0</v>
      </c>
      <c r="D2487" s="5" t="s">
        <v>7463</v>
      </c>
      <c r="E2487" s="5" t="s">
        <v>7464</v>
      </c>
      <c r="F2487" s="6" t="str">
        <f>IFERROR(__xludf.DUMMYFUNCTION("GOOGLETRANSLATE(D2487,""en"",""it"")"),"Mi piace la pancetta, ad eccezione delle mele.")</f>
        <v>Mi piace la pancetta, ad eccezione delle mele.</v>
      </c>
      <c r="G2487" s="6" t="str">
        <f>IFERROR(__xludf.DUMMYFUNCTION("GOOGLETRANSLATE(E2487,""fr"",""it"")"),"Adoro la pancetta, ad eccezione delle mele.")</f>
        <v>Adoro la pancetta, ad eccezione delle mele.</v>
      </c>
    </row>
    <row r="2488">
      <c r="A2488" s="4">
        <v>2486.0</v>
      </c>
      <c r="B2488" s="5" t="s">
        <v>7465</v>
      </c>
      <c r="C2488" s="4">
        <v>1.0</v>
      </c>
      <c r="D2488" s="5" t="s">
        <v>7466</v>
      </c>
      <c r="E2488" s="5" t="s">
        <v>7467</v>
      </c>
      <c r="F2488" s="6" t="str">
        <f>IFERROR(__xludf.DUMMYFUNCTION("GOOGLETRANSLATE(D2488,""en"",""it"")"),"A lui piace anche l'amore e la saggezza.")</f>
        <v>A lui piace anche l'amore e la saggezza.</v>
      </c>
      <c r="G2488" s="6" t="str">
        <f>IFERROR(__xludf.DUMMYFUNCTION("GOOGLETRANSLATE(E2488,""fr"",""it"")"),"Posso capire l'amore e anche la saggezza.")</f>
        <v>Posso capire l'amore e anche la saggezza.</v>
      </c>
    </row>
    <row r="2489">
      <c r="A2489" s="4">
        <v>2487.0</v>
      </c>
      <c r="B2489" s="5" t="s">
        <v>7468</v>
      </c>
      <c r="C2489" s="4">
        <v>1.0</v>
      </c>
      <c r="D2489" s="5" t="s">
        <v>7469</v>
      </c>
      <c r="E2489" s="5" t="s">
        <v>7470</v>
      </c>
      <c r="F2489" s="6" t="str">
        <f>IFERROR(__xludf.DUMMYFUNCTION("GOOGLETRANSLATE(D2489,""en"",""it"")"),"A lui piace la saggezza e anche l'amore.")</f>
        <v>A lui piace la saggezza e anche l'amore.</v>
      </c>
      <c r="G2489" s="6" t="str">
        <f>IFERROR(__xludf.DUMMYFUNCTION("GOOGLETRANSLATE(E2489,""fr"",""it"")"),"Posso capire la saggezza e anche amore.")</f>
        <v>Posso capire la saggezza e anche amore.</v>
      </c>
    </row>
    <row r="2490">
      <c r="A2490" s="4">
        <v>2488.0</v>
      </c>
      <c r="B2490" s="5" t="s">
        <v>7471</v>
      </c>
      <c r="C2490" s="4">
        <v>0.0</v>
      </c>
      <c r="D2490" s="5" t="s">
        <v>7472</v>
      </c>
      <c r="E2490" s="5" t="s">
        <v>7473</v>
      </c>
      <c r="F2490" s="6" t="str">
        <f>IFERROR(__xludf.DUMMYFUNCTION("GOOGLETRANSLATE(D2490,""en"",""it"")"),"Gli piace anche l'amore e le emozioni.")</f>
        <v>Gli piace anche l'amore e le emozioni.</v>
      </c>
      <c r="G2490" s="6" t="str">
        <f>IFERROR(__xludf.DUMMYFUNCTION("GOOGLETRANSLATE(E2490,""fr"",""it"")"),"Posso capire l'amore e anche le emozioni.")</f>
        <v>Posso capire l'amore e anche le emozioni.</v>
      </c>
    </row>
    <row r="2491">
      <c r="A2491" s="4">
        <v>2489.0</v>
      </c>
      <c r="B2491" s="5" t="s">
        <v>7474</v>
      </c>
      <c r="C2491" s="4">
        <v>0.0</v>
      </c>
      <c r="D2491" s="5" t="s">
        <v>7475</v>
      </c>
      <c r="E2491" s="5" t="s">
        <v>7476</v>
      </c>
      <c r="F2491" s="6" t="str">
        <f>IFERROR(__xludf.DUMMYFUNCTION("GOOGLETRANSLATE(D2491,""en"",""it"")"),"A lui piace le emozioni e anche amo.")</f>
        <v>A lui piace le emozioni e anche amo.</v>
      </c>
      <c r="G2491" s="6" t="str">
        <f>IFERROR(__xludf.DUMMYFUNCTION("GOOGLETRANSLATE(E2491,""fr"",""it"")"),"Posso capire le emozioni e anche amore.")</f>
        <v>Posso capire le emozioni e anche amore.</v>
      </c>
    </row>
    <row r="2492">
      <c r="A2492" s="4">
        <v>2490.0</v>
      </c>
      <c r="B2492" s="5" t="s">
        <v>7477</v>
      </c>
      <c r="C2492" s="4">
        <v>1.0</v>
      </c>
      <c r="D2492" s="5" t="s">
        <v>7478</v>
      </c>
      <c r="E2492" s="5" t="s">
        <v>7479</v>
      </c>
      <c r="F2492" s="6" t="str">
        <f>IFERROR(__xludf.DUMMYFUNCTION("GOOGLETRANSLATE(D2492,""en"",""it"")"),"Gli piace anche l'amore e la stupidità.")</f>
        <v>Gli piace anche l'amore e la stupidità.</v>
      </c>
      <c r="G2492" s="6" t="str">
        <f>IFERROR(__xludf.DUMMYFUNCTION("GOOGLETRANSLATE(E2492,""fr"",""it"")"),"Posso capire l'amore e anche la stupidità.")</f>
        <v>Posso capire l'amore e anche la stupidità.</v>
      </c>
    </row>
    <row r="2493">
      <c r="A2493" s="4">
        <v>2491.0</v>
      </c>
      <c r="B2493" s="5" t="s">
        <v>7480</v>
      </c>
      <c r="C2493" s="4">
        <v>1.0</v>
      </c>
      <c r="D2493" s="5" t="s">
        <v>7481</v>
      </c>
      <c r="E2493" s="5" t="s">
        <v>7482</v>
      </c>
      <c r="F2493" s="6" t="str">
        <f>IFERROR(__xludf.DUMMYFUNCTION("GOOGLETRANSLATE(D2493,""en"",""it"")"),"A lui piace la stupidità e anche l'amore.")</f>
        <v>A lui piace la stupidità e anche l'amore.</v>
      </c>
      <c r="G2493" s="6" t="str">
        <f>IFERROR(__xludf.DUMMYFUNCTION("GOOGLETRANSLATE(E2493,""fr"",""it"")"),"Posso capire la stupidità e anche amore.")</f>
        <v>Posso capire la stupidità e anche amore.</v>
      </c>
    </row>
    <row r="2494">
      <c r="A2494" s="4">
        <v>2492.0</v>
      </c>
      <c r="B2494" s="5" t="s">
        <v>7483</v>
      </c>
      <c r="C2494" s="4">
        <v>0.0</v>
      </c>
      <c r="D2494" s="5" t="s">
        <v>7484</v>
      </c>
      <c r="E2494" s="5" t="s">
        <v>7485</v>
      </c>
      <c r="F2494" s="6" t="str">
        <f>IFERROR(__xludf.DUMMYFUNCTION("GOOGLETRANSLATE(D2494,""en"",""it"")"),"Mi piacciono le mele, tranne la pancetta.")</f>
        <v>Mi piacciono le mele, tranne la pancetta.</v>
      </c>
      <c r="G2494" s="6" t="str">
        <f>IFERROR(__xludf.DUMMYFUNCTION("GOOGLETRANSLATE(E2494,""fr"",""it"")"),"Amo le mele, tranne la pancetta.")</f>
        <v>Amo le mele, tranne la pancetta.</v>
      </c>
    </row>
    <row r="2495">
      <c r="A2495" s="4">
        <v>2493.0</v>
      </c>
      <c r="B2495" s="5" t="s">
        <v>7486</v>
      </c>
      <c r="C2495" s="4">
        <v>1.0</v>
      </c>
      <c r="D2495" s="5" t="s">
        <v>7487</v>
      </c>
      <c r="E2495" s="5" t="s">
        <v>7488</v>
      </c>
      <c r="F2495" s="6" t="str">
        <f>IFERROR(__xludf.DUMMYFUNCTION("GOOGLETRANSLATE(D2495,""en"",""it"")"),"A lui piace anche l'amore e la logica.")</f>
        <v>A lui piace anche l'amore e la logica.</v>
      </c>
      <c r="G2495" s="6" t="str">
        <f>IFERROR(__xludf.DUMMYFUNCTION("GOOGLETRANSLATE(E2495,""fr"",""it"")"),"Posso capire l'amore e anche la logica.")</f>
        <v>Posso capire l'amore e anche la logica.</v>
      </c>
    </row>
    <row r="2496">
      <c r="A2496" s="4">
        <v>2494.0</v>
      </c>
      <c r="B2496" s="5" t="s">
        <v>7489</v>
      </c>
      <c r="C2496" s="4">
        <v>1.0</v>
      </c>
      <c r="D2496" s="5" t="s">
        <v>7490</v>
      </c>
      <c r="E2496" s="5" t="s">
        <v>7491</v>
      </c>
      <c r="F2496" s="6" t="str">
        <f>IFERROR(__xludf.DUMMYFUNCTION("GOOGLETRANSLATE(D2496,""en"",""it"")"),"Gli piace la logica e anche l'amore.")</f>
        <v>Gli piace la logica e anche l'amore.</v>
      </c>
      <c r="G2496" s="6" t="str">
        <f>IFERROR(__xludf.DUMMYFUNCTION("GOOGLETRANSLATE(E2496,""fr"",""it"")"),"Posso capire la logica e anche amore.")</f>
        <v>Posso capire la logica e anche amore.</v>
      </c>
    </row>
    <row r="2497">
      <c r="A2497" s="4">
        <v>2495.0</v>
      </c>
      <c r="B2497" s="5" t="s">
        <v>7492</v>
      </c>
      <c r="C2497" s="4">
        <v>1.0</v>
      </c>
      <c r="D2497" s="5" t="s">
        <v>7493</v>
      </c>
      <c r="E2497" s="5" t="s">
        <v>7494</v>
      </c>
      <c r="F2497" s="6" t="str">
        <f>IFERROR(__xludf.DUMMYFUNCTION("GOOGLETRANSLATE(D2497,""en"",""it"")"),"Gli piace anche l'amore e i calcoli.")</f>
        <v>Gli piace anche l'amore e i calcoli.</v>
      </c>
      <c r="G2497" s="6" t="str">
        <f>IFERROR(__xludf.DUMMYFUNCTION("GOOGLETRANSLATE(E2497,""fr"",""it"")"),"Posso capire l'amore e anche i calcoli.")</f>
        <v>Posso capire l'amore e anche i calcoli.</v>
      </c>
    </row>
    <row r="2498">
      <c r="A2498" s="4">
        <v>2496.0</v>
      </c>
      <c r="B2498" s="5" t="s">
        <v>7495</v>
      </c>
      <c r="C2498" s="4">
        <v>1.0</v>
      </c>
      <c r="D2498" s="5" t="s">
        <v>7496</v>
      </c>
      <c r="E2498" s="5" t="s">
        <v>7497</v>
      </c>
      <c r="F2498" s="6" t="str">
        <f>IFERROR(__xludf.DUMMYFUNCTION("GOOGLETRANSLATE(D2498,""en"",""it"")"),"Gli piacciono i calcoli e anche amare.")</f>
        <v>Gli piacciono i calcoli e anche amare.</v>
      </c>
      <c r="G2498" s="6" t="str">
        <f>IFERROR(__xludf.DUMMYFUNCTION("GOOGLETRANSLATE(E2498,""fr"",""it"")"),"Posso capire i calcoli e anche amore.")</f>
        <v>Posso capire i calcoli e anche amore.</v>
      </c>
    </row>
    <row r="2499">
      <c r="A2499" s="4">
        <v>2497.0</v>
      </c>
      <c r="B2499" s="5" t="s">
        <v>7498</v>
      </c>
      <c r="C2499" s="4">
        <v>1.0</v>
      </c>
      <c r="D2499" s="5" t="s">
        <v>7499</v>
      </c>
      <c r="E2499" s="5" t="s">
        <v>7500</v>
      </c>
      <c r="F2499" s="6" t="str">
        <f>IFERROR(__xludf.DUMMYFUNCTION("GOOGLETRANSLATE(D2499,""en"",""it"")"),"A lui piace la tristezza e anche la saggezza.")</f>
        <v>A lui piace la tristezza e anche la saggezza.</v>
      </c>
      <c r="G2499" s="6" t="str">
        <f>IFERROR(__xludf.DUMMYFUNCTION("GOOGLETRANSLATE(E2499,""fr"",""it"")"),"Posso capire la tristezza e anche la saggezza.")</f>
        <v>Posso capire la tristezza e anche la saggezza.</v>
      </c>
    </row>
    <row r="2500">
      <c r="A2500" s="4">
        <v>2498.0</v>
      </c>
      <c r="B2500" s="5" t="s">
        <v>7501</v>
      </c>
      <c r="C2500" s="4">
        <v>1.0</v>
      </c>
      <c r="D2500" s="5" t="s">
        <v>7502</v>
      </c>
      <c r="E2500" s="5" t="s">
        <v>7503</v>
      </c>
      <c r="F2500" s="6" t="str">
        <f>IFERROR(__xludf.DUMMYFUNCTION("GOOGLETRANSLATE(D2500,""en"",""it"")"),"A lui piace anche la saggezza e la tristezza.")</f>
        <v>A lui piace anche la saggezza e la tristezza.</v>
      </c>
      <c r="G2500" s="6" t="str">
        <f>IFERROR(__xludf.DUMMYFUNCTION("GOOGLETRANSLATE(E2500,""fr"",""it"")"),"Posso capire la saggezza e anche la tristezza.")</f>
        <v>Posso capire la saggezza e anche la tristezza.</v>
      </c>
    </row>
    <row r="2501">
      <c r="A2501" s="4">
        <v>2499.0</v>
      </c>
      <c r="B2501" s="5" t="s">
        <v>7504</v>
      </c>
      <c r="C2501" s="4">
        <v>0.0</v>
      </c>
      <c r="D2501" s="5" t="s">
        <v>7505</v>
      </c>
      <c r="E2501" s="5" t="s">
        <v>7506</v>
      </c>
      <c r="F2501" s="6" t="str">
        <f>IFERROR(__xludf.DUMMYFUNCTION("GOOGLETRANSLATE(D2501,""en"",""it"")"),"A lui piace anche la tristezza e le emozioni.")</f>
        <v>A lui piace anche la tristezza e le emozioni.</v>
      </c>
      <c r="G2501" s="6" t="str">
        <f>IFERROR(__xludf.DUMMYFUNCTION("GOOGLETRANSLATE(E2501,""fr"",""it"")"),"Posso capire la tristezza e anche le emozioni.")</f>
        <v>Posso capire la tristezza e anche le emozioni.</v>
      </c>
    </row>
    <row r="2502">
      <c r="A2502" s="4">
        <v>2500.0</v>
      </c>
      <c r="B2502" s="5" t="s">
        <v>7507</v>
      </c>
      <c r="C2502" s="4">
        <v>0.0</v>
      </c>
      <c r="D2502" s="5" t="s">
        <v>7508</v>
      </c>
      <c r="E2502" s="5" t="s">
        <v>7509</v>
      </c>
      <c r="F2502" s="6" t="str">
        <f>IFERROR(__xludf.DUMMYFUNCTION("GOOGLETRANSLATE(D2502,""en"",""it"")"),"A lui piace anche le emozioni e la tristezza.")</f>
        <v>A lui piace anche le emozioni e la tristezza.</v>
      </c>
      <c r="G2502" s="6" t="str">
        <f>IFERROR(__xludf.DUMMYFUNCTION("GOOGLETRANSLATE(E2502,""fr"",""it"")"),"Posso capire le emozioni e anche la tristezza.")</f>
        <v>Posso capire le emozioni e anche la tristezza.</v>
      </c>
    </row>
    <row r="2503">
      <c r="A2503" s="4">
        <v>2501.0</v>
      </c>
      <c r="B2503" s="5" t="s">
        <v>7510</v>
      </c>
      <c r="C2503" s="4">
        <v>1.0</v>
      </c>
      <c r="D2503" s="5" t="s">
        <v>7511</v>
      </c>
      <c r="E2503" s="5" t="s">
        <v>7512</v>
      </c>
      <c r="F2503" s="6" t="str">
        <f>IFERROR(__xludf.DUMMYFUNCTION("GOOGLETRANSLATE(D2503,""en"",""it"")"),"A lui piace la tristezza e anche la stupidità.")</f>
        <v>A lui piace la tristezza e anche la stupidità.</v>
      </c>
      <c r="G2503" s="6" t="str">
        <f>IFERROR(__xludf.DUMMYFUNCTION("GOOGLETRANSLATE(E2503,""fr"",""it"")"),"Posso capire la tristezza e anche la stupidità.")</f>
        <v>Posso capire la tristezza e anche la stupidità.</v>
      </c>
    </row>
    <row r="2504">
      <c r="A2504" s="4">
        <v>2502.0</v>
      </c>
      <c r="B2504" s="5" t="s">
        <v>7513</v>
      </c>
      <c r="C2504" s="4">
        <v>1.0</v>
      </c>
      <c r="D2504" s="5" t="s">
        <v>7514</v>
      </c>
      <c r="E2504" s="5" t="s">
        <v>7515</v>
      </c>
      <c r="F2504" s="6" t="str">
        <f>IFERROR(__xludf.DUMMYFUNCTION("GOOGLETRANSLATE(D2504,""en"",""it"")"),"A lui piace anche la stupidità e la tristezza.")</f>
        <v>A lui piace anche la stupidità e la tristezza.</v>
      </c>
      <c r="G2504" s="6" t="str">
        <f>IFERROR(__xludf.DUMMYFUNCTION("GOOGLETRANSLATE(E2504,""fr"",""it"")"),"Posso capire la stupidità e anche la tristezza.")</f>
        <v>Posso capire la stupidità e anche la tristezza.</v>
      </c>
    </row>
    <row r="2505">
      <c r="A2505" s="4">
        <v>2503.0</v>
      </c>
      <c r="B2505" s="5" t="s">
        <v>7516</v>
      </c>
      <c r="C2505" s="4">
        <v>1.0</v>
      </c>
      <c r="D2505" s="5" t="s">
        <v>7517</v>
      </c>
      <c r="E2505" s="5" t="s">
        <v>7518</v>
      </c>
      <c r="F2505" s="6" t="str">
        <f>IFERROR(__xludf.DUMMYFUNCTION("GOOGLETRANSLATE(D2505,""en"",""it"")"),"A lui piace anche la tristezza e la logica.")</f>
        <v>A lui piace anche la tristezza e la logica.</v>
      </c>
      <c r="G2505" s="6" t="str">
        <f>IFERROR(__xludf.DUMMYFUNCTION("GOOGLETRANSLATE(E2505,""fr"",""it"")"),"Posso capire la tristezza e anche la logica.")</f>
        <v>Posso capire la tristezza e anche la logica.</v>
      </c>
    </row>
    <row r="2506">
      <c r="A2506" s="4">
        <v>2504.0</v>
      </c>
      <c r="B2506" s="5" t="s">
        <v>7519</v>
      </c>
      <c r="C2506" s="4">
        <v>1.0</v>
      </c>
      <c r="D2506" s="5" t="s">
        <v>7520</v>
      </c>
      <c r="E2506" s="5" t="s">
        <v>7521</v>
      </c>
      <c r="F2506" s="6" t="str">
        <f>IFERROR(__xludf.DUMMYFUNCTION("GOOGLETRANSLATE(D2506,""en"",""it"")"),"A lui piace anche la logica e la tristezza.")</f>
        <v>A lui piace anche la logica e la tristezza.</v>
      </c>
      <c r="G2506" s="6" t="str">
        <f>IFERROR(__xludf.DUMMYFUNCTION("GOOGLETRANSLATE(E2506,""fr"",""it"")"),"Posso capire la logica e anche la tristezza.")</f>
        <v>Posso capire la logica e anche la tristezza.</v>
      </c>
    </row>
    <row r="2507">
      <c r="A2507" s="4">
        <v>2505.0</v>
      </c>
      <c r="B2507" s="5" t="s">
        <v>7522</v>
      </c>
      <c r="C2507" s="4">
        <v>1.0</v>
      </c>
      <c r="D2507" s="5" t="s">
        <v>7523</v>
      </c>
      <c r="E2507" s="5" t="s">
        <v>7524</v>
      </c>
      <c r="F2507" s="6" t="str">
        <f>IFERROR(__xludf.DUMMYFUNCTION("GOOGLETRANSLATE(D2507,""en"",""it"")"),"A lui piace anche la tristezza e i calcoli.")</f>
        <v>A lui piace anche la tristezza e i calcoli.</v>
      </c>
      <c r="G2507" s="6" t="str">
        <f>IFERROR(__xludf.DUMMYFUNCTION("GOOGLETRANSLATE(E2507,""fr"",""it"")"),"Posso capire la tristezza e anche i calcoli.")</f>
        <v>Posso capire la tristezza e anche i calcoli.</v>
      </c>
    </row>
    <row r="2508">
      <c r="A2508" s="4">
        <v>2506.0</v>
      </c>
      <c r="B2508" s="5" t="s">
        <v>7525</v>
      </c>
      <c r="C2508" s="4">
        <v>1.0</v>
      </c>
      <c r="D2508" s="5" t="s">
        <v>7526</v>
      </c>
      <c r="E2508" s="5" t="s">
        <v>7527</v>
      </c>
      <c r="F2508" s="6" t="str">
        <f>IFERROR(__xludf.DUMMYFUNCTION("GOOGLETRANSLATE(D2508,""en"",""it"")"),"Gli piace anche i calcoli e la tristezza.")</f>
        <v>Gli piace anche i calcoli e la tristezza.</v>
      </c>
      <c r="G2508" s="6" t="str">
        <f>IFERROR(__xludf.DUMMYFUNCTION("GOOGLETRANSLATE(E2508,""fr"",""it"")"),"Posso capire i calcoli e anche la tristezza.")</f>
        <v>Posso capire i calcoli e anche la tristezza.</v>
      </c>
    </row>
    <row r="2509">
      <c r="A2509" s="4">
        <v>2507.0</v>
      </c>
      <c r="B2509" s="5" t="s">
        <v>7528</v>
      </c>
      <c r="C2509" s="4">
        <v>1.0</v>
      </c>
      <c r="D2509" s="5" t="s">
        <v>7529</v>
      </c>
      <c r="E2509" s="5" t="s">
        <v>7530</v>
      </c>
      <c r="F2509" s="6" t="str">
        <f>IFERROR(__xludf.DUMMYFUNCTION("GOOGLETRANSLATE(D2509,""en"",""it"")"),"Mi piacciono i libri di testo e anche la musica.")</f>
        <v>Mi piacciono i libri di testo e anche la musica.</v>
      </c>
      <c r="G2509" s="6" t="str">
        <f>IFERROR(__xludf.DUMMYFUNCTION("GOOGLETRANSLATE(E2509,""fr"",""it"")"),"Mi piacciono i libri di testo scolastici e anche la musica.")</f>
        <v>Mi piacciono i libri di testo scolastici e anche la musica.</v>
      </c>
    </row>
    <row r="2510">
      <c r="A2510" s="4">
        <v>2508.0</v>
      </c>
      <c r="B2510" s="5" t="s">
        <v>7531</v>
      </c>
      <c r="C2510" s="4">
        <v>1.0</v>
      </c>
      <c r="D2510" s="5" t="s">
        <v>7532</v>
      </c>
      <c r="E2510" s="5" t="s">
        <v>7533</v>
      </c>
      <c r="F2510" s="6" t="str">
        <f>IFERROR(__xludf.DUMMYFUNCTION("GOOGLETRANSLATE(D2510,""en"",""it"")"),"Mi piace anche la musica e i libri di testo.")</f>
        <v>Mi piace anche la musica e i libri di testo.</v>
      </c>
      <c r="G2510" s="6" t="str">
        <f>IFERROR(__xludf.DUMMYFUNCTION("GOOGLETRANSLATE(E2510,""fr"",""it"")"),"Amo la musica e anche i libri di testo.")</f>
        <v>Amo la musica e anche i libri di testo.</v>
      </c>
    </row>
    <row r="2511">
      <c r="A2511" s="4">
        <v>2509.0</v>
      </c>
      <c r="B2511" s="5" t="s">
        <v>7534</v>
      </c>
      <c r="C2511" s="4">
        <v>0.0</v>
      </c>
      <c r="D2511" s="5" t="s">
        <v>7535</v>
      </c>
      <c r="E2511" s="5" t="s">
        <v>7536</v>
      </c>
      <c r="F2511" s="6" t="str">
        <f>IFERROR(__xludf.DUMMYFUNCTION("GOOGLETRANSLATE(D2511,""en"",""it"")"),"Mi piacciono i libri di testo e i libri.")</f>
        <v>Mi piacciono i libri di testo e i libri.</v>
      </c>
      <c r="G2511" s="6" t="str">
        <f>IFERROR(__xludf.DUMMYFUNCTION("GOOGLETRANSLATE(E2511,""fr"",""it"")"),"Mi piacciono i libri di testo scolastici e anche i libri.")</f>
        <v>Mi piacciono i libri di testo scolastici e anche i libri.</v>
      </c>
    </row>
    <row r="2512">
      <c r="A2512" s="4">
        <v>2510.0</v>
      </c>
      <c r="B2512" s="5" t="s">
        <v>7537</v>
      </c>
      <c r="C2512" s="4">
        <v>0.0</v>
      </c>
      <c r="D2512" s="5" t="s">
        <v>7538</v>
      </c>
      <c r="E2512" s="5" t="s">
        <v>7539</v>
      </c>
      <c r="F2512" s="6" t="str">
        <f>IFERROR(__xludf.DUMMYFUNCTION("GOOGLETRANSLATE(D2512,""en"",""it"")"),"Mi piacciono anche i libri e libri di testo.")</f>
        <v>Mi piacciono anche i libri e libri di testo.</v>
      </c>
      <c r="G2512" s="6" t="str">
        <f>IFERROR(__xludf.DUMMYFUNCTION("GOOGLETRANSLATE(E2512,""fr"",""it"")"),"Mi piacciono i libri e anche i libri di testo.")</f>
        <v>Mi piacciono i libri e anche i libri di testo.</v>
      </c>
    </row>
    <row r="2513">
      <c r="A2513" s="4">
        <v>2511.0</v>
      </c>
      <c r="B2513" s="5" t="s">
        <v>7540</v>
      </c>
      <c r="C2513" s="4">
        <v>1.0</v>
      </c>
      <c r="D2513" s="5" t="s">
        <v>7541</v>
      </c>
      <c r="E2513" s="5" t="s">
        <v>7542</v>
      </c>
      <c r="F2513" s="6" t="str">
        <f>IFERROR(__xludf.DUMMYFUNCTION("GOOGLETRANSLATE(D2513,""en"",""it"")"),"Mi piacciono anche i libri e la musica.")</f>
        <v>Mi piacciono anche i libri e la musica.</v>
      </c>
      <c r="G2513" s="6" t="str">
        <f>IFERROR(__xludf.DUMMYFUNCTION("GOOGLETRANSLATE(E2513,""fr"",""it"")"),"Mi piacciono i libri e anche la musica.")</f>
        <v>Mi piacciono i libri e anche la musica.</v>
      </c>
    </row>
    <row r="2514">
      <c r="A2514" s="4">
        <v>2512.0</v>
      </c>
      <c r="B2514" s="5" t="s">
        <v>7543</v>
      </c>
      <c r="C2514" s="4">
        <v>1.0</v>
      </c>
      <c r="D2514" s="5" t="s">
        <v>7544</v>
      </c>
      <c r="E2514" s="5" t="s">
        <v>7545</v>
      </c>
      <c r="F2514" s="6" t="str">
        <f>IFERROR(__xludf.DUMMYFUNCTION("GOOGLETRANSLATE(D2514,""en"",""it"")"),"Mi piacciono anche i libri di manuale e i film.")</f>
        <v>Mi piacciono anche i libri di manuale e i film.</v>
      </c>
      <c r="G2514" s="6" t="str">
        <f>IFERROR(__xludf.DUMMYFUNCTION("GOOGLETRANSLATE(E2514,""fr"",""it"")"),"Mi piacciono i libri di testo scolastici e anche il cinema.")</f>
        <v>Mi piacciono i libri di testo scolastici e anche il cinema.</v>
      </c>
    </row>
    <row r="2515">
      <c r="A2515" s="4">
        <v>2513.0</v>
      </c>
      <c r="B2515" s="5" t="s">
        <v>7546</v>
      </c>
      <c r="C2515" s="4">
        <v>1.0</v>
      </c>
      <c r="D2515" s="5" t="s">
        <v>7547</v>
      </c>
      <c r="E2515" s="5" t="s">
        <v>7548</v>
      </c>
      <c r="F2515" s="6" t="str">
        <f>IFERROR(__xludf.DUMMYFUNCTION("GOOGLETRANSLATE(D2515,""en"",""it"")"),"Mi piacciono anche i film e libri di testo.")</f>
        <v>Mi piacciono anche i film e libri di testo.</v>
      </c>
      <c r="G2515" s="6" t="str">
        <f>IFERROR(__xludf.DUMMYFUNCTION("GOOGLETRANSLATE(E2515,""fr"",""it"")"),"Amo il cinema e anche i libri di testo.")</f>
        <v>Amo il cinema e anche i libri di testo.</v>
      </c>
    </row>
    <row r="2516">
      <c r="A2516" s="4">
        <v>2514.0</v>
      </c>
      <c r="B2516" s="5" t="s">
        <v>7549</v>
      </c>
      <c r="C2516" s="4">
        <v>0.0</v>
      </c>
      <c r="D2516" s="5" t="s">
        <v>7550</v>
      </c>
      <c r="E2516" s="5" t="s">
        <v>7551</v>
      </c>
      <c r="F2516" s="6" t="str">
        <f>IFERROR(__xludf.DUMMYFUNCTION("GOOGLETRANSLATE(D2516,""en"",""it"")"),"Mi piace la pancetta, tranne le carote.")</f>
        <v>Mi piace la pancetta, tranne le carote.</v>
      </c>
      <c r="G2516" s="6" t="str">
        <f>IFERROR(__xludf.DUMMYFUNCTION("GOOGLETRANSLATE(E2516,""fr"",""it"")"),"Adoro la pancetta, tranne le carote.")</f>
        <v>Adoro la pancetta, tranne le carote.</v>
      </c>
    </row>
    <row r="2517">
      <c r="A2517" s="4">
        <v>2515.0</v>
      </c>
      <c r="B2517" s="5" t="s">
        <v>7552</v>
      </c>
      <c r="C2517" s="4">
        <v>1.0</v>
      </c>
      <c r="D2517" s="5" t="s">
        <v>7553</v>
      </c>
      <c r="E2517" s="5" t="s">
        <v>7554</v>
      </c>
      <c r="F2517" s="6" t="str">
        <f>IFERROR(__xludf.DUMMYFUNCTION("GOOGLETRANSLATE(D2517,""en"",""it"")"),"Mi piacciono anche i libri e i film.")</f>
        <v>Mi piacciono anche i libri e i film.</v>
      </c>
      <c r="G2517" s="6" t="str">
        <f>IFERROR(__xludf.DUMMYFUNCTION("GOOGLETRANSLATE(E2517,""fr"",""it"")"),"Mi piacciono i libri e anche il cinema.")</f>
        <v>Mi piacciono i libri e anche il cinema.</v>
      </c>
    </row>
    <row r="2518">
      <c r="A2518" s="4">
        <v>2516.0</v>
      </c>
      <c r="B2518" s="5" t="s">
        <v>7555</v>
      </c>
      <c r="C2518" s="4">
        <v>1.0</v>
      </c>
      <c r="D2518" s="5" t="s">
        <v>7556</v>
      </c>
      <c r="E2518" s="5" t="s">
        <v>7557</v>
      </c>
      <c r="F2518" s="6" t="str">
        <f>IFERROR(__xludf.DUMMYFUNCTION("GOOGLETRANSLATE(D2518,""en"",""it"")"),"Mi piacciono i libri di testo e anche i cartoni animati.")</f>
        <v>Mi piacciono i libri di testo e anche i cartoni animati.</v>
      </c>
      <c r="G2518" s="6" t="str">
        <f>IFERROR(__xludf.DUMMYFUNCTION("GOOGLETRANSLATE(E2518,""fr"",""it"")"),"Mi piacciono i libri di testo scolastici e anche i cartoni animati.")</f>
        <v>Mi piacciono i libri di testo scolastici e anche i cartoni animati.</v>
      </c>
    </row>
    <row r="2519">
      <c r="A2519" s="4">
        <v>2517.0</v>
      </c>
      <c r="B2519" s="5" t="s">
        <v>7558</v>
      </c>
      <c r="C2519" s="4">
        <v>1.0</v>
      </c>
      <c r="D2519" s="5" t="s">
        <v>7559</v>
      </c>
      <c r="E2519" s="5" t="s">
        <v>7560</v>
      </c>
      <c r="F2519" s="6" t="str">
        <f>IFERROR(__xludf.DUMMYFUNCTION("GOOGLETRANSLATE(D2519,""en"",""it"")"),"Mi piacciono anche i cartoni animati e libri di testo.")</f>
        <v>Mi piacciono anche i cartoni animati e libri di testo.</v>
      </c>
      <c r="G2519" s="6" t="str">
        <f>IFERROR(__xludf.DUMMYFUNCTION("GOOGLETRANSLATE(E2519,""fr"",""it"")"),"Mi piacciono i cartoni animati e anche i libri di testo.")</f>
        <v>Mi piacciono i cartoni animati e anche i libri di testo.</v>
      </c>
    </row>
    <row r="2520">
      <c r="A2520" s="4">
        <v>2518.0</v>
      </c>
      <c r="B2520" s="5" t="s">
        <v>7561</v>
      </c>
      <c r="C2520" s="4">
        <v>1.0</v>
      </c>
      <c r="D2520" s="5" t="s">
        <v>7562</v>
      </c>
      <c r="E2520" s="5" t="s">
        <v>7563</v>
      </c>
      <c r="F2520" s="6" t="str">
        <f>IFERROR(__xludf.DUMMYFUNCTION("GOOGLETRANSLATE(D2520,""en"",""it"")"),"Mi piacciono i libri e anche i cartoni animati.")</f>
        <v>Mi piacciono i libri e anche i cartoni animati.</v>
      </c>
      <c r="G2520" s="6" t="str">
        <f>IFERROR(__xludf.DUMMYFUNCTION("GOOGLETRANSLATE(E2520,""fr"",""it"")"),"Mi piacciono i libri e anche i cartoni animati.")</f>
        <v>Mi piacciono i libri e anche i cartoni animati.</v>
      </c>
    </row>
    <row r="2521">
      <c r="A2521" s="4">
        <v>2519.0</v>
      </c>
      <c r="B2521" s="5" t="s">
        <v>7564</v>
      </c>
      <c r="C2521" s="4">
        <v>1.0</v>
      </c>
      <c r="D2521" s="5" t="s">
        <v>7565</v>
      </c>
      <c r="E2521" s="5" t="s">
        <v>7566</v>
      </c>
      <c r="F2521" s="6" t="str">
        <f>IFERROR(__xludf.DUMMYFUNCTION("GOOGLETRANSLATE(D2521,""en"",""it"")"),"Mi piacciono i libri di testo e anche i dipinti.")</f>
        <v>Mi piacciono i libri di testo e anche i dipinti.</v>
      </c>
      <c r="G2521" s="6" t="str">
        <f>IFERROR(__xludf.DUMMYFUNCTION("GOOGLETRANSLATE(E2521,""fr"",""it"")"),"Mi piacciono i libri di testo scolastici e anche i dipinti.")</f>
        <v>Mi piacciono i libri di testo scolastici e anche i dipinti.</v>
      </c>
    </row>
    <row r="2522">
      <c r="A2522" s="4">
        <v>2520.0</v>
      </c>
      <c r="B2522" s="5" t="s">
        <v>7567</v>
      </c>
      <c r="C2522" s="4">
        <v>1.0</v>
      </c>
      <c r="D2522" s="5" t="s">
        <v>7568</v>
      </c>
      <c r="E2522" s="5" t="s">
        <v>7569</v>
      </c>
      <c r="F2522" s="6" t="str">
        <f>IFERROR(__xludf.DUMMYFUNCTION("GOOGLETRANSLATE(D2522,""en"",""it"")"),"Mi piacciono anche i dipinti e i libri di testo.")</f>
        <v>Mi piacciono anche i dipinti e i libri di testo.</v>
      </c>
      <c r="G2522" s="6" t="str">
        <f>IFERROR(__xludf.DUMMYFUNCTION("GOOGLETRANSLATE(E2522,""fr"",""it"")"),"Amo i dipinti e anche i libri di testo.")</f>
        <v>Amo i dipinti e anche i libri di testo.</v>
      </c>
    </row>
    <row r="2523">
      <c r="A2523" s="4">
        <v>2521.0</v>
      </c>
      <c r="B2523" s="5" t="s">
        <v>7570</v>
      </c>
      <c r="C2523" s="4">
        <v>0.0</v>
      </c>
      <c r="D2523" s="5" t="s">
        <v>7571</v>
      </c>
      <c r="E2523" s="5" t="s">
        <v>7572</v>
      </c>
      <c r="F2523" s="6" t="str">
        <f>IFERROR(__xludf.DUMMYFUNCTION("GOOGLETRANSLATE(D2523,""en"",""it"")"),"Mi piacciono le carote, tranne la pancetta.")</f>
        <v>Mi piacciono le carote, tranne la pancetta.</v>
      </c>
      <c r="G2523" s="6" t="str">
        <f>IFERROR(__xludf.DUMMYFUNCTION("GOOGLETRANSLATE(E2523,""fr"",""it"")"),"Adoro le carote tranne la pancetta.")</f>
        <v>Adoro le carote tranne la pancetta.</v>
      </c>
    </row>
    <row r="2524">
      <c r="A2524" s="4">
        <v>2522.0</v>
      </c>
      <c r="B2524" s="5" t="s">
        <v>7573</v>
      </c>
      <c r="C2524" s="4">
        <v>1.0</v>
      </c>
      <c r="D2524" s="5" t="s">
        <v>7574</v>
      </c>
      <c r="E2524" s="5" t="s">
        <v>7575</v>
      </c>
      <c r="F2524" s="6" t="str">
        <f>IFERROR(__xludf.DUMMYFUNCTION("GOOGLETRANSLATE(D2524,""en"",""it"")"),"Mi piacciono anche i libri e i dipinti.")</f>
        <v>Mi piacciono anche i libri e i dipinti.</v>
      </c>
      <c r="G2524" s="6" t="str">
        <f>IFERROR(__xludf.DUMMYFUNCTION("GOOGLETRANSLATE(E2524,""fr"",""it"")"),"Mi piacciono i libri e anche i dipinti.")</f>
        <v>Mi piacciono i libri e anche i dipinti.</v>
      </c>
    </row>
    <row r="2525">
      <c r="A2525" s="4">
        <v>2523.0</v>
      </c>
      <c r="B2525" s="5" t="s">
        <v>7576</v>
      </c>
      <c r="C2525" s="4">
        <v>1.0</v>
      </c>
      <c r="D2525" s="5" t="s">
        <v>7577</v>
      </c>
      <c r="E2525" s="5" t="s">
        <v>7578</v>
      </c>
      <c r="F2525" s="6" t="str">
        <f>IFERROR(__xludf.DUMMYFUNCTION("GOOGLETRANSLATE(D2525,""en"",""it"")"),"Mi piacciono i saggi e anche la musica.")</f>
        <v>Mi piacciono i saggi e anche la musica.</v>
      </c>
      <c r="G2525" s="6" t="str">
        <f>IFERROR(__xludf.DUMMYFUNCTION("GOOGLETRANSLATE(E2525,""fr"",""it"")"),"Mi piacciono i test e anche la musica.")</f>
        <v>Mi piacciono i test e anche la musica.</v>
      </c>
    </row>
    <row r="2526">
      <c r="A2526" s="4">
        <v>2524.0</v>
      </c>
      <c r="B2526" s="5" t="s">
        <v>7579</v>
      </c>
      <c r="C2526" s="4">
        <v>1.0</v>
      </c>
      <c r="D2526" s="5" t="s">
        <v>7580</v>
      </c>
      <c r="E2526" s="5" t="s">
        <v>7581</v>
      </c>
      <c r="F2526" s="6" t="str">
        <f>IFERROR(__xludf.DUMMYFUNCTION("GOOGLETRANSLATE(D2526,""en"",""it"")"),"Mi piace anche la musica e i saggi.")</f>
        <v>Mi piace anche la musica e i saggi.</v>
      </c>
      <c r="G2526" s="6" t="str">
        <f>IFERROR(__xludf.DUMMYFUNCTION("GOOGLETRANSLATE(E2526,""fr"",""it"")"),"Mi piace la musica e anche i test.")</f>
        <v>Mi piace la musica e anche i test.</v>
      </c>
    </row>
    <row r="2527">
      <c r="A2527" s="4">
        <v>2525.0</v>
      </c>
      <c r="B2527" s="5" t="s">
        <v>7582</v>
      </c>
      <c r="C2527" s="4">
        <v>0.0</v>
      </c>
      <c r="D2527" s="5" t="s">
        <v>7583</v>
      </c>
      <c r="E2527" s="5" t="s">
        <v>7584</v>
      </c>
      <c r="F2527" s="6" t="str">
        <f>IFERROR(__xludf.DUMMYFUNCTION("GOOGLETRANSLATE(D2527,""en"",""it"")"),"Mi piacciono i saggi ei libri.")</f>
        <v>Mi piacciono i saggi ei libri.</v>
      </c>
      <c r="G2527" s="6" t="str">
        <f>IFERROR(__xludf.DUMMYFUNCTION("GOOGLETRANSLATE(E2527,""fr"",""it"")"),"Mi piacciono i test, e anche i libri.")</f>
        <v>Mi piacciono i test, e anche i libri.</v>
      </c>
    </row>
    <row r="2528">
      <c r="A2528" s="4">
        <v>2526.0</v>
      </c>
      <c r="B2528" s="5" t="s">
        <v>7585</v>
      </c>
      <c r="C2528" s="4">
        <v>0.0</v>
      </c>
      <c r="D2528" s="5" t="s">
        <v>7586</v>
      </c>
      <c r="E2528" s="5" t="s">
        <v>7587</v>
      </c>
      <c r="F2528" s="6" t="str">
        <f>IFERROR(__xludf.DUMMYFUNCTION("GOOGLETRANSLATE(D2528,""en"",""it"")"),"Mi piacciono anche i libri e i saggi.")</f>
        <v>Mi piacciono anche i libri e i saggi.</v>
      </c>
      <c r="G2528" s="6" t="str">
        <f>IFERROR(__xludf.DUMMYFUNCTION("GOOGLETRANSLATE(E2528,""fr"",""it"")"),"Mi piacciono i libri, e anche i test.")</f>
        <v>Mi piacciono i libri, e anche i test.</v>
      </c>
    </row>
    <row r="2529">
      <c r="A2529" s="4">
        <v>2527.0</v>
      </c>
      <c r="B2529" s="5" t="s">
        <v>7588</v>
      </c>
      <c r="C2529" s="4">
        <v>1.0</v>
      </c>
      <c r="D2529" s="5" t="s">
        <v>7589</v>
      </c>
      <c r="E2529" s="5" t="s">
        <v>7590</v>
      </c>
      <c r="F2529" s="6" t="str">
        <f>IFERROR(__xludf.DUMMYFUNCTION("GOOGLETRANSLATE(D2529,""en"",""it"")"),"Mi piacciono anche i saggi e i film.")</f>
        <v>Mi piacciono anche i saggi e i film.</v>
      </c>
      <c r="G2529" s="6" t="str">
        <f>IFERROR(__xludf.DUMMYFUNCTION("GOOGLETRANSLATE(E2529,""fr"",""it"")"),"Amo i test e anche il cinema.")</f>
        <v>Amo i test e anche il cinema.</v>
      </c>
    </row>
    <row r="2530">
      <c r="A2530" s="4">
        <v>2528.0</v>
      </c>
      <c r="B2530" s="5" t="s">
        <v>7591</v>
      </c>
      <c r="C2530" s="4">
        <v>1.0</v>
      </c>
      <c r="D2530" s="5" t="s">
        <v>7592</v>
      </c>
      <c r="E2530" s="5" t="s">
        <v>7593</v>
      </c>
      <c r="F2530" s="6" t="str">
        <f>IFERROR(__xludf.DUMMYFUNCTION("GOOGLETRANSLATE(D2530,""en"",""it"")"),"Mi piacciono i film e i saggi anche.")</f>
        <v>Mi piacciono i film e i saggi anche.</v>
      </c>
      <c r="G2530" s="6" t="str">
        <f>IFERROR(__xludf.DUMMYFUNCTION("GOOGLETRANSLATE(E2530,""fr"",""it"")"),"Amo il cinema e anche i test.")</f>
        <v>Amo il cinema e anche i test.</v>
      </c>
    </row>
    <row r="2531">
      <c r="A2531" s="4">
        <v>2529.0</v>
      </c>
      <c r="B2531" s="5" t="s">
        <v>7594</v>
      </c>
      <c r="C2531" s="4">
        <v>1.0</v>
      </c>
      <c r="D2531" s="5" t="s">
        <v>7595</v>
      </c>
      <c r="E2531" s="5" t="s">
        <v>7596</v>
      </c>
      <c r="F2531" s="6" t="str">
        <f>IFERROR(__xludf.DUMMYFUNCTION("GOOGLETRANSLATE(D2531,""en"",""it"")"),"Mi piacciono i saggi e anche i cartoni animati.")</f>
        <v>Mi piacciono i saggi e anche i cartoni animati.</v>
      </c>
      <c r="G2531" s="6" t="str">
        <f>IFERROR(__xludf.DUMMYFUNCTION("GOOGLETRANSLATE(E2531,""fr"",""it"")"),"Mi piacciono i test e anche i cartoni animati.")</f>
        <v>Mi piacciono i test e anche i cartoni animati.</v>
      </c>
    </row>
    <row r="2532">
      <c r="A2532" s="4">
        <v>2530.0</v>
      </c>
      <c r="B2532" s="5" t="s">
        <v>7597</v>
      </c>
      <c r="C2532" s="4">
        <v>1.0</v>
      </c>
      <c r="D2532" s="5" t="s">
        <v>7598</v>
      </c>
      <c r="E2532" s="5" t="s">
        <v>7599</v>
      </c>
      <c r="F2532" s="6" t="str">
        <f>IFERROR(__xludf.DUMMYFUNCTION("GOOGLETRANSLATE(D2532,""en"",""it"")"),"Mi piacciono i cartoni animati e i saggi.")</f>
        <v>Mi piacciono i cartoni animati e i saggi.</v>
      </c>
      <c r="G2532" s="6" t="str">
        <f>IFERROR(__xludf.DUMMYFUNCTION("GOOGLETRANSLATE(E2532,""fr"",""it"")"),"Mi piacciono i cartoni animati e anche i test.")</f>
        <v>Mi piacciono i cartoni animati e anche i test.</v>
      </c>
    </row>
    <row r="2533">
      <c r="A2533" s="4">
        <v>2531.0</v>
      </c>
      <c r="B2533" s="5" t="s">
        <v>7600</v>
      </c>
      <c r="C2533" s="4">
        <v>1.0</v>
      </c>
      <c r="D2533" s="5" t="s">
        <v>7601</v>
      </c>
      <c r="E2533" s="5" t="s">
        <v>7602</v>
      </c>
      <c r="F2533" s="6" t="str">
        <f>IFERROR(__xludf.DUMMYFUNCTION("GOOGLETRANSLATE(D2533,""en"",""it"")"),"Mi piacciono anche i saggi e i dipinti.")</f>
        <v>Mi piacciono anche i saggi e i dipinti.</v>
      </c>
      <c r="G2533" s="6" t="str">
        <f>IFERROR(__xludf.DUMMYFUNCTION("GOOGLETRANSLATE(E2533,""fr"",""it"")"),"Amo i test e anche i dipinti.")</f>
        <v>Amo i test e anche i dipinti.</v>
      </c>
    </row>
    <row r="2534">
      <c r="A2534" s="4">
        <v>2532.0</v>
      </c>
      <c r="B2534" s="5" t="s">
        <v>7603</v>
      </c>
      <c r="C2534" s="4">
        <v>1.0</v>
      </c>
      <c r="D2534" s="5" t="s">
        <v>7604</v>
      </c>
      <c r="E2534" s="5" t="s">
        <v>7605</v>
      </c>
      <c r="F2534" s="6" t="str">
        <f>IFERROR(__xludf.DUMMYFUNCTION("GOOGLETRANSLATE(D2534,""en"",""it"")"),"Mi piacciono anche i dipinti e i saggi.")</f>
        <v>Mi piacciono anche i dipinti e i saggi.</v>
      </c>
      <c r="G2534" s="6" t="str">
        <f>IFERROR(__xludf.DUMMYFUNCTION("GOOGLETRANSLATE(E2534,""fr"",""it"")"),"Amo i dipinti e anche i test.")</f>
        <v>Amo i dipinti e anche i test.</v>
      </c>
    </row>
    <row r="2535">
      <c r="A2535" s="4">
        <v>2533.0</v>
      </c>
      <c r="B2535" s="5" t="s">
        <v>7606</v>
      </c>
      <c r="C2535" s="4">
        <v>0.0</v>
      </c>
      <c r="D2535" s="5" t="s">
        <v>7607</v>
      </c>
      <c r="E2535" s="5" t="s">
        <v>7608</v>
      </c>
      <c r="F2535" s="6" t="str">
        <f>IFERROR(__xludf.DUMMYFUNCTION("GOOGLETRANSLATE(D2535,""en"",""it"")"),"Mi piacciono i passeri, tranne i gatti.")</f>
        <v>Mi piacciono i passeri, tranne i gatti.</v>
      </c>
      <c r="G2535" s="6" t="str">
        <f>IFERROR(__xludf.DUMMYFUNCTION("GOOGLETRANSLATE(E2535,""fr"",""it"")"),"Adoro i passeri tranne i gatti.")</f>
        <v>Adoro i passeri tranne i gatti.</v>
      </c>
    </row>
    <row r="2536">
      <c r="A2536" s="4">
        <v>2534.0</v>
      </c>
      <c r="B2536" s="5" t="s">
        <v>7609</v>
      </c>
      <c r="C2536" s="4">
        <v>1.0</v>
      </c>
      <c r="D2536" s="5" t="s">
        <v>7610</v>
      </c>
      <c r="E2536" s="5" t="s">
        <v>7611</v>
      </c>
      <c r="F2536" s="6" t="str">
        <f>IFERROR(__xludf.DUMMYFUNCTION("GOOGLETRANSLATE(D2536,""en"",""it"")"),"Mi piacciono i romanzi e anche la musica.")</f>
        <v>Mi piacciono i romanzi e anche la musica.</v>
      </c>
      <c r="G2536" s="6" t="str">
        <f>IFERROR(__xludf.DUMMYFUNCTION("GOOGLETRANSLATE(E2536,""fr"",""it"")"),"Amo i romanzi e anche la musica.")</f>
        <v>Amo i romanzi e anche la musica.</v>
      </c>
    </row>
    <row r="2537">
      <c r="A2537" s="4">
        <v>2535.0</v>
      </c>
      <c r="B2537" s="5" t="s">
        <v>7612</v>
      </c>
      <c r="C2537" s="4">
        <v>1.0</v>
      </c>
      <c r="D2537" s="5" t="s">
        <v>7613</v>
      </c>
      <c r="E2537" s="5" t="s">
        <v>7614</v>
      </c>
      <c r="F2537" s="6" t="str">
        <f>IFERROR(__xludf.DUMMYFUNCTION("GOOGLETRANSLATE(D2537,""en"",""it"")"),"Mi piace anche la musica e i romanzi.")</f>
        <v>Mi piace anche la musica e i romanzi.</v>
      </c>
      <c r="G2537" s="6" t="str">
        <f>IFERROR(__xludf.DUMMYFUNCTION("GOOGLETRANSLATE(E2537,""fr"",""it"")"),"Amo la musica e anche i romanzi.")</f>
        <v>Amo la musica e anche i romanzi.</v>
      </c>
    </row>
    <row r="2538">
      <c r="A2538" s="4">
        <v>2536.0</v>
      </c>
      <c r="B2538" s="5" t="s">
        <v>7615</v>
      </c>
      <c r="C2538" s="4">
        <v>0.0</v>
      </c>
      <c r="D2538" s="5" t="s">
        <v>7616</v>
      </c>
      <c r="E2538" s="5" t="s">
        <v>7617</v>
      </c>
      <c r="F2538" s="6" t="str">
        <f>IFERROR(__xludf.DUMMYFUNCTION("GOOGLETRANSLATE(D2538,""en"",""it"")"),"Mi piacciono anche i romanzi e i libri.")</f>
        <v>Mi piacciono anche i romanzi e i libri.</v>
      </c>
      <c r="G2538" s="6" t="str">
        <f>IFERROR(__xludf.DUMMYFUNCTION("GOOGLETRANSLATE(E2538,""fr"",""it"")"),"Amo i romanzi, e anche i libri.")</f>
        <v>Amo i romanzi, e anche i libri.</v>
      </c>
    </row>
    <row r="2539">
      <c r="A2539" s="4">
        <v>2537.0</v>
      </c>
      <c r="B2539" s="5" t="s">
        <v>7618</v>
      </c>
      <c r="C2539" s="4">
        <v>0.0</v>
      </c>
      <c r="D2539" s="5" t="s">
        <v>7619</v>
      </c>
      <c r="E2539" s="5" t="s">
        <v>7620</v>
      </c>
      <c r="F2539" s="6" t="str">
        <f>IFERROR(__xludf.DUMMYFUNCTION("GOOGLETRANSLATE(D2539,""en"",""it"")"),"Mi piacciono i libri e anche i romanzi.")</f>
        <v>Mi piacciono i libri e anche i romanzi.</v>
      </c>
      <c r="G2539" s="6" t="str">
        <f>IFERROR(__xludf.DUMMYFUNCTION("GOOGLETRANSLATE(E2539,""fr"",""it"")"),"Mi piacciono i libri e anche i romanzi.")</f>
        <v>Mi piacciono i libri e anche i romanzi.</v>
      </c>
    </row>
    <row r="2540">
      <c r="A2540" s="4">
        <v>2538.0</v>
      </c>
      <c r="B2540" s="5" t="s">
        <v>7621</v>
      </c>
      <c r="C2540" s="4">
        <v>1.0</v>
      </c>
      <c r="D2540" s="5" t="s">
        <v>7622</v>
      </c>
      <c r="E2540" s="5" t="s">
        <v>7623</v>
      </c>
      <c r="F2540" s="6" t="str">
        <f>IFERROR(__xludf.DUMMYFUNCTION("GOOGLETRANSLATE(D2540,""en"",""it"")"),"Mi piacciono anche i romanzi e i film.")</f>
        <v>Mi piacciono anche i romanzi e i film.</v>
      </c>
      <c r="G2540" s="6" t="str">
        <f>IFERROR(__xludf.DUMMYFUNCTION("GOOGLETRANSLATE(E2540,""fr"",""it"")"),"Amo i romanzi e anche il cinema.")</f>
        <v>Amo i romanzi e anche il cinema.</v>
      </c>
    </row>
    <row r="2541">
      <c r="A2541" s="4">
        <v>2539.0</v>
      </c>
      <c r="B2541" s="5" t="s">
        <v>7624</v>
      </c>
      <c r="C2541" s="4">
        <v>1.0</v>
      </c>
      <c r="D2541" s="5" t="s">
        <v>7625</v>
      </c>
      <c r="E2541" s="5" t="s">
        <v>7626</v>
      </c>
      <c r="F2541" s="6" t="str">
        <f>IFERROR(__xludf.DUMMYFUNCTION("GOOGLETRANSLATE(D2541,""en"",""it"")"),"Mi piacciono anche i film e i romanzi.")</f>
        <v>Mi piacciono anche i film e i romanzi.</v>
      </c>
      <c r="G2541" s="6" t="str">
        <f>IFERROR(__xludf.DUMMYFUNCTION("GOOGLETRANSLATE(E2541,""fr"",""it"")"),"Amo il cinema e anche i romanzi.")</f>
        <v>Amo il cinema e anche i romanzi.</v>
      </c>
    </row>
    <row r="2542">
      <c r="A2542" s="4">
        <v>2540.0</v>
      </c>
      <c r="B2542" s="5" t="s">
        <v>7627</v>
      </c>
      <c r="C2542" s="4">
        <v>1.0</v>
      </c>
      <c r="D2542" s="5" t="s">
        <v>7628</v>
      </c>
      <c r="E2542" s="5" t="s">
        <v>7629</v>
      </c>
      <c r="F2542" s="6" t="str">
        <f>IFERROR(__xludf.DUMMYFUNCTION("GOOGLETRANSLATE(D2542,""en"",""it"")"),"Mi piacciono i romanzi e anche i cartoni animati.")</f>
        <v>Mi piacciono i romanzi e anche i cartoni animati.</v>
      </c>
      <c r="G2542" s="6" t="str">
        <f>IFERROR(__xludf.DUMMYFUNCTION("GOOGLETRANSLATE(E2542,""fr"",""it"")"),"Amo i romanzi e anche i cartoni animati.")</f>
        <v>Amo i romanzi e anche i cartoni animati.</v>
      </c>
    </row>
    <row r="2543">
      <c r="A2543" s="4">
        <v>2541.0</v>
      </c>
      <c r="B2543" s="5" t="s">
        <v>7630</v>
      </c>
      <c r="C2543" s="4">
        <v>1.0</v>
      </c>
      <c r="D2543" s="5" t="s">
        <v>7631</v>
      </c>
      <c r="E2543" s="5" t="s">
        <v>7632</v>
      </c>
      <c r="F2543" s="6" t="str">
        <f>IFERROR(__xludf.DUMMYFUNCTION("GOOGLETRANSLATE(D2543,""en"",""it"")"),"Mi piacciono i cartoni animati e anche i romanzi.")</f>
        <v>Mi piacciono i cartoni animati e anche i romanzi.</v>
      </c>
      <c r="G2543" s="6" t="str">
        <f>IFERROR(__xludf.DUMMYFUNCTION("GOOGLETRANSLATE(E2543,""fr"",""it"")"),"Mi piacciono i cartoni animati e anche i romanzi.")</f>
        <v>Mi piacciono i cartoni animati e anche i romanzi.</v>
      </c>
    </row>
    <row r="2544">
      <c r="A2544" s="4">
        <v>2542.0</v>
      </c>
      <c r="B2544" s="5" t="s">
        <v>7633</v>
      </c>
      <c r="C2544" s="4">
        <v>1.0</v>
      </c>
      <c r="D2544" s="5" t="s">
        <v>7634</v>
      </c>
      <c r="E2544" s="5" t="s">
        <v>7635</v>
      </c>
      <c r="F2544" s="6" t="str">
        <f>IFERROR(__xludf.DUMMYFUNCTION("GOOGLETRANSLATE(D2544,""en"",""it"")"),"Mi piacciono anche i romanzi e i dipinti.")</f>
        <v>Mi piacciono anche i romanzi e i dipinti.</v>
      </c>
      <c r="G2544" s="6" t="str">
        <f>IFERROR(__xludf.DUMMYFUNCTION("GOOGLETRANSLATE(E2544,""fr"",""it"")"),"Amo i romanzi e anche i dipinti.")</f>
        <v>Amo i romanzi e anche i dipinti.</v>
      </c>
    </row>
    <row r="2545">
      <c r="A2545" s="4">
        <v>2543.0</v>
      </c>
      <c r="B2545" s="5" t="s">
        <v>7636</v>
      </c>
      <c r="C2545" s="4">
        <v>1.0</v>
      </c>
      <c r="D2545" s="5" t="s">
        <v>7637</v>
      </c>
      <c r="E2545" s="5" t="s">
        <v>7638</v>
      </c>
      <c r="F2545" s="6" t="str">
        <f>IFERROR(__xludf.DUMMYFUNCTION("GOOGLETRANSLATE(D2545,""en"",""it"")"),"Mi piacciono anche i dipinti e i romanzi.")</f>
        <v>Mi piacciono anche i dipinti e i romanzi.</v>
      </c>
      <c r="G2545" s="6" t="str">
        <f>IFERROR(__xludf.DUMMYFUNCTION("GOOGLETRANSLATE(E2545,""fr"",""it"")"),"Amo i dipinti e anche i romanzi.")</f>
        <v>Amo i dipinti e anche i romanzi.</v>
      </c>
    </row>
    <row r="2546">
      <c r="A2546" s="4">
        <v>2544.0</v>
      </c>
      <c r="B2546" s="5" t="s">
        <v>7639</v>
      </c>
      <c r="C2546" s="4">
        <v>1.0</v>
      </c>
      <c r="D2546" s="5" t="s">
        <v>7640</v>
      </c>
      <c r="E2546" s="5" t="s">
        <v>7641</v>
      </c>
      <c r="F2546" s="6" t="str">
        <f>IFERROR(__xludf.DUMMYFUNCTION("GOOGLETRANSLATE(D2546,""en"",""it"")"),"Mi piacciono i manuali e anche la musica.")</f>
        <v>Mi piacciono i manuali e anche la musica.</v>
      </c>
      <c r="G2546" s="6" t="str">
        <f>IFERROR(__xludf.DUMMYFUNCTION("GOOGLETRANSLATE(E2546,""fr"",""it"")"),"Mi piacciono i manuali e anche la musica.")</f>
        <v>Mi piacciono i manuali e anche la musica.</v>
      </c>
    </row>
    <row r="2547">
      <c r="A2547" s="4">
        <v>2545.0</v>
      </c>
      <c r="B2547" s="5" t="s">
        <v>7642</v>
      </c>
      <c r="C2547" s="4">
        <v>1.0</v>
      </c>
      <c r="D2547" s="5" t="s">
        <v>7643</v>
      </c>
      <c r="E2547" s="5" t="s">
        <v>7644</v>
      </c>
      <c r="F2547" s="6" t="str">
        <f>IFERROR(__xludf.DUMMYFUNCTION("GOOGLETRANSLATE(D2547,""en"",""it"")"),"Mi piace anche la musica e i manuali.")</f>
        <v>Mi piace anche la musica e i manuali.</v>
      </c>
      <c r="G2547" s="6" t="str">
        <f>IFERROR(__xludf.DUMMYFUNCTION("GOOGLETRANSLATE(E2547,""fr"",""it"")"),"Mi piace la musica e anche i manuali.")</f>
        <v>Mi piace la musica e anche i manuali.</v>
      </c>
    </row>
    <row r="2548">
      <c r="A2548" s="4">
        <v>2546.0</v>
      </c>
      <c r="B2548" s="5" t="s">
        <v>7645</v>
      </c>
      <c r="C2548" s="4">
        <v>0.0</v>
      </c>
      <c r="D2548" s="5" t="s">
        <v>7646</v>
      </c>
      <c r="E2548" s="5" t="s">
        <v>7647</v>
      </c>
      <c r="F2548" s="6" t="str">
        <f>IFERROR(__xludf.DUMMYFUNCTION("GOOGLETRANSLATE(D2548,""en"",""it"")"),"Mi piacciono i manuali e anche i libri.")</f>
        <v>Mi piacciono i manuali e anche i libri.</v>
      </c>
      <c r="G2548" s="6" t="str">
        <f>IFERROR(__xludf.DUMMYFUNCTION("GOOGLETRANSLATE(E2548,""fr"",""it"")"),"Mi piacciono i manuali e anche i libri.")</f>
        <v>Mi piacciono i manuali e anche i libri.</v>
      </c>
    </row>
    <row r="2549">
      <c r="A2549" s="4">
        <v>2547.0</v>
      </c>
      <c r="B2549" s="5" t="s">
        <v>7648</v>
      </c>
      <c r="C2549" s="4">
        <v>0.0</v>
      </c>
      <c r="D2549" s="5" t="s">
        <v>7649</v>
      </c>
      <c r="E2549" s="5" t="s">
        <v>7650</v>
      </c>
      <c r="F2549" s="6" t="str">
        <f>IFERROR(__xludf.DUMMYFUNCTION("GOOGLETRANSLATE(D2549,""en"",""it"")"),"Mi piacciono anche i libri e i manuali.")</f>
        <v>Mi piacciono anche i libri e i manuali.</v>
      </c>
      <c r="G2549" s="6" t="str">
        <f>IFERROR(__xludf.DUMMYFUNCTION("GOOGLETRANSLATE(E2549,""fr"",""it"")"),"Mi piacciono i libri e anche i manuali.")</f>
        <v>Mi piacciono i libri e anche i manuali.</v>
      </c>
    </row>
    <row r="2550">
      <c r="A2550" s="4">
        <v>2548.0</v>
      </c>
      <c r="B2550" s="5" t="s">
        <v>7651</v>
      </c>
      <c r="C2550" s="4">
        <v>1.0</v>
      </c>
      <c r="D2550" s="5" t="s">
        <v>7652</v>
      </c>
      <c r="E2550" s="5" t="s">
        <v>7653</v>
      </c>
      <c r="F2550" s="6" t="str">
        <f>IFERROR(__xludf.DUMMYFUNCTION("GOOGLETRANSLATE(D2550,""en"",""it"")"),"Mi piacciono anche i manuali e i film.")</f>
        <v>Mi piacciono anche i manuali e i film.</v>
      </c>
      <c r="G2550" s="6" t="str">
        <f>IFERROR(__xludf.DUMMYFUNCTION("GOOGLETRANSLATE(E2550,""fr"",""it"")"),"Mi piacciono i manuali e anche il cinema.")</f>
        <v>Mi piacciono i manuali e anche il cinema.</v>
      </c>
    </row>
    <row r="2551">
      <c r="A2551" s="4">
        <v>2549.0</v>
      </c>
      <c r="B2551" s="5" t="s">
        <v>7654</v>
      </c>
      <c r="C2551" s="4">
        <v>1.0</v>
      </c>
      <c r="D2551" s="5" t="s">
        <v>7655</v>
      </c>
      <c r="E2551" s="5" t="s">
        <v>7656</v>
      </c>
      <c r="F2551" s="6" t="str">
        <f>IFERROR(__xludf.DUMMYFUNCTION("GOOGLETRANSLATE(D2551,""en"",""it"")"),"Mi piacciono anche i film e i manuali.")</f>
        <v>Mi piacciono anche i film e i manuali.</v>
      </c>
      <c r="G2551" s="6" t="str">
        <f>IFERROR(__xludf.DUMMYFUNCTION("GOOGLETRANSLATE(E2551,""fr"",""it"")"),"Adoro il cinema e anche i manuali.")</f>
        <v>Adoro il cinema e anche i manuali.</v>
      </c>
    </row>
    <row r="2552">
      <c r="A2552" s="4">
        <v>2550.0</v>
      </c>
      <c r="B2552" s="5" t="s">
        <v>7657</v>
      </c>
      <c r="C2552" s="4">
        <v>1.0</v>
      </c>
      <c r="D2552" s="5" t="s">
        <v>7658</v>
      </c>
      <c r="E2552" s="5" t="s">
        <v>7659</v>
      </c>
      <c r="F2552" s="6" t="str">
        <f>IFERROR(__xludf.DUMMYFUNCTION("GOOGLETRANSLATE(D2552,""en"",""it"")"),"Mi piacciono i manuali e anche i cartoni animati.")</f>
        <v>Mi piacciono i manuali e anche i cartoni animati.</v>
      </c>
      <c r="G2552" s="6" t="str">
        <f>IFERROR(__xludf.DUMMYFUNCTION("GOOGLETRANSLATE(E2552,""fr"",""it"")"),"Mi piacciono i manuali e anche i cartoni animati.")</f>
        <v>Mi piacciono i manuali e anche i cartoni animati.</v>
      </c>
    </row>
    <row r="2553">
      <c r="A2553" s="4">
        <v>2551.0</v>
      </c>
      <c r="B2553" s="5" t="s">
        <v>7660</v>
      </c>
      <c r="C2553" s="4">
        <v>1.0</v>
      </c>
      <c r="D2553" s="5" t="s">
        <v>7661</v>
      </c>
      <c r="E2553" s="5" t="s">
        <v>7662</v>
      </c>
      <c r="F2553" s="6" t="str">
        <f>IFERROR(__xludf.DUMMYFUNCTION("GOOGLETRANSLATE(D2553,""en"",""it"")"),"Mi piacciono i cartoni animati e anche i manuali.")</f>
        <v>Mi piacciono i cartoni animati e anche i manuali.</v>
      </c>
      <c r="G2553" s="6" t="str">
        <f>IFERROR(__xludf.DUMMYFUNCTION("GOOGLETRANSLATE(E2553,""fr"",""it"")"),"Mi piacciono i cartoni animati e anche i manuali.")</f>
        <v>Mi piacciono i cartoni animati e anche i manuali.</v>
      </c>
    </row>
    <row r="2554">
      <c r="A2554" s="4">
        <v>2552.0</v>
      </c>
      <c r="B2554" s="5" t="s">
        <v>7663</v>
      </c>
      <c r="C2554" s="4">
        <v>1.0</v>
      </c>
      <c r="D2554" s="5" t="s">
        <v>7664</v>
      </c>
      <c r="E2554" s="5" t="s">
        <v>7665</v>
      </c>
      <c r="F2554" s="6" t="str">
        <f>IFERROR(__xludf.DUMMYFUNCTION("GOOGLETRANSLATE(D2554,""en"",""it"")"),"Mi piacciono anche i manuali e i dipinti.")</f>
        <v>Mi piacciono anche i manuali e i dipinti.</v>
      </c>
      <c r="G2554" s="6" t="str">
        <f>IFERROR(__xludf.DUMMYFUNCTION("GOOGLETRANSLATE(E2554,""fr"",""it"")"),"Mi piacciono i manuali e anche i dipinti.")</f>
        <v>Mi piacciono i manuali e anche i dipinti.</v>
      </c>
    </row>
    <row r="2555">
      <c r="A2555" s="4">
        <v>2553.0</v>
      </c>
      <c r="B2555" s="5" t="s">
        <v>7666</v>
      </c>
      <c r="C2555" s="4">
        <v>1.0</v>
      </c>
      <c r="D2555" s="5" t="s">
        <v>7667</v>
      </c>
      <c r="E2555" s="5" t="s">
        <v>7668</v>
      </c>
      <c r="F2555" s="6" t="str">
        <f>IFERROR(__xludf.DUMMYFUNCTION("GOOGLETRANSLATE(D2555,""en"",""it"")"),"Mi piacciono anche i dipinti e i manuali.")</f>
        <v>Mi piacciono anche i dipinti e i manuali.</v>
      </c>
      <c r="G2555" s="6" t="str">
        <f>IFERROR(__xludf.DUMMYFUNCTION("GOOGLETRANSLATE(E2555,""fr"",""it"")"),"Amo i dipinti e anche i manuali.")</f>
        <v>Amo i dipinti e anche i manuali.</v>
      </c>
    </row>
    <row r="2556">
      <c r="A2556" s="4">
        <v>2554.0</v>
      </c>
      <c r="B2556" s="5" t="s">
        <v>7669</v>
      </c>
      <c r="C2556" s="4">
        <v>1.0</v>
      </c>
      <c r="D2556" s="5" t="s">
        <v>7670</v>
      </c>
      <c r="E2556" s="5" t="s">
        <v>7671</v>
      </c>
      <c r="F2556" s="6" t="str">
        <f>IFERROR(__xludf.DUMMYFUNCTION("GOOGLETRANSLATE(D2556,""en"",""it"")"),"Mi piacciono anche i commessi e le fabbriche.")</f>
        <v>Mi piacciono anche i commessi e le fabbriche.</v>
      </c>
      <c r="G2556" s="6" t="str">
        <f>IFERROR(__xludf.DUMMYFUNCTION("GOOGLETRANSLATE(E2556,""fr"",""it"")"),"Mi piacciono gli impiegati, e anche le fabbriche.")</f>
        <v>Mi piacciono gli impiegati, e anche le fabbriche.</v>
      </c>
    </row>
    <row r="2557">
      <c r="A2557" s="4">
        <v>2555.0</v>
      </c>
      <c r="B2557" s="5" t="s">
        <v>7672</v>
      </c>
      <c r="C2557" s="4">
        <v>1.0</v>
      </c>
      <c r="D2557" s="5" t="s">
        <v>7673</v>
      </c>
      <c r="E2557" s="5" t="s">
        <v>7674</v>
      </c>
      <c r="F2557" s="6" t="str">
        <f>IFERROR(__xludf.DUMMYFUNCTION("GOOGLETRANSLATE(D2557,""en"",""it"")"),"Mi piacciono anche le fabbriche e gli impiegati.")</f>
        <v>Mi piacciono anche le fabbriche e gli impiegati.</v>
      </c>
      <c r="G2557" s="6" t="str">
        <f>IFERROR(__xludf.DUMMYFUNCTION("GOOGLETRANSLATE(E2557,""fr"",""it"")"),"Amo le fabbriche e anche gli impiegati.")</f>
        <v>Amo le fabbriche e anche gli impiegati.</v>
      </c>
    </row>
    <row r="2558">
      <c r="A2558" s="4">
        <v>2556.0</v>
      </c>
      <c r="B2558" s="5" t="s">
        <v>7675</v>
      </c>
      <c r="C2558" s="4">
        <v>0.0</v>
      </c>
      <c r="D2558" s="5" t="s">
        <v>7676</v>
      </c>
      <c r="E2558" s="5" t="s">
        <v>7677</v>
      </c>
      <c r="F2558" s="6" t="str">
        <f>IFERROR(__xludf.DUMMYFUNCTION("GOOGLETRANSLATE(D2558,""en"",""it"")"),"Mi piacciono i cantieri e i lavoratori.")</f>
        <v>Mi piacciono i cantieri e i lavoratori.</v>
      </c>
      <c r="G2558" s="6" t="str">
        <f>IFERROR(__xludf.DUMMYFUNCTION("GOOGLETRANSLATE(E2558,""fr"",""it"")"),"Mi piacciono gli impiegati, e anche i lavoratori.")</f>
        <v>Mi piacciono gli impiegati, e anche i lavoratori.</v>
      </c>
    </row>
    <row r="2559">
      <c r="A2559" s="4">
        <v>2557.0</v>
      </c>
      <c r="B2559" s="5" t="s">
        <v>7678</v>
      </c>
      <c r="C2559" s="4">
        <v>0.0</v>
      </c>
      <c r="D2559" s="5" t="s">
        <v>7679</v>
      </c>
      <c r="E2559" s="5" t="s">
        <v>7680</v>
      </c>
      <c r="F2559" s="6" t="str">
        <f>IFERROR(__xludf.DUMMYFUNCTION("GOOGLETRANSLATE(D2559,""en"",""it"")"),"Mi piacciono i lavoratori e gli impiegati anche.")</f>
        <v>Mi piacciono i lavoratori e gli impiegati anche.</v>
      </c>
      <c r="G2559" s="6" t="str">
        <f>IFERROR(__xludf.DUMMYFUNCTION("GOOGLETRANSLATE(E2559,""fr"",""it"")"),"Amo i lavoratori e anche gli impiegati.")</f>
        <v>Amo i lavoratori e anche gli impiegati.</v>
      </c>
    </row>
    <row r="2560">
      <c r="A2560" s="4">
        <v>2558.0</v>
      </c>
      <c r="B2560" s="5" t="s">
        <v>7681</v>
      </c>
      <c r="C2560" s="4">
        <v>1.0</v>
      </c>
      <c r="D2560" s="5" t="s">
        <v>7682</v>
      </c>
      <c r="E2560" s="5" t="s">
        <v>7683</v>
      </c>
      <c r="F2560" s="6" t="str">
        <f>IFERROR(__xludf.DUMMYFUNCTION("GOOGLETRANSLATE(D2560,""en"",""it"")"),"Mi piacciono anche i lavoratori e le fabbriche.")</f>
        <v>Mi piacciono anche i lavoratori e le fabbriche.</v>
      </c>
      <c r="G2560" s="6" t="str">
        <f>IFERROR(__xludf.DUMMYFUNCTION("GOOGLETRANSLATE(E2560,""fr"",""it"")"),"Amo i lavoratori e anche le fabbriche.")</f>
        <v>Amo i lavoratori e anche le fabbriche.</v>
      </c>
    </row>
    <row r="2561">
      <c r="A2561" s="4">
        <v>2559.0</v>
      </c>
      <c r="B2561" s="5" t="s">
        <v>7684</v>
      </c>
      <c r="C2561" s="4">
        <v>1.0</v>
      </c>
      <c r="D2561" s="5" t="s">
        <v>7685</v>
      </c>
      <c r="E2561" s="5" t="s">
        <v>7686</v>
      </c>
      <c r="F2561" s="6" t="str">
        <f>IFERROR(__xludf.DUMMYFUNCTION("GOOGLETRANSLATE(D2561,""en"",""it"")"),"Mi piacciono gli impiegati e i ristoranti.")</f>
        <v>Mi piacciono gli impiegati e i ristoranti.</v>
      </c>
      <c r="G2561" s="6" t="str">
        <f>IFERROR(__xludf.DUMMYFUNCTION("GOOGLETRANSLATE(E2561,""fr"",""it"")"),"Mi piacciono gli impiegati e anche i ristoranti.")</f>
        <v>Mi piacciono gli impiegati e anche i ristoranti.</v>
      </c>
    </row>
    <row r="2562">
      <c r="A2562" s="4">
        <v>2560.0</v>
      </c>
      <c r="B2562" s="5" t="s">
        <v>7687</v>
      </c>
      <c r="C2562" s="4">
        <v>1.0</v>
      </c>
      <c r="D2562" s="5" t="s">
        <v>7688</v>
      </c>
      <c r="E2562" s="5" t="s">
        <v>7689</v>
      </c>
      <c r="F2562" s="6" t="str">
        <f>IFERROR(__xludf.DUMMYFUNCTION("GOOGLETRANSLATE(D2562,""en"",""it"")"),"Mi piacciono i ristoranti e gli impiegati anche.")</f>
        <v>Mi piacciono i ristoranti e gli impiegati anche.</v>
      </c>
      <c r="G2562" s="6" t="str">
        <f>IFERROR(__xludf.DUMMYFUNCTION("GOOGLETRANSLATE(E2562,""fr"",""it"")"),"Amo i ristoranti e anche gli impiegati.")</f>
        <v>Amo i ristoranti e anche gli impiegati.</v>
      </c>
    </row>
    <row r="2563">
      <c r="A2563" s="4">
        <v>2561.0</v>
      </c>
      <c r="B2563" s="5" t="s">
        <v>7690</v>
      </c>
      <c r="C2563" s="4">
        <v>1.0</v>
      </c>
      <c r="D2563" s="5" t="s">
        <v>7691</v>
      </c>
      <c r="E2563" s="5" t="s">
        <v>7692</v>
      </c>
      <c r="F2563" s="6" t="str">
        <f>IFERROR(__xludf.DUMMYFUNCTION("GOOGLETRANSLATE(D2563,""en"",""it"")"),"Mi piacciono i lavoratori e i ristoranti.")</f>
        <v>Mi piacciono i lavoratori e i ristoranti.</v>
      </c>
      <c r="G2563" s="6" t="str">
        <f>IFERROR(__xludf.DUMMYFUNCTION("GOOGLETRANSLATE(E2563,""fr"",""it"")"),"Amo i lavoratori e anche i ristoranti.")</f>
        <v>Amo i lavoratori e anche i ristoranti.</v>
      </c>
    </row>
    <row r="2564">
      <c r="A2564" s="4">
        <v>2562.0</v>
      </c>
      <c r="B2564" s="5" t="s">
        <v>7693</v>
      </c>
      <c r="C2564" s="4">
        <v>1.0</v>
      </c>
      <c r="D2564" s="5" t="s">
        <v>7694</v>
      </c>
      <c r="E2564" s="5" t="s">
        <v>7695</v>
      </c>
      <c r="F2564" s="6" t="str">
        <f>IFERROR(__xludf.DUMMYFUNCTION("GOOGLETRANSLATE(D2564,""en"",""it"")"),"Mi piacciono anche gli impiegati e le scuole.")</f>
        <v>Mi piacciono anche gli impiegati e le scuole.</v>
      </c>
      <c r="G2564" s="6" t="str">
        <f>IFERROR(__xludf.DUMMYFUNCTION("GOOGLETRANSLATE(E2564,""fr"",""it"")"),"Mi piacciono gli impiegati e anche le scuole.")</f>
        <v>Mi piacciono gli impiegati e anche le scuole.</v>
      </c>
    </row>
    <row r="2565">
      <c r="A2565" s="4">
        <v>2563.0</v>
      </c>
      <c r="B2565" s="5" t="s">
        <v>7696</v>
      </c>
      <c r="C2565" s="4">
        <v>1.0</v>
      </c>
      <c r="D2565" s="5" t="s">
        <v>7697</v>
      </c>
      <c r="E2565" s="5" t="s">
        <v>7698</v>
      </c>
      <c r="F2565" s="6" t="str">
        <f>IFERROR(__xludf.DUMMYFUNCTION("GOOGLETRANSLATE(D2565,""en"",""it"")"),"Mi piacciono le scuole e gli impiegati anche.")</f>
        <v>Mi piacciono le scuole e gli impiegati anche.</v>
      </c>
      <c r="G2565" s="6" t="str">
        <f>IFERROR(__xludf.DUMMYFUNCTION("GOOGLETRANSLATE(E2565,""fr"",""it"")"),"Mi piacciono le scuole e anche gli impiegati.")</f>
        <v>Mi piacciono le scuole e anche gli impiegati.</v>
      </c>
    </row>
    <row r="2566">
      <c r="A2566" s="4">
        <v>2564.0</v>
      </c>
      <c r="B2566" s="5" t="s">
        <v>7699</v>
      </c>
      <c r="C2566" s="4">
        <v>1.0</v>
      </c>
      <c r="D2566" s="5" t="s">
        <v>7700</v>
      </c>
      <c r="E2566" s="5" t="s">
        <v>7701</v>
      </c>
      <c r="F2566" s="6" t="str">
        <f>IFERROR(__xludf.DUMMYFUNCTION("GOOGLETRANSLATE(D2566,""en"",""it"")"),"Mi piacciono anche i lavoratori e le scuole.")</f>
        <v>Mi piacciono anche i lavoratori e le scuole.</v>
      </c>
      <c r="G2566" s="6" t="str">
        <f>IFERROR(__xludf.DUMMYFUNCTION("GOOGLETRANSLATE(E2566,""fr"",""it"")"),"Amo i lavoratori e anche le scuole.")</f>
        <v>Amo i lavoratori e anche le scuole.</v>
      </c>
    </row>
    <row r="2567">
      <c r="A2567" s="4">
        <v>2565.0</v>
      </c>
      <c r="B2567" s="5" t="s">
        <v>7702</v>
      </c>
      <c r="C2567" s="4">
        <v>1.0</v>
      </c>
      <c r="D2567" s="5" t="s">
        <v>7703</v>
      </c>
      <c r="E2567" s="5" t="s">
        <v>7704</v>
      </c>
      <c r="F2567" s="6" t="str">
        <f>IFERROR(__xludf.DUMMYFUNCTION("GOOGLETRANSLATE(D2567,""en"",""it"")"),"Mi piacciono gli impiegati e anche gli uffici.")</f>
        <v>Mi piacciono gli impiegati e anche gli uffici.</v>
      </c>
      <c r="G2567" s="6" t="str">
        <f>IFERROR(__xludf.DUMMYFUNCTION("GOOGLETRANSLATE(E2567,""fr"",""it"")"),"Mi piacciono gli impiegati, e anche gli uffici.")</f>
        <v>Mi piacciono gli impiegati, e anche gli uffici.</v>
      </c>
    </row>
    <row r="2568">
      <c r="A2568" s="4">
        <v>2566.0</v>
      </c>
      <c r="B2568" s="5" t="s">
        <v>7705</v>
      </c>
      <c r="C2568" s="4">
        <v>1.0</v>
      </c>
      <c r="D2568" s="5" t="s">
        <v>7706</v>
      </c>
      <c r="E2568" s="5" t="s">
        <v>7707</v>
      </c>
      <c r="F2568" s="6" t="str">
        <f>IFERROR(__xludf.DUMMYFUNCTION("GOOGLETRANSLATE(D2568,""en"",""it"")"),"Mi piacciono anche gli uffici e gli impiegati.")</f>
        <v>Mi piacciono anche gli uffici e gli impiegati.</v>
      </c>
      <c r="G2568" s="6" t="str">
        <f>IFERROR(__xludf.DUMMYFUNCTION("GOOGLETRANSLATE(E2568,""fr"",""it"")"),"Amo gli uffici, e anche i commessi.")</f>
        <v>Amo gli uffici, e anche i commessi.</v>
      </c>
    </row>
    <row r="2569">
      <c r="A2569" s="4">
        <v>2567.0</v>
      </c>
      <c r="B2569" s="5" t="s">
        <v>7708</v>
      </c>
      <c r="C2569" s="4">
        <v>1.0</v>
      </c>
      <c r="D2569" s="5" t="s">
        <v>7709</v>
      </c>
      <c r="E2569" s="5" t="s">
        <v>7710</v>
      </c>
      <c r="F2569" s="6" t="str">
        <f>IFERROR(__xludf.DUMMYFUNCTION("GOOGLETRANSLATE(D2569,""en"",""it"")"),"Mi piacciono anche i lavoratori e gli uffici.")</f>
        <v>Mi piacciono anche i lavoratori e gli uffici.</v>
      </c>
      <c r="G2569" s="6" t="str">
        <f>IFERROR(__xludf.DUMMYFUNCTION("GOOGLETRANSLATE(E2569,""fr"",""it"")"),"Adoro i lavoratori e anche gli uffici.")</f>
        <v>Adoro i lavoratori e anche gli uffici.</v>
      </c>
    </row>
    <row r="2570">
      <c r="A2570" s="4">
        <v>2568.0</v>
      </c>
      <c r="B2570" s="5" t="s">
        <v>7711</v>
      </c>
      <c r="C2570" s="4">
        <v>1.0</v>
      </c>
      <c r="D2570" s="5" t="s">
        <v>7712</v>
      </c>
      <c r="E2570" s="5" t="s">
        <v>7713</v>
      </c>
      <c r="F2570" s="6" t="str">
        <f>IFERROR(__xludf.DUMMYFUNCTION("GOOGLETRANSLATE(D2570,""en"",""it"")"),"Mi piacciono anche i camerieri e le fabbriche.")</f>
        <v>Mi piacciono anche i camerieri e le fabbriche.</v>
      </c>
      <c r="G2570" s="6" t="str">
        <f>IFERROR(__xludf.DUMMYFUNCTION("GOOGLETRANSLATE(E2570,""fr"",""it"")"),"Mi piacciono i server, e anche le fabbriche.")</f>
        <v>Mi piacciono i server, e anche le fabbriche.</v>
      </c>
    </row>
    <row r="2571">
      <c r="A2571" s="4">
        <v>2569.0</v>
      </c>
      <c r="B2571" s="5" t="s">
        <v>7714</v>
      </c>
      <c r="C2571" s="4">
        <v>1.0</v>
      </c>
      <c r="D2571" s="5" t="s">
        <v>7715</v>
      </c>
      <c r="E2571" s="5" t="s">
        <v>7716</v>
      </c>
      <c r="F2571" s="6" t="str">
        <f>IFERROR(__xludf.DUMMYFUNCTION("GOOGLETRANSLATE(D2571,""en"",""it"")"),"Mi piacciono anche le fabbriche e i camerieri.")</f>
        <v>Mi piacciono anche le fabbriche e i camerieri.</v>
      </c>
      <c r="G2571" s="6" t="str">
        <f>IFERROR(__xludf.DUMMYFUNCTION("GOOGLETRANSLATE(E2571,""fr"",""it"")"),"Mi piacciono le fabbriche e anche i server.")</f>
        <v>Mi piacciono le fabbriche e anche i server.</v>
      </c>
    </row>
    <row r="2572">
      <c r="A2572" s="4">
        <v>2570.0</v>
      </c>
      <c r="B2572" s="5" t="s">
        <v>7717</v>
      </c>
      <c r="C2572" s="4">
        <v>0.0</v>
      </c>
      <c r="D2572" s="5" t="s">
        <v>7718</v>
      </c>
      <c r="E2572" s="5" t="s">
        <v>7719</v>
      </c>
      <c r="F2572" s="6" t="str">
        <f>IFERROR(__xludf.DUMMYFUNCTION("GOOGLETRANSLATE(D2572,""en"",""it"")"),"Mi piacciono i camerieri e anche i lavoratori.")</f>
        <v>Mi piacciono i camerieri e anche i lavoratori.</v>
      </c>
      <c r="G2572" s="6" t="str">
        <f>IFERROR(__xludf.DUMMYFUNCTION("GOOGLETRANSLATE(E2572,""fr"",""it"")"),"Mi piacciono i server e anche i lavoratori.")</f>
        <v>Mi piacciono i server e anche i lavoratori.</v>
      </c>
    </row>
    <row r="2573">
      <c r="A2573" s="4">
        <v>2571.0</v>
      </c>
      <c r="B2573" s="5" t="s">
        <v>7720</v>
      </c>
      <c r="C2573" s="4">
        <v>0.0</v>
      </c>
      <c r="D2573" s="5" t="s">
        <v>7721</v>
      </c>
      <c r="E2573" s="5" t="s">
        <v>7722</v>
      </c>
      <c r="F2573" s="6" t="str">
        <f>IFERROR(__xludf.DUMMYFUNCTION("GOOGLETRANSLATE(D2573,""en"",""it"")"),"Mi piacciono anche i lavoratori e camerieri.")</f>
        <v>Mi piacciono anche i lavoratori e camerieri.</v>
      </c>
      <c r="G2573" s="6" t="str">
        <f>IFERROR(__xludf.DUMMYFUNCTION("GOOGLETRANSLATE(E2573,""fr"",""it"")"),"Mi piacciono i lavoratori e anche i server.")</f>
        <v>Mi piacciono i lavoratori e anche i server.</v>
      </c>
    </row>
    <row r="2574">
      <c r="A2574" s="4">
        <v>2572.0</v>
      </c>
      <c r="B2574" s="5" t="s">
        <v>7723</v>
      </c>
      <c r="C2574" s="4">
        <v>1.0</v>
      </c>
      <c r="D2574" s="5" t="s">
        <v>7724</v>
      </c>
      <c r="E2574" s="5" t="s">
        <v>7725</v>
      </c>
      <c r="F2574" s="6" t="str">
        <f>IFERROR(__xludf.DUMMYFUNCTION("GOOGLETRANSLATE(D2574,""en"",""it"")"),"Mi piacciono anche i camerieri e i ristoranti.")</f>
        <v>Mi piacciono anche i camerieri e i ristoranti.</v>
      </c>
      <c r="G2574" s="6" t="str">
        <f>IFERROR(__xludf.DUMMYFUNCTION("GOOGLETRANSLATE(E2574,""fr"",""it"")"),"Amo i server e anche i ristoranti.")</f>
        <v>Amo i server e anche i ristoranti.</v>
      </c>
    </row>
    <row r="2575">
      <c r="A2575" s="4">
        <v>2573.0</v>
      </c>
      <c r="B2575" s="5" t="s">
        <v>7726</v>
      </c>
      <c r="C2575" s="4">
        <v>1.0</v>
      </c>
      <c r="D2575" s="5" t="s">
        <v>7727</v>
      </c>
      <c r="E2575" s="5" t="s">
        <v>7728</v>
      </c>
      <c r="F2575" s="6" t="str">
        <f>IFERROR(__xludf.DUMMYFUNCTION("GOOGLETRANSLATE(D2575,""en"",""it"")"),"Mi piacciono i ristoranti e anche i camerieri.")</f>
        <v>Mi piacciono i ristoranti e anche i camerieri.</v>
      </c>
      <c r="G2575" s="6" t="str">
        <f>IFERROR(__xludf.DUMMYFUNCTION("GOOGLETRANSLATE(E2575,""fr"",""it"")"),"Mi piacciono i ristoranti, e anche i camerieri.")</f>
        <v>Mi piacciono i ristoranti, e anche i camerieri.</v>
      </c>
    </row>
    <row r="2576">
      <c r="A2576" s="4">
        <v>2574.0</v>
      </c>
      <c r="B2576" s="5" t="s">
        <v>7729</v>
      </c>
      <c r="C2576" s="4">
        <v>1.0</v>
      </c>
      <c r="D2576" s="5" t="s">
        <v>7730</v>
      </c>
      <c r="E2576" s="5" t="s">
        <v>7731</v>
      </c>
      <c r="F2576" s="6" t="str">
        <f>IFERROR(__xludf.DUMMYFUNCTION("GOOGLETRANSLATE(D2576,""en"",""it"")"),"Mi piacciono anche i camerieri e le scuole.")</f>
        <v>Mi piacciono anche i camerieri e le scuole.</v>
      </c>
      <c r="G2576" s="6" t="str">
        <f>IFERROR(__xludf.DUMMYFUNCTION("GOOGLETRANSLATE(E2576,""fr"",""it"")"),"Mi piacciono i server e anche le scuole.")</f>
        <v>Mi piacciono i server e anche le scuole.</v>
      </c>
    </row>
    <row r="2577">
      <c r="A2577" s="4">
        <v>2575.0</v>
      </c>
      <c r="B2577" s="5" t="s">
        <v>7732</v>
      </c>
      <c r="C2577" s="4">
        <v>1.0</v>
      </c>
      <c r="D2577" s="5" t="s">
        <v>7733</v>
      </c>
      <c r="E2577" s="5" t="s">
        <v>7734</v>
      </c>
      <c r="F2577" s="6" t="str">
        <f>IFERROR(__xludf.DUMMYFUNCTION("GOOGLETRANSLATE(D2577,""en"",""it"")"),"Mi piacciono anche le scuole e i camerieri.")</f>
        <v>Mi piacciono anche le scuole e i camerieri.</v>
      </c>
      <c r="G2577" s="6" t="str">
        <f>IFERROR(__xludf.DUMMYFUNCTION("GOOGLETRANSLATE(E2577,""fr"",""it"")"),"Mi piacciono le scuole e anche i camerieri.")</f>
        <v>Mi piacciono le scuole e anche i camerieri.</v>
      </c>
    </row>
    <row r="2578">
      <c r="A2578" s="4">
        <v>2576.0</v>
      </c>
      <c r="B2578" s="5" t="s">
        <v>7735</v>
      </c>
      <c r="C2578" s="4">
        <v>1.0</v>
      </c>
      <c r="D2578" s="5" t="s">
        <v>7736</v>
      </c>
      <c r="E2578" s="5" t="s">
        <v>7737</v>
      </c>
      <c r="F2578" s="6" t="str">
        <f>IFERROR(__xludf.DUMMYFUNCTION("GOOGLETRANSLATE(D2578,""en"",""it"")"),"Mi piacciono i camerieri e anche gli uffici.")</f>
        <v>Mi piacciono i camerieri e anche gli uffici.</v>
      </c>
      <c r="G2578" s="6" t="str">
        <f>IFERROR(__xludf.DUMMYFUNCTION("GOOGLETRANSLATE(E2578,""fr"",""it"")"),"Mi piacciono i server e anche gli uffici.")</f>
        <v>Mi piacciono i server e anche gli uffici.</v>
      </c>
    </row>
    <row r="2579">
      <c r="A2579" s="4">
        <v>2577.0</v>
      </c>
      <c r="B2579" s="5" t="s">
        <v>7738</v>
      </c>
      <c r="C2579" s="4">
        <v>1.0</v>
      </c>
      <c r="D2579" s="5" t="s">
        <v>7739</v>
      </c>
      <c r="E2579" s="5" t="s">
        <v>7740</v>
      </c>
      <c r="F2579" s="6" t="str">
        <f>IFERROR(__xludf.DUMMYFUNCTION("GOOGLETRANSLATE(D2579,""en"",""it"")"),"Mi piacciono anche gli uffici e i camerieri.")</f>
        <v>Mi piacciono anche gli uffici e i camerieri.</v>
      </c>
      <c r="G2579" s="6" t="str">
        <f>IFERROR(__xludf.DUMMYFUNCTION("GOOGLETRANSLATE(E2579,""fr"",""it"")"),"Adoro gli uffici e anche i server.")</f>
        <v>Adoro gli uffici e anche i server.</v>
      </c>
    </row>
    <row r="2580">
      <c r="A2580" s="4">
        <v>2578.0</v>
      </c>
      <c r="B2580" s="5" t="s">
        <v>7741</v>
      </c>
      <c r="C2580" s="4">
        <v>1.0</v>
      </c>
      <c r="D2580" s="5" t="s">
        <v>7742</v>
      </c>
      <c r="E2580" s="5" t="s">
        <v>7743</v>
      </c>
      <c r="F2580" s="6" t="str">
        <f>IFERROR(__xludf.DUMMYFUNCTION("GOOGLETRANSLATE(D2580,""en"",""it"")"),"Mi piacciono anche i custodi e le fabbriche.")</f>
        <v>Mi piacciono anche i custodi e le fabbriche.</v>
      </c>
      <c r="G2580" s="6" t="str">
        <f>IFERROR(__xludf.DUMMYFUNCTION("GOOGLETRANSLATE(E2580,""fr"",""it"")"),"Adoro le guardie, e anche le fabbriche.")</f>
        <v>Adoro le guardie, e anche le fabbriche.</v>
      </c>
    </row>
    <row r="2581">
      <c r="A2581" s="4">
        <v>2579.0</v>
      </c>
      <c r="B2581" s="5" t="s">
        <v>7744</v>
      </c>
      <c r="C2581" s="4">
        <v>1.0</v>
      </c>
      <c r="D2581" s="5" t="s">
        <v>7745</v>
      </c>
      <c r="E2581" s="5" t="s">
        <v>7746</v>
      </c>
      <c r="F2581" s="6" t="str">
        <f>IFERROR(__xludf.DUMMYFUNCTION("GOOGLETRANSLATE(D2581,""en"",""it"")"),"Mi piacciono le fabbriche e anche i custodi.")</f>
        <v>Mi piacciono le fabbriche e anche i custodi.</v>
      </c>
      <c r="G2581" s="6" t="str">
        <f>IFERROR(__xludf.DUMMYFUNCTION("GOOGLETRANSLATE(E2581,""fr"",""it"")"),"Amo le fabbriche, e anche le guardie.")</f>
        <v>Amo le fabbriche, e anche le guardie.</v>
      </c>
    </row>
    <row r="2582">
      <c r="A2582" s="4">
        <v>2580.0</v>
      </c>
      <c r="B2582" s="5" t="s">
        <v>7747</v>
      </c>
      <c r="C2582" s="4">
        <v>0.0</v>
      </c>
      <c r="D2582" s="5" t="s">
        <v>7748</v>
      </c>
      <c r="E2582" s="5" t="s">
        <v>7749</v>
      </c>
      <c r="F2582" s="6" t="str">
        <f>IFERROR(__xludf.DUMMYFUNCTION("GOOGLETRANSLATE(D2582,""en"",""it"")"),"Mi piacciono anche i custodi e i lavoratori.")</f>
        <v>Mi piacciono anche i custodi e i lavoratori.</v>
      </c>
      <c r="G2582" s="6" t="str">
        <f>IFERROR(__xludf.DUMMYFUNCTION("GOOGLETRANSLATE(E2582,""fr"",""it"")"),"Amo le guardie e anche i lavoratori.")</f>
        <v>Amo le guardie e anche i lavoratori.</v>
      </c>
    </row>
    <row r="2583">
      <c r="A2583" s="4">
        <v>2581.0</v>
      </c>
      <c r="B2583" s="5" t="s">
        <v>7750</v>
      </c>
      <c r="C2583" s="4">
        <v>0.0</v>
      </c>
      <c r="D2583" s="5" t="s">
        <v>7751</v>
      </c>
      <c r="E2583" s="5" t="s">
        <v>7752</v>
      </c>
      <c r="F2583" s="6" t="str">
        <f>IFERROR(__xludf.DUMMYFUNCTION("GOOGLETRANSLATE(D2583,""en"",""it"")"),"Mi piacciono i lavoratori e anche i custodi.")</f>
        <v>Mi piacciono i lavoratori e anche i custodi.</v>
      </c>
      <c r="G2583" s="6" t="str">
        <f>IFERROR(__xludf.DUMMYFUNCTION("GOOGLETRANSLATE(E2583,""fr"",""it"")"),"Adoro i lavoratori, e anche le guardie.")</f>
        <v>Adoro i lavoratori, e anche le guardie.</v>
      </c>
    </row>
    <row r="2584">
      <c r="A2584" s="4">
        <v>2582.0</v>
      </c>
      <c r="B2584" s="5" t="s">
        <v>7753</v>
      </c>
      <c r="C2584" s="4">
        <v>1.0</v>
      </c>
      <c r="D2584" s="5" t="s">
        <v>7754</v>
      </c>
      <c r="E2584" s="5" t="s">
        <v>7755</v>
      </c>
      <c r="F2584" s="6" t="str">
        <f>IFERROR(__xludf.DUMMYFUNCTION("GOOGLETRANSLATE(D2584,""en"",""it"")"),"Mi piacciono i custodi e i ristoranti anche i ristoranti.")</f>
        <v>Mi piacciono i custodi e i ristoranti anche i ristoranti.</v>
      </c>
      <c r="G2584" s="6" t="str">
        <f>IFERROR(__xludf.DUMMYFUNCTION("GOOGLETRANSLATE(E2584,""fr"",""it"")"),"Adoro le guardie, e anche i ristoranti.")</f>
        <v>Adoro le guardie, e anche i ristoranti.</v>
      </c>
    </row>
    <row r="2585">
      <c r="A2585" s="4">
        <v>2583.0</v>
      </c>
      <c r="B2585" s="5" t="s">
        <v>7756</v>
      </c>
      <c r="C2585" s="4">
        <v>1.0</v>
      </c>
      <c r="D2585" s="5" t="s">
        <v>7757</v>
      </c>
      <c r="E2585" s="5" t="s">
        <v>7758</v>
      </c>
      <c r="F2585" s="6" t="str">
        <f>IFERROR(__xludf.DUMMYFUNCTION("GOOGLETRANSLATE(D2585,""en"",""it"")"),"Mi piacciono i ristoranti e anche i custodi.")</f>
        <v>Mi piacciono i ristoranti e anche i custodi.</v>
      </c>
      <c r="G2585" s="6" t="str">
        <f>IFERROR(__xludf.DUMMYFUNCTION("GOOGLETRANSLATE(E2585,""fr"",""it"")"),"Amo i ristoranti, e anche le guardie.")</f>
        <v>Amo i ristoranti, e anche le guardie.</v>
      </c>
    </row>
    <row r="2586">
      <c r="A2586" s="4">
        <v>2584.0</v>
      </c>
      <c r="B2586" s="5" t="s">
        <v>7759</v>
      </c>
      <c r="C2586" s="4">
        <v>1.0</v>
      </c>
      <c r="D2586" s="5" t="s">
        <v>7760</v>
      </c>
      <c r="E2586" s="5" t="s">
        <v>7761</v>
      </c>
      <c r="F2586" s="6" t="str">
        <f>IFERROR(__xludf.DUMMYFUNCTION("GOOGLETRANSLATE(D2586,""en"",""it"")"),"Mi piacciono anche i custodi e le scuole.")</f>
        <v>Mi piacciono anche i custodi e le scuole.</v>
      </c>
      <c r="G2586" s="6" t="str">
        <f>IFERROR(__xludf.DUMMYFUNCTION("GOOGLETRANSLATE(E2586,""fr"",""it"")"),"Adoro le guardie e anche le scuole.")</f>
        <v>Adoro le guardie e anche le scuole.</v>
      </c>
    </row>
    <row r="2587">
      <c r="A2587" s="4">
        <v>2585.0</v>
      </c>
      <c r="B2587" s="5" t="s">
        <v>7762</v>
      </c>
      <c r="C2587" s="4">
        <v>1.0</v>
      </c>
      <c r="D2587" s="5" t="s">
        <v>7763</v>
      </c>
      <c r="E2587" s="5" t="s">
        <v>7764</v>
      </c>
      <c r="F2587" s="6" t="str">
        <f>IFERROR(__xludf.DUMMYFUNCTION("GOOGLETRANSLATE(D2587,""en"",""it"")"),"Mi piacciono le scuole e anche i custodi.")</f>
        <v>Mi piacciono le scuole e anche i custodi.</v>
      </c>
      <c r="G2587" s="6" t="str">
        <f>IFERROR(__xludf.DUMMYFUNCTION("GOOGLETRANSLATE(E2587,""fr"",""it"")"),"Amo le scuole e anche le guardie.")</f>
        <v>Amo le scuole e anche le guardie.</v>
      </c>
    </row>
    <row r="2588">
      <c r="A2588" s="4">
        <v>2586.0</v>
      </c>
      <c r="B2588" s="5" t="s">
        <v>7765</v>
      </c>
      <c r="C2588" s="4">
        <v>1.0</v>
      </c>
      <c r="D2588" s="5" t="s">
        <v>7766</v>
      </c>
      <c r="E2588" s="5" t="s">
        <v>7767</v>
      </c>
      <c r="F2588" s="6" t="str">
        <f>IFERROR(__xludf.DUMMYFUNCTION("GOOGLETRANSLATE(D2588,""en"",""it"")"),"Mi piacciono anche i custodi e gli uffici.")</f>
        <v>Mi piacciono anche i custodi e gli uffici.</v>
      </c>
      <c r="G2588" s="6" t="str">
        <f>IFERROR(__xludf.DUMMYFUNCTION("GOOGLETRANSLATE(E2588,""fr"",""it"")"),"Adoro le guardie e anche gli uffici.")</f>
        <v>Adoro le guardie e anche gli uffici.</v>
      </c>
    </row>
    <row r="2589">
      <c r="A2589" s="4">
        <v>2587.0</v>
      </c>
      <c r="B2589" s="5" t="s">
        <v>7768</v>
      </c>
      <c r="C2589" s="4">
        <v>1.0</v>
      </c>
      <c r="D2589" s="5" t="s">
        <v>7769</v>
      </c>
      <c r="E2589" s="5" t="s">
        <v>7770</v>
      </c>
      <c r="F2589" s="6" t="str">
        <f>IFERROR(__xludf.DUMMYFUNCTION("GOOGLETRANSLATE(D2589,""en"",""it"")"),"Mi piacciono anche gli uffici e i custodi.")</f>
        <v>Mi piacciono anche gli uffici e i custodi.</v>
      </c>
      <c r="G2589" s="6" t="str">
        <f>IFERROR(__xludf.DUMMYFUNCTION("GOOGLETRANSLATE(E2589,""fr"",""it"")"),"Amo gli uffici e anche le guardie.")</f>
        <v>Amo gli uffici e anche le guardie.</v>
      </c>
    </row>
    <row r="2590">
      <c r="A2590" s="4">
        <v>2588.0</v>
      </c>
      <c r="B2590" s="5" t="s">
        <v>7771</v>
      </c>
      <c r="C2590" s="4">
        <v>0.0</v>
      </c>
      <c r="D2590" s="5" t="s">
        <v>7772</v>
      </c>
      <c r="E2590" s="5" t="s">
        <v>7773</v>
      </c>
      <c r="F2590" s="6" t="str">
        <f>IFERROR(__xludf.DUMMYFUNCTION("GOOGLETRANSLATE(D2590,""en"",""it"")"),"Mi piacciono i gatti, tranne i passeri.")</f>
        <v>Mi piacciono i gatti, tranne i passeri.</v>
      </c>
      <c r="G2590" s="6" t="str">
        <f>IFERROR(__xludf.DUMMYFUNCTION("GOOGLETRANSLATE(E2590,""fr"",""it"")"),"Mi piacciono i gatti tranne i passeri.")</f>
        <v>Mi piacciono i gatti tranne i passeri.</v>
      </c>
    </row>
    <row r="2591">
      <c r="A2591" s="4">
        <v>2589.0</v>
      </c>
      <c r="B2591" s="5" t="s">
        <v>7774</v>
      </c>
      <c r="C2591" s="4">
        <v>1.0</v>
      </c>
      <c r="D2591" s="5" t="s">
        <v>7775</v>
      </c>
      <c r="E2591" s="5" t="s">
        <v>7776</v>
      </c>
      <c r="F2591" s="6" t="str">
        <f>IFERROR(__xludf.DUMMYFUNCTION("GOOGLETRANSLATE(D2591,""en"",""it"")"),"Mi piacciono anche i professori e le fabbriche.")</f>
        <v>Mi piacciono anche i professori e le fabbriche.</v>
      </c>
      <c r="G2591" s="6" t="str">
        <f>IFERROR(__xludf.DUMMYFUNCTION("GOOGLETRANSLATE(E2591,""fr"",""it"")"),"Amo gli insegnanti, e anche le fabbriche.")</f>
        <v>Amo gli insegnanti, e anche le fabbriche.</v>
      </c>
    </row>
    <row r="2592">
      <c r="A2592" s="4">
        <v>2590.0</v>
      </c>
      <c r="B2592" s="5" t="s">
        <v>7777</v>
      </c>
      <c r="C2592" s="4">
        <v>1.0</v>
      </c>
      <c r="D2592" s="5" t="s">
        <v>7778</v>
      </c>
      <c r="E2592" s="5" t="s">
        <v>7779</v>
      </c>
      <c r="F2592" s="6" t="str">
        <f>IFERROR(__xludf.DUMMYFUNCTION("GOOGLETRANSLATE(D2592,""en"",""it"")"),"Mi piacciono anche le fabbriche e anche i professori.")</f>
        <v>Mi piacciono anche le fabbriche e anche i professori.</v>
      </c>
      <c r="G2592" s="6" t="str">
        <f>IFERROR(__xludf.DUMMYFUNCTION("GOOGLETRANSLATE(E2592,""fr"",""it"")"),"Amo le fabbriche e anche gli insegnanti.")</f>
        <v>Amo le fabbriche e anche gli insegnanti.</v>
      </c>
    </row>
    <row r="2593">
      <c r="A2593" s="4">
        <v>2591.0</v>
      </c>
      <c r="B2593" s="5" t="s">
        <v>7780</v>
      </c>
      <c r="C2593" s="4">
        <v>0.0</v>
      </c>
      <c r="D2593" s="5" t="s">
        <v>7781</v>
      </c>
      <c r="E2593" s="5" t="s">
        <v>7782</v>
      </c>
      <c r="F2593" s="6" t="str">
        <f>IFERROR(__xludf.DUMMYFUNCTION("GOOGLETRANSLATE(D2593,""en"",""it"")"),"Mi piacciono anche i professori e i lavoratori.")</f>
        <v>Mi piacciono anche i professori e i lavoratori.</v>
      </c>
      <c r="G2593" s="6" t="str">
        <f>IFERROR(__xludf.DUMMYFUNCTION("GOOGLETRANSLATE(E2593,""fr"",""it"")"),"Mi piacciono gli insegnanti e anche i lavoratori.")</f>
        <v>Mi piacciono gli insegnanti e anche i lavoratori.</v>
      </c>
    </row>
    <row r="2594">
      <c r="A2594" s="4">
        <v>2592.0</v>
      </c>
      <c r="B2594" s="5" t="s">
        <v>7783</v>
      </c>
      <c r="C2594" s="4">
        <v>0.0</v>
      </c>
      <c r="D2594" s="5" t="s">
        <v>7784</v>
      </c>
      <c r="E2594" s="5" t="s">
        <v>7785</v>
      </c>
      <c r="F2594" s="6" t="str">
        <f>IFERROR(__xludf.DUMMYFUNCTION("GOOGLETRANSLATE(D2594,""en"",""it"")"),"Mi piacciono i lavoratori e anche i professori.")</f>
        <v>Mi piacciono i lavoratori e anche i professori.</v>
      </c>
      <c r="G2594" s="6" t="str">
        <f>IFERROR(__xludf.DUMMYFUNCTION("GOOGLETRANSLATE(E2594,""fr"",""it"")"),"Amo i lavoratori e anche gli insegnanti.")</f>
        <v>Amo i lavoratori e anche gli insegnanti.</v>
      </c>
    </row>
    <row r="2595">
      <c r="A2595" s="4">
        <v>2593.0</v>
      </c>
      <c r="B2595" s="5" t="s">
        <v>7786</v>
      </c>
      <c r="C2595" s="4">
        <v>1.0</v>
      </c>
      <c r="D2595" s="5" t="s">
        <v>7787</v>
      </c>
      <c r="E2595" s="5" t="s">
        <v>7788</v>
      </c>
      <c r="F2595" s="6" t="str">
        <f>IFERROR(__xludf.DUMMYFUNCTION("GOOGLETRANSLATE(D2595,""en"",""it"")"),"Mi piacciono anche i professori e i ristoranti.")</f>
        <v>Mi piacciono anche i professori e i ristoranti.</v>
      </c>
      <c r="G2595" s="6" t="str">
        <f>IFERROR(__xludf.DUMMYFUNCTION("GOOGLETRANSLATE(E2595,""fr"",""it"")"),"Amo gli insegnanti e anche i ristoranti.")</f>
        <v>Amo gli insegnanti e anche i ristoranti.</v>
      </c>
    </row>
    <row r="2596">
      <c r="A2596" s="4">
        <v>2594.0</v>
      </c>
      <c r="B2596" s="5" t="s">
        <v>7789</v>
      </c>
      <c r="C2596" s="4">
        <v>1.0</v>
      </c>
      <c r="D2596" s="5" t="s">
        <v>7790</v>
      </c>
      <c r="E2596" s="5" t="s">
        <v>7791</v>
      </c>
      <c r="F2596" s="6" t="str">
        <f>IFERROR(__xludf.DUMMYFUNCTION("GOOGLETRANSLATE(D2596,""en"",""it"")"),"Mi piacciono i ristoranti e anche i professori.")</f>
        <v>Mi piacciono i ristoranti e anche i professori.</v>
      </c>
      <c r="G2596" s="6" t="str">
        <f>IFERROR(__xludf.DUMMYFUNCTION("GOOGLETRANSLATE(E2596,""fr"",""it"")"),"Amo i ristoranti e anche gli insegnanti.")</f>
        <v>Amo i ristoranti e anche gli insegnanti.</v>
      </c>
    </row>
    <row r="2597">
      <c r="A2597" s="4">
        <v>2595.0</v>
      </c>
      <c r="B2597" s="5" t="s">
        <v>7792</v>
      </c>
      <c r="C2597" s="4">
        <v>1.0</v>
      </c>
      <c r="D2597" s="5" t="s">
        <v>7793</v>
      </c>
      <c r="E2597" s="5" t="s">
        <v>7794</v>
      </c>
      <c r="F2597" s="6" t="str">
        <f>IFERROR(__xludf.DUMMYFUNCTION("GOOGLETRANSLATE(D2597,""en"",""it"")"),"Mi piacciono anche i professori e le scuole.")</f>
        <v>Mi piacciono anche i professori e le scuole.</v>
      </c>
      <c r="G2597" s="6" t="str">
        <f>IFERROR(__xludf.DUMMYFUNCTION("GOOGLETRANSLATE(E2597,""fr"",""it"")"),"Amo gli insegnanti e anche le scuole.")</f>
        <v>Amo gli insegnanti e anche le scuole.</v>
      </c>
    </row>
    <row r="2598">
      <c r="A2598" s="4">
        <v>2596.0</v>
      </c>
      <c r="B2598" s="5" t="s">
        <v>7795</v>
      </c>
      <c r="C2598" s="4">
        <v>1.0</v>
      </c>
      <c r="D2598" s="5" t="s">
        <v>7796</v>
      </c>
      <c r="E2598" s="5" t="s">
        <v>7797</v>
      </c>
      <c r="F2598" s="6" t="str">
        <f>IFERROR(__xludf.DUMMYFUNCTION("GOOGLETRANSLATE(D2598,""en"",""it"")"),"Mi piacciono le scuole e anche i professori.")</f>
        <v>Mi piacciono le scuole e anche i professori.</v>
      </c>
      <c r="G2598" s="6" t="str">
        <f>IFERROR(__xludf.DUMMYFUNCTION("GOOGLETRANSLATE(E2598,""fr"",""it"")"),"Amo le scuole e anche gli insegnanti.")</f>
        <v>Amo le scuole e anche gli insegnanti.</v>
      </c>
    </row>
    <row r="2599">
      <c r="A2599" s="4">
        <v>2597.0</v>
      </c>
      <c r="B2599" s="5" t="s">
        <v>7798</v>
      </c>
      <c r="C2599" s="4">
        <v>1.0</v>
      </c>
      <c r="D2599" s="5" t="s">
        <v>7799</v>
      </c>
      <c r="E2599" s="5" t="s">
        <v>7800</v>
      </c>
      <c r="F2599" s="6" t="str">
        <f>IFERROR(__xludf.DUMMYFUNCTION("GOOGLETRANSLATE(D2599,""en"",""it"")"),"Mi piacciono anche i professori e gli uffici.")</f>
        <v>Mi piacciono anche i professori e gli uffici.</v>
      </c>
      <c r="G2599" s="6" t="str">
        <f>IFERROR(__xludf.DUMMYFUNCTION("GOOGLETRANSLATE(E2599,""fr"",""it"")"),"Amo gli insegnanti, e anche gli uffici.")</f>
        <v>Amo gli insegnanti, e anche gli uffici.</v>
      </c>
    </row>
    <row r="2600">
      <c r="A2600" s="4">
        <v>2598.0</v>
      </c>
      <c r="B2600" s="5" t="s">
        <v>7801</v>
      </c>
      <c r="C2600" s="4">
        <v>1.0</v>
      </c>
      <c r="D2600" s="5" t="s">
        <v>7802</v>
      </c>
      <c r="E2600" s="5" t="s">
        <v>7803</v>
      </c>
      <c r="F2600" s="6" t="str">
        <f>IFERROR(__xludf.DUMMYFUNCTION("GOOGLETRANSLATE(D2600,""en"",""it"")"),"Mi piacciono anche gli uffici e i professori.")</f>
        <v>Mi piacciono anche gli uffici e i professori.</v>
      </c>
      <c r="G2600" s="6" t="str">
        <f>IFERROR(__xludf.DUMMYFUNCTION("GOOGLETRANSLATE(E2600,""fr"",""it"")"),"Adoro gli uffici e anche gli insegnanti.")</f>
        <v>Adoro gli uffici e anche gli insegnanti.</v>
      </c>
    </row>
    <row r="2601">
      <c r="A2601" s="4">
        <v>2599.0</v>
      </c>
      <c r="B2601" s="5" t="s">
        <v>7804</v>
      </c>
      <c r="C2601" s="4">
        <v>1.0</v>
      </c>
      <c r="D2601" s="5" t="s">
        <v>7805</v>
      </c>
      <c r="E2601" s="5" t="s">
        <v>7806</v>
      </c>
      <c r="F2601" s="6" t="str">
        <f>IFERROR(__xludf.DUMMYFUNCTION("GOOGLETRANSLATE(D2601,""en"",""it"")"),"Ho incontrato i biologi e anche gli impiegati.")</f>
        <v>Ho incontrato i biologi e anche gli impiegati.</v>
      </c>
      <c r="G2601" s="6" t="str">
        <f>IFERROR(__xludf.DUMMYFUNCTION("GOOGLETRANSLATE(E2601,""fr"",""it"")"),"Ho incontrato biologi e anche i commessi.")</f>
        <v>Ho incontrato biologi e anche i commessi.</v>
      </c>
    </row>
    <row r="2602">
      <c r="A2602" s="4">
        <v>2600.0</v>
      </c>
      <c r="B2602" s="5" t="s">
        <v>7807</v>
      </c>
      <c r="C2602" s="4">
        <v>1.0</v>
      </c>
      <c r="D2602" s="5" t="s">
        <v>7808</v>
      </c>
      <c r="E2602" s="5" t="s">
        <v>7809</v>
      </c>
      <c r="F2602" s="6" t="str">
        <f>IFERROR(__xludf.DUMMYFUNCTION("GOOGLETRANSLATE(D2602,""en"",""it"")"),"Ho incontrato gli impiegati e anche i biologi.")</f>
        <v>Ho incontrato gli impiegati e anche i biologi.</v>
      </c>
      <c r="G2602" s="6" t="str">
        <f>IFERROR(__xludf.DUMMYFUNCTION("GOOGLETRANSLATE(E2602,""fr"",""it"")"),"Ho incontrato gli impiegati e anche i biologi.")</f>
        <v>Ho incontrato gli impiegati e anche i biologi.</v>
      </c>
    </row>
    <row r="2603">
      <c r="A2603" s="4">
        <v>2601.0</v>
      </c>
      <c r="B2603" s="5" t="s">
        <v>7810</v>
      </c>
      <c r="C2603" s="4">
        <v>0.0</v>
      </c>
      <c r="D2603" s="5" t="s">
        <v>7811</v>
      </c>
      <c r="E2603" s="5" t="s">
        <v>7812</v>
      </c>
      <c r="F2603" s="6" t="str">
        <f>IFERROR(__xludf.DUMMYFUNCTION("GOOGLETRANSLATE(D2603,""en"",""it"")"),"Ho incontrato anche i biologi e gli scienziati.")</f>
        <v>Ho incontrato anche i biologi e gli scienziati.</v>
      </c>
      <c r="G2603" s="6" t="str">
        <f>IFERROR(__xludf.DUMMYFUNCTION("GOOGLETRANSLATE(E2603,""fr"",""it"")"),"Ho incontrato biologi e anche gli scienziati.")</f>
        <v>Ho incontrato biologi e anche gli scienziati.</v>
      </c>
    </row>
    <row r="2604">
      <c r="A2604" s="4">
        <v>2602.0</v>
      </c>
      <c r="B2604" s="5" t="s">
        <v>7813</v>
      </c>
      <c r="C2604" s="4">
        <v>0.0</v>
      </c>
      <c r="D2604" s="5" t="s">
        <v>7814</v>
      </c>
      <c r="E2604" s="5" t="s">
        <v>7815</v>
      </c>
      <c r="F2604" s="6" t="str">
        <f>IFERROR(__xludf.DUMMYFUNCTION("GOOGLETRANSLATE(D2604,""en"",""it"")"),"Ho incontrato anche gli scienziati e i biologi.")</f>
        <v>Ho incontrato anche gli scienziati e i biologi.</v>
      </c>
      <c r="G2604" s="6" t="str">
        <f>IFERROR(__xludf.DUMMYFUNCTION("GOOGLETRANSLATE(E2604,""fr"",""it"")"),"Ho incontrato gli scienziati e anche i biologi.")</f>
        <v>Ho incontrato gli scienziati e anche i biologi.</v>
      </c>
    </row>
    <row r="2605">
      <c r="A2605" s="4">
        <v>2603.0</v>
      </c>
      <c r="B2605" s="5" t="s">
        <v>7816</v>
      </c>
      <c r="C2605" s="4">
        <v>1.0</v>
      </c>
      <c r="D2605" s="5" t="s">
        <v>7817</v>
      </c>
      <c r="E2605" s="5" t="s">
        <v>7818</v>
      </c>
      <c r="F2605" s="6" t="str">
        <f>IFERROR(__xludf.DUMMYFUNCTION("GOOGLETRANSLATE(D2605,""en"",""it"")"),"Ho incontrato anche gli scienziati e gli impiegati.")</f>
        <v>Ho incontrato anche gli scienziati e gli impiegati.</v>
      </c>
      <c r="G2605" s="6" t="str">
        <f>IFERROR(__xludf.DUMMYFUNCTION("GOOGLETRANSLATE(E2605,""fr"",""it"")"),"Ho incontrato gli scienziati e anche i commessi.")</f>
        <v>Ho incontrato gli scienziati e anche i commessi.</v>
      </c>
    </row>
    <row r="2606">
      <c r="A2606" s="4">
        <v>2604.0</v>
      </c>
      <c r="B2606" s="5" t="s">
        <v>7819</v>
      </c>
      <c r="C2606" s="4">
        <v>1.0</v>
      </c>
      <c r="D2606" s="5" t="s">
        <v>7820</v>
      </c>
      <c r="E2606" s="5" t="s">
        <v>7821</v>
      </c>
      <c r="F2606" s="6" t="str">
        <f>IFERROR(__xludf.DUMMYFUNCTION("GOOGLETRANSLATE(D2606,""en"",""it"")"),"Ho incontrato anche i biologi e i camerieri.")</f>
        <v>Ho incontrato anche i biologi e i camerieri.</v>
      </c>
      <c r="G2606" s="6" t="str">
        <f>IFERROR(__xludf.DUMMYFUNCTION("GOOGLETRANSLATE(E2606,""fr"",""it"")"),"Ho incontrato biologi e anche i camerieri.")</f>
        <v>Ho incontrato biologi e anche i camerieri.</v>
      </c>
    </row>
    <row r="2607">
      <c r="A2607" s="4">
        <v>2605.0</v>
      </c>
      <c r="B2607" s="5" t="s">
        <v>7822</v>
      </c>
      <c r="C2607" s="4">
        <v>1.0</v>
      </c>
      <c r="D2607" s="5" t="s">
        <v>7823</v>
      </c>
      <c r="E2607" s="5" t="s">
        <v>7824</v>
      </c>
      <c r="F2607" s="6" t="str">
        <f>IFERROR(__xludf.DUMMYFUNCTION("GOOGLETRANSLATE(D2607,""en"",""it"")"),"Ho incontrato anche i camerieri e i biologi.")</f>
        <v>Ho incontrato anche i camerieri e i biologi.</v>
      </c>
      <c r="G2607" s="6" t="str">
        <f>IFERROR(__xludf.DUMMYFUNCTION("GOOGLETRANSLATE(E2607,""fr"",""it"")"),"Ho incontrato i camerieri e anche i biologi.")</f>
        <v>Ho incontrato i camerieri e anche i biologi.</v>
      </c>
    </row>
    <row r="2608">
      <c r="A2608" s="4">
        <v>2606.0</v>
      </c>
      <c r="B2608" s="5" t="s">
        <v>7825</v>
      </c>
      <c r="C2608" s="4">
        <v>1.0</v>
      </c>
      <c r="D2608" s="5" t="s">
        <v>7826</v>
      </c>
      <c r="E2608" s="5" t="s">
        <v>7827</v>
      </c>
      <c r="F2608" s="6" t="str">
        <f>IFERROR(__xludf.DUMMYFUNCTION("GOOGLETRANSLATE(D2608,""en"",""it"")"),"Ho incontrato anche scienziati e camerieri.")</f>
        <v>Ho incontrato anche scienziati e camerieri.</v>
      </c>
      <c r="G2608" s="6" t="str">
        <f>IFERROR(__xludf.DUMMYFUNCTION("GOOGLETRANSLATE(E2608,""fr"",""it"")"),"Ho incontrato gli scienziati e anche i camerieri.")</f>
        <v>Ho incontrato gli scienziati e anche i camerieri.</v>
      </c>
    </row>
    <row r="2609">
      <c r="A2609" s="4">
        <v>2607.0</v>
      </c>
      <c r="B2609" s="5" t="s">
        <v>7828</v>
      </c>
      <c r="C2609" s="4">
        <v>1.0</v>
      </c>
      <c r="D2609" s="5" t="s">
        <v>7829</v>
      </c>
      <c r="E2609" s="5" t="s">
        <v>7830</v>
      </c>
      <c r="F2609" s="6" t="str">
        <f>IFERROR(__xludf.DUMMYFUNCTION("GOOGLETRANSLATE(D2609,""en"",""it"")"),"Ho incontrato biologi e anche i custodi.")</f>
        <v>Ho incontrato biologi e anche i custodi.</v>
      </c>
      <c r="G2609" s="6" t="str">
        <f>IFERROR(__xludf.DUMMYFUNCTION("GOOGLETRANSLATE(E2609,""fr"",""it"")"),"Ho incontrato i biologi e anche le guardie.")</f>
        <v>Ho incontrato i biologi e anche le guardie.</v>
      </c>
    </row>
    <row r="2610">
      <c r="A2610" s="4">
        <v>2608.0</v>
      </c>
      <c r="B2610" s="5" t="s">
        <v>7831</v>
      </c>
      <c r="C2610" s="4">
        <v>1.0</v>
      </c>
      <c r="D2610" s="5" t="s">
        <v>7832</v>
      </c>
      <c r="E2610" s="5" t="s">
        <v>7833</v>
      </c>
      <c r="F2610" s="6" t="str">
        <f>IFERROR(__xludf.DUMMYFUNCTION("GOOGLETRANSLATE(D2610,""en"",""it"")"),"Ho incontrato anche custodi e biologi.")</f>
        <v>Ho incontrato anche custodi e biologi.</v>
      </c>
      <c r="G2610" s="6" t="str">
        <f>IFERROR(__xludf.DUMMYFUNCTION("GOOGLETRANSLATE(E2610,""fr"",""it"")"),"Ho incontrato le guardie e anche i biologi.")</f>
        <v>Ho incontrato le guardie e anche i biologi.</v>
      </c>
    </row>
    <row r="2611">
      <c r="A2611" s="4">
        <v>2609.0</v>
      </c>
      <c r="B2611" s="5" t="s">
        <v>7834</v>
      </c>
      <c r="C2611" s="4">
        <v>1.0</v>
      </c>
      <c r="D2611" s="5" t="s">
        <v>7835</v>
      </c>
      <c r="E2611" s="5" t="s">
        <v>7836</v>
      </c>
      <c r="F2611" s="6" t="str">
        <f>IFERROR(__xludf.DUMMYFUNCTION("GOOGLETRANSLATE(D2611,""en"",""it"")"),"Ho incontrato anche gli scienziati e i custodi.")</f>
        <v>Ho incontrato anche gli scienziati e i custodi.</v>
      </c>
      <c r="G2611" s="6" t="str">
        <f>IFERROR(__xludf.DUMMYFUNCTION("GOOGLETRANSLATE(E2611,""fr"",""it"")"),"Ho incontrato gli scienziati, e anche le guardie.")</f>
        <v>Ho incontrato gli scienziati, e anche le guardie.</v>
      </c>
    </row>
    <row r="2612">
      <c r="A2612" s="4">
        <v>2610.0</v>
      </c>
      <c r="B2612" s="5" t="s">
        <v>7837</v>
      </c>
      <c r="C2612" s="4">
        <v>1.0</v>
      </c>
      <c r="D2612" s="5" t="s">
        <v>7838</v>
      </c>
      <c r="E2612" s="5" t="s">
        <v>7839</v>
      </c>
      <c r="F2612" s="6" t="str">
        <f>IFERROR(__xludf.DUMMYFUNCTION("GOOGLETRANSLATE(D2612,""en"",""it"")"),"Ho incontrato biologi e anche i bidoni.")</f>
        <v>Ho incontrato biologi e anche i bidoni.</v>
      </c>
      <c r="G2612" s="6" t="str">
        <f>IFERROR(__xludf.DUMMYFUNCTION("GOOGLETRANSLATE(E2612,""fr"",""it"")"),"Ho incontrato biologi e anche i conietti.")</f>
        <v>Ho incontrato biologi e anche i conietti.</v>
      </c>
    </row>
    <row r="2613">
      <c r="A2613" s="4">
        <v>2611.0</v>
      </c>
      <c r="B2613" s="5" t="s">
        <v>7840</v>
      </c>
      <c r="C2613" s="4">
        <v>1.0</v>
      </c>
      <c r="D2613" s="5" t="s">
        <v>7841</v>
      </c>
      <c r="E2613" s="5" t="s">
        <v>7842</v>
      </c>
      <c r="F2613" s="6" t="str">
        <f>IFERROR(__xludf.DUMMYFUNCTION("GOOGLETRANSLATE(D2613,""en"",""it"")"),"Ho incontrato anche i bidelli e biologi.")</f>
        <v>Ho incontrato anche i bidelli e biologi.</v>
      </c>
      <c r="G2613" s="6" t="str">
        <f>IFERROR(__xludf.DUMMYFUNCTION("GOOGLETRANSLATE(E2613,""fr"",""it"")"),"Ho incontrato i concierges e anche i biologi.")</f>
        <v>Ho incontrato i concierges e anche i biologi.</v>
      </c>
    </row>
    <row r="2614">
      <c r="A2614" s="4">
        <v>2612.0</v>
      </c>
      <c r="B2614" s="5" t="s">
        <v>7843</v>
      </c>
      <c r="C2614" s="4">
        <v>1.0</v>
      </c>
      <c r="D2614" s="5" t="s">
        <v>7844</v>
      </c>
      <c r="E2614" s="5" t="s">
        <v>7845</v>
      </c>
      <c r="F2614" s="6" t="str">
        <f>IFERROR(__xludf.DUMMYFUNCTION("GOOGLETRANSLATE(D2614,""en"",""it"")"),"Ho incontrato anche scienziati e bidelli anche.")</f>
        <v>Ho incontrato anche scienziati e bidelli anche.</v>
      </c>
      <c r="G2614" s="6" t="str">
        <f>IFERROR(__xludf.DUMMYFUNCTION("GOOGLETRANSLATE(E2614,""fr"",""it"")"),"Ho incontrato gli scienziati e anche i porciere.")</f>
        <v>Ho incontrato gli scienziati e anche i porciere.</v>
      </c>
    </row>
    <row r="2615">
      <c r="A2615" s="4">
        <v>2613.0</v>
      </c>
      <c r="B2615" s="5" t="s">
        <v>7846</v>
      </c>
      <c r="C2615" s="4">
        <v>1.0</v>
      </c>
      <c r="D2615" s="5" t="s">
        <v>7847</v>
      </c>
      <c r="E2615" s="5" t="s">
        <v>7848</v>
      </c>
      <c r="F2615" s="6" t="str">
        <f>IFERROR(__xludf.DUMMYFUNCTION("GOOGLETRANSLATE(D2615,""en"",""it"")"),"Ho incontrato i geneticisti e anche gli impiegati.")</f>
        <v>Ho incontrato i geneticisti e anche gli impiegati.</v>
      </c>
      <c r="G2615" s="6" t="str">
        <f>IFERROR(__xludf.DUMMYFUNCTION("GOOGLETRANSLATE(E2615,""fr"",""it"")"),"Ho incontrato i genetisti, e anche i commessi.")</f>
        <v>Ho incontrato i genetisti, e anche i commessi.</v>
      </c>
    </row>
    <row r="2616">
      <c r="A2616" s="4">
        <v>2614.0</v>
      </c>
      <c r="B2616" s="5" t="s">
        <v>7849</v>
      </c>
      <c r="C2616" s="4">
        <v>1.0</v>
      </c>
      <c r="D2616" s="5" t="s">
        <v>7850</v>
      </c>
      <c r="E2616" s="5" t="s">
        <v>7851</v>
      </c>
      <c r="F2616" s="6" t="str">
        <f>IFERROR(__xludf.DUMMYFUNCTION("GOOGLETRANSLATE(D2616,""en"",""it"")"),"Ho incontrato gli impiegati e anche i genetisti.")</f>
        <v>Ho incontrato gli impiegati e anche i genetisti.</v>
      </c>
      <c r="G2616" s="6" t="str">
        <f>IFERROR(__xludf.DUMMYFUNCTION("GOOGLETRANSLATE(E2616,""fr"",""it"")"),"Ho incontrato gli impiegati, e anche i genetisti.")</f>
        <v>Ho incontrato gli impiegati, e anche i genetisti.</v>
      </c>
    </row>
    <row r="2617">
      <c r="A2617" s="4">
        <v>2615.0</v>
      </c>
      <c r="B2617" s="5" t="s">
        <v>7852</v>
      </c>
      <c r="C2617" s="4">
        <v>0.0</v>
      </c>
      <c r="D2617" s="5" t="s">
        <v>7853</v>
      </c>
      <c r="E2617" s="5" t="s">
        <v>7854</v>
      </c>
      <c r="F2617" s="6" t="str">
        <f>IFERROR(__xludf.DUMMYFUNCTION("GOOGLETRANSLATE(D2617,""en"",""it"")"),"Ho incontrato anche i genetisti e gli scienziati.")</f>
        <v>Ho incontrato anche i genetisti e gli scienziati.</v>
      </c>
      <c r="G2617" s="6" t="str">
        <f>IFERROR(__xludf.DUMMYFUNCTION("GOOGLETRANSLATE(E2617,""fr"",""it"")"),"Ho incontrato i genetisti e anche gli scienziati.")</f>
        <v>Ho incontrato i genetisti e anche gli scienziati.</v>
      </c>
    </row>
    <row r="2618">
      <c r="A2618" s="4">
        <v>2616.0</v>
      </c>
      <c r="B2618" s="5" t="s">
        <v>7855</v>
      </c>
      <c r="C2618" s="4">
        <v>0.0</v>
      </c>
      <c r="D2618" s="5" t="s">
        <v>7856</v>
      </c>
      <c r="E2618" s="5" t="s">
        <v>7857</v>
      </c>
      <c r="F2618" s="6" t="str">
        <f>IFERROR(__xludf.DUMMYFUNCTION("GOOGLETRANSLATE(D2618,""en"",""it"")"),"Ho incontrato anche scienziati e genetisti.")</f>
        <v>Ho incontrato anche scienziati e genetisti.</v>
      </c>
      <c r="G2618" s="6" t="str">
        <f>IFERROR(__xludf.DUMMYFUNCTION("GOOGLETRANSLATE(E2618,""fr"",""it"")"),"Ho incontrato gli scienziati e anche i genetisti.")</f>
        <v>Ho incontrato gli scienziati e anche i genetisti.</v>
      </c>
    </row>
    <row r="2619">
      <c r="A2619" s="4">
        <v>2617.0</v>
      </c>
      <c r="B2619" s="5" t="s">
        <v>7858</v>
      </c>
      <c r="C2619" s="4">
        <v>1.0</v>
      </c>
      <c r="D2619" s="5" t="s">
        <v>7859</v>
      </c>
      <c r="E2619" s="5" t="s">
        <v>7860</v>
      </c>
      <c r="F2619" s="6" t="str">
        <f>IFERROR(__xludf.DUMMYFUNCTION("GOOGLETRANSLATE(D2619,""en"",""it"")"),"Ho incontrato i genetisti e anche i camerieri.")</f>
        <v>Ho incontrato i genetisti e anche i camerieri.</v>
      </c>
      <c r="G2619" s="6" t="str">
        <f>IFERROR(__xludf.DUMMYFUNCTION("GOOGLETRANSLATE(E2619,""fr"",""it"")"),"Ho incontrato i genetisti, e anche i camerieri.")</f>
        <v>Ho incontrato i genetisti, e anche i camerieri.</v>
      </c>
    </row>
    <row r="2620">
      <c r="A2620" s="4">
        <v>2618.0</v>
      </c>
      <c r="B2620" s="5" t="s">
        <v>7861</v>
      </c>
      <c r="C2620" s="4">
        <v>1.0</v>
      </c>
      <c r="D2620" s="5" t="s">
        <v>7862</v>
      </c>
      <c r="E2620" s="5" t="s">
        <v>7863</v>
      </c>
      <c r="F2620" s="6" t="str">
        <f>IFERROR(__xludf.DUMMYFUNCTION("GOOGLETRANSLATE(D2620,""en"",""it"")"),"Ho incontrato anche i camerieri e i genetisti.")</f>
        <v>Ho incontrato anche i camerieri e i genetisti.</v>
      </c>
      <c r="G2620" s="6" t="str">
        <f>IFERROR(__xludf.DUMMYFUNCTION("GOOGLETRANSLATE(E2620,""fr"",""it"")"),"Ho incontrato i camerieri e anche i genetisti.")</f>
        <v>Ho incontrato i camerieri e anche i genetisti.</v>
      </c>
    </row>
    <row r="2621">
      <c r="A2621" s="4">
        <v>2619.0</v>
      </c>
      <c r="B2621" s="5" t="s">
        <v>7864</v>
      </c>
      <c r="C2621" s="4">
        <v>1.0</v>
      </c>
      <c r="D2621" s="5" t="s">
        <v>7865</v>
      </c>
      <c r="E2621" s="5" t="s">
        <v>7866</v>
      </c>
      <c r="F2621" s="6" t="str">
        <f>IFERROR(__xludf.DUMMYFUNCTION("GOOGLETRANSLATE(D2621,""en"",""it"")"),"Ho incontrato i genetisti e anche i custodi.")</f>
        <v>Ho incontrato i genetisti e anche i custodi.</v>
      </c>
      <c r="G2621" s="6" t="str">
        <f>IFERROR(__xludf.DUMMYFUNCTION("GOOGLETRANSLATE(E2621,""fr"",""it"")"),"Ho incontrato i genetisti, e anche le guardie.")</f>
        <v>Ho incontrato i genetisti, e anche le guardie.</v>
      </c>
    </row>
    <row r="2622">
      <c r="A2622" s="4">
        <v>2620.0</v>
      </c>
      <c r="B2622" s="5" t="s">
        <v>7867</v>
      </c>
      <c r="C2622" s="4">
        <v>1.0</v>
      </c>
      <c r="D2622" s="5" t="s">
        <v>7868</v>
      </c>
      <c r="E2622" s="5" t="s">
        <v>7869</v>
      </c>
      <c r="F2622" s="6" t="str">
        <f>IFERROR(__xludf.DUMMYFUNCTION("GOOGLETRANSLATE(D2622,""en"",""it"")"),"Ho incontrato anche i custodi e i genetisti.")</f>
        <v>Ho incontrato anche i custodi e i genetisti.</v>
      </c>
      <c r="G2622" s="6" t="str">
        <f>IFERROR(__xludf.DUMMYFUNCTION("GOOGLETRANSLATE(E2622,""fr"",""it"")"),"Ho incontrato le guardie e anche i genetisti.")</f>
        <v>Ho incontrato le guardie e anche i genetisti.</v>
      </c>
    </row>
    <row r="2623">
      <c r="A2623" s="4">
        <v>2621.0</v>
      </c>
      <c r="B2623" s="5" t="s">
        <v>7870</v>
      </c>
      <c r="C2623" s="4">
        <v>1.0</v>
      </c>
      <c r="D2623" s="5" t="s">
        <v>7871</v>
      </c>
      <c r="E2623" s="5" t="s">
        <v>7872</v>
      </c>
      <c r="F2623" s="6" t="str">
        <f>IFERROR(__xludf.DUMMYFUNCTION("GOOGLETRANSLATE(D2623,""en"",""it"")"),"Ho incontrato i genetisti e anche i bidelli.")</f>
        <v>Ho incontrato i genetisti e anche i bidelli.</v>
      </c>
      <c r="G2623" s="6" t="str">
        <f>IFERROR(__xludf.DUMMYFUNCTION("GOOGLETRANSLATE(E2623,""fr"",""it"")"),"Ho incontrato i genetisti e anche i porciere.")</f>
        <v>Ho incontrato i genetisti e anche i porciere.</v>
      </c>
    </row>
    <row r="2624">
      <c r="A2624" s="4">
        <v>2622.0</v>
      </c>
      <c r="B2624" s="5" t="s">
        <v>7873</v>
      </c>
      <c r="C2624" s="4">
        <v>1.0</v>
      </c>
      <c r="D2624" s="5" t="s">
        <v>7874</v>
      </c>
      <c r="E2624" s="5" t="s">
        <v>7875</v>
      </c>
      <c r="F2624" s="6" t="str">
        <f>IFERROR(__xludf.DUMMYFUNCTION("GOOGLETRANSLATE(D2624,""en"",""it"")"),"Ho incontrato anche i bidelli e genetisti.")</f>
        <v>Ho incontrato anche i bidelli e genetisti.</v>
      </c>
      <c r="G2624" s="6" t="str">
        <f>IFERROR(__xludf.DUMMYFUNCTION("GOOGLETRANSLATE(E2624,""fr"",""it"")"),"Ho incontrato i conciergie e anche i genetisti.")</f>
        <v>Ho incontrato i conciergie e anche i genetisti.</v>
      </c>
    </row>
    <row r="2625">
      <c r="A2625" s="4">
        <v>2623.0</v>
      </c>
      <c r="B2625" s="5" t="s">
        <v>7876</v>
      </c>
      <c r="C2625" s="4">
        <v>1.0</v>
      </c>
      <c r="D2625" s="5" t="s">
        <v>7877</v>
      </c>
      <c r="E2625" s="5" t="s">
        <v>7878</v>
      </c>
      <c r="F2625" s="6" t="str">
        <f>IFERROR(__xludf.DUMMYFUNCTION("GOOGLETRANSLATE(D2625,""en"",""it"")"),"Ho incontrato anche gli astronomi e gli impiegati.")</f>
        <v>Ho incontrato anche gli astronomi e gli impiegati.</v>
      </c>
      <c r="G2625" s="6" t="str">
        <f>IFERROR(__xludf.DUMMYFUNCTION("GOOGLETRANSLATE(E2625,""fr"",""it"")"),"Ho incontrato gli astronomi, e anche gli impiegati.")</f>
        <v>Ho incontrato gli astronomi, e anche gli impiegati.</v>
      </c>
    </row>
    <row r="2626">
      <c r="A2626" s="4">
        <v>2624.0</v>
      </c>
      <c r="B2626" s="5" t="s">
        <v>7879</v>
      </c>
      <c r="C2626" s="4">
        <v>1.0</v>
      </c>
      <c r="D2626" s="5" t="s">
        <v>7880</v>
      </c>
      <c r="E2626" s="5" t="s">
        <v>7881</v>
      </c>
      <c r="F2626" s="6" t="str">
        <f>IFERROR(__xludf.DUMMYFUNCTION("GOOGLETRANSLATE(D2626,""en"",""it"")"),"Ho incontrato gli impiegati e anche gli astronomi.")</f>
        <v>Ho incontrato gli impiegati e anche gli astronomi.</v>
      </c>
      <c r="G2626" s="6" t="str">
        <f>IFERROR(__xludf.DUMMYFUNCTION("GOOGLETRANSLATE(E2626,""fr"",""it"")"),"Ho incontrato gli impiegati e anche gli astronomi.")</f>
        <v>Ho incontrato gli impiegati e anche gli astronomi.</v>
      </c>
    </row>
    <row r="2627">
      <c r="A2627" s="4">
        <v>2625.0</v>
      </c>
      <c r="B2627" s="5" t="s">
        <v>7882</v>
      </c>
      <c r="C2627" s="4">
        <v>0.0</v>
      </c>
      <c r="D2627" s="5" t="s">
        <v>7883</v>
      </c>
      <c r="E2627" s="5" t="s">
        <v>7884</v>
      </c>
      <c r="F2627" s="6" t="str">
        <f>IFERROR(__xludf.DUMMYFUNCTION("GOOGLETRANSLATE(D2627,""en"",""it"")"),"Ho incontrato anche gli astronomi e gli scienziati.")</f>
        <v>Ho incontrato anche gli astronomi e gli scienziati.</v>
      </c>
      <c r="G2627" s="6" t="str">
        <f>IFERROR(__xludf.DUMMYFUNCTION("GOOGLETRANSLATE(E2627,""fr"",""it"")"),"Ho incontrato gli astronomi e anche gli scienziati.")</f>
        <v>Ho incontrato gli astronomi e anche gli scienziati.</v>
      </c>
    </row>
    <row r="2628">
      <c r="A2628" s="4">
        <v>2626.0</v>
      </c>
      <c r="B2628" s="5" t="s">
        <v>7885</v>
      </c>
      <c r="C2628" s="4">
        <v>0.0</v>
      </c>
      <c r="D2628" s="5" t="s">
        <v>7886</v>
      </c>
      <c r="E2628" s="5" t="s">
        <v>7887</v>
      </c>
      <c r="F2628" s="6" t="str">
        <f>IFERROR(__xludf.DUMMYFUNCTION("GOOGLETRANSLATE(D2628,""en"",""it"")"),"Ho incontrato anche gli scienziati e gli astronomi.")</f>
        <v>Ho incontrato anche gli scienziati e gli astronomi.</v>
      </c>
      <c r="G2628" s="6" t="str">
        <f>IFERROR(__xludf.DUMMYFUNCTION("GOOGLETRANSLATE(E2628,""fr"",""it"")"),"Ho incontrato gli scienziati e anche gli astronomi.")</f>
        <v>Ho incontrato gli scienziati e anche gli astronomi.</v>
      </c>
    </row>
    <row r="2629">
      <c r="A2629" s="4">
        <v>2627.0</v>
      </c>
      <c r="B2629" s="5" t="s">
        <v>7888</v>
      </c>
      <c r="C2629" s="4">
        <v>1.0</v>
      </c>
      <c r="D2629" s="5" t="s">
        <v>7889</v>
      </c>
      <c r="E2629" s="5" t="s">
        <v>7890</v>
      </c>
      <c r="F2629" s="6" t="str">
        <f>IFERROR(__xludf.DUMMYFUNCTION("GOOGLETRANSLATE(D2629,""en"",""it"")"),"Ho incontrato anche gli astronomi e i camerieri.")</f>
        <v>Ho incontrato anche gli astronomi e i camerieri.</v>
      </c>
      <c r="G2629" s="6" t="str">
        <f>IFERROR(__xludf.DUMMYFUNCTION("GOOGLETRANSLATE(E2629,""fr"",""it"")"),"Ho incontrato gli astronomi, e anche i camerieri.")</f>
        <v>Ho incontrato gli astronomi, e anche i camerieri.</v>
      </c>
    </row>
    <row r="2630">
      <c r="A2630" s="4">
        <v>2628.0</v>
      </c>
      <c r="B2630" s="5" t="s">
        <v>7891</v>
      </c>
      <c r="C2630" s="4">
        <v>1.0</v>
      </c>
      <c r="D2630" s="5" t="s">
        <v>7892</v>
      </c>
      <c r="E2630" s="5" t="s">
        <v>7893</v>
      </c>
      <c r="F2630" s="6" t="str">
        <f>IFERROR(__xludf.DUMMYFUNCTION("GOOGLETRANSLATE(D2630,""en"",""it"")"),"Ho incontrato i camerieri e anche gli astronomi.")</f>
        <v>Ho incontrato i camerieri e anche gli astronomi.</v>
      </c>
      <c r="G2630" s="6" t="str">
        <f>IFERROR(__xludf.DUMMYFUNCTION("GOOGLETRANSLATE(E2630,""fr"",""it"")"),"Ho incontrato i camerieri e anche gli astronomi.")</f>
        <v>Ho incontrato i camerieri e anche gli astronomi.</v>
      </c>
    </row>
    <row r="2631">
      <c r="A2631" s="4">
        <v>2629.0</v>
      </c>
      <c r="B2631" s="5" t="s">
        <v>7894</v>
      </c>
      <c r="C2631" s="4">
        <v>1.0</v>
      </c>
      <c r="D2631" s="5" t="s">
        <v>7895</v>
      </c>
      <c r="E2631" s="5" t="s">
        <v>7896</v>
      </c>
      <c r="F2631" s="6" t="str">
        <f>IFERROR(__xludf.DUMMYFUNCTION("GOOGLETRANSLATE(D2631,""en"",""it"")"),"Ho incontrato anche gli astronomi e i custodi.")</f>
        <v>Ho incontrato anche gli astronomi e i custodi.</v>
      </c>
      <c r="G2631" s="6" t="str">
        <f>IFERROR(__xludf.DUMMYFUNCTION("GOOGLETRANSLATE(E2631,""fr"",""it"")"),"Ho incontrato gli astronomi e anche le guardie.")</f>
        <v>Ho incontrato gli astronomi e anche le guardie.</v>
      </c>
    </row>
    <row r="2632">
      <c r="A2632" s="4">
        <v>2630.0</v>
      </c>
      <c r="B2632" s="5" t="s">
        <v>7897</v>
      </c>
      <c r="C2632" s="4">
        <v>1.0</v>
      </c>
      <c r="D2632" s="5" t="s">
        <v>7898</v>
      </c>
      <c r="E2632" s="5" t="s">
        <v>7899</v>
      </c>
      <c r="F2632" s="6" t="str">
        <f>IFERROR(__xludf.DUMMYFUNCTION("GOOGLETRANSLATE(D2632,""en"",""it"")"),"Ho incontrato anche i custodi e gli astronomi.")</f>
        <v>Ho incontrato anche i custodi e gli astronomi.</v>
      </c>
      <c r="G2632" s="6" t="str">
        <f>IFERROR(__xludf.DUMMYFUNCTION("GOOGLETRANSLATE(E2632,""fr"",""it"")"),"Ho incontrato le guardie e anche gli astronomi.")</f>
        <v>Ho incontrato le guardie e anche gli astronomi.</v>
      </c>
    </row>
    <row r="2633">
      <c r="A2633" s="4">
        <v>2631.0</v>
      </c>
      <c r="B2633" s="5" t="s">
        <v>7900</v>
      </c>
      <c r="C2633" s="4">
        <v>1.0</v>
      </c>
      <c r="D2633" s="5" t="s">
        <v>7901</v>
      </c>
      <c r="E2633" s="5" t="s">
        <v>7902</v>
      </c>
      <c r="F2633" s="6" t="str">
        <f>IFERROR(__xludf.DUMMYFUNCTION("GOOGLETRANSLATE(D2633,""en"",""it"")"),"Ho incontrato anche gli astronomi e anche i bidelli.")</f>
        <v>Ho incontrato anche gli astronomi e anche i bidelli.</v>
      </c>
      <c r="G2633" s="6" t="str">
        <f>IFERROR(__xludf.DUMMYFUNCTION("GOOGLETRANSLATE(E2633,""fr"",""it"")"),"Ho incontrato gli astronomi e anche i conietti.")</f>
        <v>Ho incontrato gli astronomi e anche i conietti.</v>
      </c>
    </row>
    <row r="2634">
      <c r="A2634" s="4">
        <v>2632.0</v>
      </c>
      <c r="B2634" s="5" t="s">
        <v>7903</v>
      </c>
      <c r="C2634" s="4">
        <v>1.0</v>
      </c>
      <c r="D2634" s="5" t="s">
        <v>7904</v>
      </c>
      <c r="E2634" s="5" t="s">
        <v>7905</v>
      </c>
      <c r="F2634" s="6" t="str">
        <f>IFERROR(__xludf.DUMMYFUNCTION("GOOGLETRANSLATE(D2634,""en"",""it"")"),"Ho incontrato anche i bidelli e gli astronomi.")</f>
        <v>Ho incontrato anche i bidelli e gli astronomi.</v>
      </c>
      <c r="G2634" s="6" t="str">
        <f>IFERROR(__xludf.DUMMYFUNCTION("GOOGLETRANSLATE(E2634,""fr"",""it"")"),"Ho incontrato i conciergie e anche gli astronomi.")</f>
        <v>Ho incontrato i conciergie e anche gli astronomi.</v>
      </c>
    </row>
    <row r="2635">
      <c r="A2635" s="4">
        <v>2633.0</v>
      </c>
      <c r="B2635" s="5" t="s">
        <v>7906</v>
      </c>
      <c r="C2635" s="4">
        <v>1.0</v>
      </c>
      <c r="D2635" s="5" t="s">
        <v>7907</v>
      </c>
      <c r="E2635" s="5" t="s">
        <v>7908</v>
      </c>
      <c r="F2635" s="6" t="str">
        <f>IFERROR(__xludf.DUMMYFUNCTION("GOOGLETRANSLATE(D2635,""en"",""it"")"),"Ho incontrato anche i fisici e gli impiegati.")</f>
        <v>Ho incontrato anche i fisici e gli impiegati.</v>
      </c>
      <c r="G2635" s="6" t="str">
        <f>IFERROR(__xludf.DUMMYFUNCTION("GOOGLETRANSLATE(E2635,""fr"",""it"")"),"Ho incontrato i fisici e anche i commessi.")</f>
        <v>Ho incontrato i fisici e anche i commessi.</v>
      </c>
    </row>
    <row r="2636">
      <c r="A2636" s="4">
        <v>2634.0</v>
      </c>
      <c r="B2636" s="5" t="s">
        <v>7909</v>
      </c>
      <c r="C2636" s="4">
        <v>1.0</v>
      </c>
      <c r="D2636" s="5" t="s">
        <v>7910</v>
      </c>
      <c r="E2636" s="5" t="s">
        <v>7911</v>
      </c>
      <c r="F2636" s="6" t="str">
        <f>IFERROR(__xludf.DUMMYFUNCTION("GOOGLETRANSLATE(D2636,""en"",""it"")"),"Ho incontrato gli impiegati e anche i fisici.")</f>
        <v>Ho incontrato gli impiegati e anche i fisici.</v>
      </c>
      <c r="G2636" s="6" t="str">
        <f>IFERROR(__xludf.DUMMYFUNCTION("GOOGLETRANSLATE(E2636,""fr"",""it"")"),"Ho incontrato i commessi e anche i fisici.")</f>
        <v>Ho incontrato i commessi e anche i fisici.</v>
      </c>
    </row>
    <row r="2637">
      <c r="A2637" s="4">
        <v>2635.0</v>
      </c>
      <c r="B2637" s="5" t="s">
        <v>7912</v>
      </c>
      <c r="C2637" s="4">
        <v>0.0</v>
      </c>
      <c r="D2637" s="5" t="s">
        <v>7913</v>
      </c>
      <c r="E2637" s="5" t="s">
        <v>7914</v>
      </c>
      <c r="F2637" s="6" t="str">
        <f>IFERROR(__xludf.DUMMYFUNCTION("GOOGLETRANSLATE(D2637,""en"",""it"")"),"Ho incontrato anche i fisici e gli scienziati.")</f>
        <v>Ho incontrato anche i fisici e gli scienziati.</v>
      </c>
      <c r="G2637" s="6" t="str">
        <f>IFERROR(__xludf.DUMMYFUNCTION("GOOGLETRANSLATE(E2637,""fr"",""it"")"),"Ho incontrato fisici e anche gli scienziati.")</f>
        <v>Ho incontrato fisici e anche gli scienziati.</v>
      </c>
    </row>
    <row r="2638">
      <c r="A2638" s="4">
        <v>2636.0</v>
      </c>
      <c r="B2638" s="5" t="s">
        <v>7915</v>
      </c>
      <c r="C2638" s="4">
        <v>0.0</v>
      </c>
      <c r="D2638" s="5" t="s">
        <v>7916</v>
      </c>
      <c r="E2638" s="5" t="s">
        <v>7917</v>
      </c>
      <c r="F2638" s="6" t="str">
        <f>IFERROR(__xludf.DUMMYFUNCTION("GOOGLETRANSLATE(D2638,""en"",""it"")"),"Ho incontrato anche gli scienziati e i fisici.")</f>
        <v>Ho incontrato anche gli scienziati e i fisici.</v>
      </c>
      <c r="G2638" s="6" t="str">
        <f>IFERROR(__xludf.DUMMYFUNCTION("GOOGLETRANSLATE(E2638,""fr"",""it"")"),"Ho incontrato gli scienziati e anche i fisici.")</f>
        <v>Ho incontrato gli scienziati e anche i fisici.</v>
      </c>
    </row>
    <row r="2639">
      <c r="A2639" s="4">
        <v>2637.0</v>
      </c>
      <c r="B2639" s="5" t="s">
        <v>7918</v>
      </c>
      <c r="C2639" s="4">
        <v>1.0</v>
      </c>
      <c r="D2639" s="5" t="s">
        <v>7919</v>
      </c>
      <c r="E2639" s="5" t="s">
        <v>7920</v>
      </c>
      <c r="F2639" s="6" t="str">
        <f>IFERROR(__xludf.DUMMYFUNCTION("GOOGLETRANSLATE(D2639,""en"",""it"")"),"Ho incontrato anche i fisici e i camerieri.")</f>
        <v>Ho incontrato anche i fisici e i camerieri.</v>
      </c>
      <c r="G2639" s="6" t="str">
        <f>IFERROR(__xludf.DUMMYFUNCTION("GOOGLETRANSLATE(E2639,""fr"",""it"")"),"Ho incontrato i fisici e anche i camerieri.")</f>
        <v>Ho incontrato i fisici e anche i camerieri.</v>
      </c>
    </row>
    <row r="2640">
      <c r="A2640" s="4">
        <v>2638.0</v>
      </c>
      <c r="B2640" s="5" t="s">
        <v>7921</v>
      </c>
      <c r="C2640" s="4">
        <v>1.0</v>
      </c>
      <c r="D2640" s="5" t="s">
        <v>7922</v>
      </c>
      <c r="E2640" s="5" t="s">
        <v>7923</v>
      </c>
      <c r="F2640" s="6" t="str">
        <f>IFERROR(__xludf.DUMMYFUNCTION("GOOGLETRANSLATE(D2640,""en"",""it"")"),"Ho incontrato anche i camerieri e anche i fisici.")</f>
        <v>Ho incontrato anche i camerieri e anche i fisici.</v>
      </c>
      <c r="G2640" s="6" t="str">
        <f>IFERROR(__xludf.DUMMYFUNCTION("GOOGLETRANSLATE(E2640,""fr"",""it"")"),"Ho incontrato i camerieri e anche i fisici.")</f>
        <v>Ho incontrato i camerieri e anche i fisici.</v>
      </c>
    </row>
    <row r="2641">
      <c r="A2641" s="4">
        <v>2639.0</v>
      </c>
      <c r="B2641" s="5" t="s">
        <v>7924</v>
      </c>
      <c r="C2641" s="4">
        <v>1.0</v>
      </c>
      <c r="D2641" s="5" t="s">
        <v>7925</v>
      </c>
      <c r="E2641" s="5" t="s">
        <v>7926</v>
      </c>
      <c r="F2641" s="6" t="str">
        <f>IFERROR(__xludf.DUMMYFUNCTION("GOOGLETRANSLATE(D2641,""en"",""it"")"),"Ho incontrato i fisici e anche i custodi.")</f>
        <v>Ho incontrato i fisici e anche i custodi.</v>
      </c>
      <c r="G2641" s="6" t="str">
        <f>IFERROR(__xludf.DUMMYFUNCTION("GOOGLETRANSLATE(E2641,""fr"",""it"")"),"Ho incontrato i fisici e anche le guardie.")</f>
        <v>Ho incontrato i fisici e anche le guardie.</v>
      </c>
    </row>
    <row r="2642">
      <c r="A2642" s="4">
        <v>2640.0</v>
      </c>
      <c r="B2642" s="5" t="s">
        <v>7927</v>
      </c>
      <c r="C2642" s="4">
        <v>1.0</v>
      </c>
      <c r="D2642" s="5" t="s">
        <v>7928</v>
      </c>
      <c r="E2642" s="5" t="s">
        <v>7929</v>
      </c>
      <c r="F2642" s="6" t="str">
        <f>IFERROR(__xludf.DUMMYFUNCTION("GOOGLETRANSLATE(D2642,""en"",""it"")"),"Ho incontrato anche i custodi e i fisici.")</f>
        <v>Ho incontrato anche i custodi e i fisici.</v>
      </c>
      <c r="G2642" s="6" t="str">
        <f>IFERROR(__xludf.DUMMYFUNCTION("GOOGLETRANSLATE(E2642,""fr"",""it"")"),"Ho incontrato le guardie, e anche i fisici.")</f>
        <v>Ho incontrato le guardie, e anche i fisici.</v>
      </c>
    </row>
    <row r="2643">
      <c r="A2643" s="4">
        <v>2641.0</v>
      </c>
      <c r="B2643" s="5" t="s">
        <v>7930</v>
      </c>
      <c r="C2643" s="4">
        <v>1.0</v>
      </c>
      <c r="D2643" s="5" t="s">
        <v>7931</v>
      </c>
      <c r="E2643" s="5" t="s">
        <v>7932</v>
      </c>
      <c r="F2643" s="6" t="str">
        <f>IFERROR(__xludf.DUMMYFUNCTION("GOOGLETRANSLATE(D2643,""en"",""it"")"),"Ho incontrato fisici e anche i bidelli.")</f>
        <v>Ho incontrato fisici e anche i bidelli.</v>
      </c>
      <c r="G2643" s="6" t="str">
        <f>IFERROR(__xludf.DUMMYFUNCTION("GOOGLETRANSLATE(E2643,""fr"",""it"")"),"Ho incontrato fisici e anche i concieti.")</f>
        <v>Ho incontrato fisici e anche i concieti.</v>
      </c>
    </row>
    <row r="2644">
      <c r="A2644" s="4">
        <v>2642.0</v>
      </c>
      <c r="B2644" s="5" t="s">
        <v>7933</v>
      </c>
      <c r="C2644" s="4">
        <v>1.0</v>
      </c>
      <c r="D2644" s="5" t="s">
        <v>7934</v>
      </c>
      <c r="E2644" s="5" t="s">
        <v>7935</v>
      </c>
      <c r="F2644" s="6" t="str">
        <f>IFERROR(__xludf.DUMMYFUNCTION("GOOGLETRANSLATE(D2644,""en"",""it"")"),"Ho incontrato anche i bidelli e i fisici.")</f>
        <v>Ho incontrato anche i bidelli e i fisici.</v>
      </c>
      <c r="G2644" s="6" t="str">
        <f>IFERROR(__xludf.DUMMYFUNCTION("GOOGLETRANSLATE(E2644,""fr"",""it"")"),"Ho incontrato i concierges e anche i fisici.")</f>
        <v>Ho incontrato i concierges e anche i fisici.</v>
      </c>
    </row>
    <row r="2645">
      <c r="A2645" s="4">
        <v>2643.0</v>
      </c>
      <c r="B2645" s="5" t="s">
        <v>7936</v>
      </c>
      <c r="C2645" s="4">
        <v>0.0</v>
      </c>
      <c r="D2645" s="5" t="s">
        <v>7937</v>
      </c>
      <c r="E2645" s="5" t="s">
        <v>7938</v>
      </c>
      <c r="F2645" s="6" t="str">
        <f>IFERROR(__xludf.DUMMYFUNCTION("GOOGLETRANSLATE(D2645,""en"",""it"")"),"Mi piacciono i passeri, tranne gli uccelli.")</f>
        <v>Mi piacciono i passeri, tranne gli uccelli.</v>
      </c>
      <c r="G2645" s="6" t="str">
        <f>IFERROR(__xludf.DUMMYFUNCTION("GOOGLETRANSLATE(E2645,""fr"",""it"")"),"Amo i passeri, tranne gli uccelli.")</f>
        <v>Amo i passeri, tranne gli uccelli.</v>
      </c>
    </row>
    <row r="2646">
      <c r="A2646" s="4">
        <v>2644.0</v>
      </c>
      <c r="B2646" s="5" t="s">
        <v>7939</v>
      </c>
      <c r="C2646" s="4">
        <v>0.0</v>
      </c>
      <c r="D2646" s="5" t="s">
        <v>7940</v>
      </c>
      <c r="E2646" s="5" t="s">
        <v>7941</v>
      </c>
      <c r="F2646" s="6" t="str">
        <f>IFERROR(__xludf.DUMMYFUNCTION("GOOGLETRANSLATE(D2646,""en"",""it"")"),"Mi piace il lardo, tranne il pesce.")</f>
        <v>Mi piace il lardo, tranne il pesce.</v>
      </c>
      <c r="G2646" s="6" t="str">
        <f>IFERROR(__xludf.DUMMYFUNCTION("GOOGLETRANSLATE(E2646,""fr"",""it"")"),"Amo la pancetta, tranne il pesce.")</f>
        <v>Amo la pancetta, tranne il pesce.</v>
      </c>
    </row>
    <row r="2647">
      <c r="A2647" s="4">
        <v>2645.0</v>
      </c>
      <c r="B2647" s="5" t="s">
        <v>7942</v>
      </c>
      <c r="C2647" s="4">
        <v>0.0</v>
      </c>
      <c r="D2647" s="5" t="s">
        <v>7943</v>
      </c>
      <c r="E2647" s="5" t="s">
        <v>7944</v>
      </c>
      <c r="F2647" s="6" t="str">
        <f>IFERROR(__xludf.DUMMYFUNCTION("GOOGLETRANSLATE(D2647,""en"",""it"")"),"Mi piace il pesce, tranne il lardo.")</f>
        <v>Mi piace il pesce, tranne il lardo.</v>
      </c>
      <c r="G2647" s="6" t="str">
        <f>IFERROR(__xludf.DUMMYFUNCTION("GOOGLETRANSLATE(E2647,""fr"",""it"")"),"Amo il pesce tranne la pancetta.")</f>
        <v>Amo il pesce tranne la pancetta.</v>
      </c>
    </row>
    <row r="2648">
      <c r="A2648" s="4">
        <v>2646.0</v>
      </c>
      <c r="B2648" s="5" t="s">
        <v>7945</v>
      </c>
      <c r="C2648" s="4">
        <v>0.0</v>
      </c>
      <c r="D2648" s="5" t="s">
        <v>7946</v>
      </c>
      <c r="E2648" s="5" t="s">
        <v>7947</v>
      </c>
      <c r="F2648" s="6" t="str">
        <f>IFERROR(__xludf.DUMMYFUNCTION("GOOGLETRANSLATE(D2648,""en"",""it"")"),"Mi piace il lardo, tranne il maiale.")</f>
        <v>Mi piace il lardo, tranne il maiale.</v>
      </c>
      <c r="G2648" s="6" t="str">
        <f>IFERROR(__xludf.DUMMYFUNCTION("GOOGLETRANSLATE(E2648,""fr"",""it"")"),"Amo la pancetta, tranne il maiale.")</f>
        <v>Amo la pancetta, tranne il maiale.</v>
      </c>
    </row>
    <row r="2649">
      <c r="A2649" s="4">
        <v>2647.0</v>
      </c>
      <c r="B2649" s="5" t="s">
        <v>7948</v>
      </c>
      <c r="C2649" s="4">
        <v>1.0</v>
      </c>
      <c r="D2649" s="5" t="s">
        <v>7949</v>
      </c>
      <c r="E2649" s="5" t="s">
        <v>7950</v>
      </c>
      <c r="F2649" s="6" t="str">
        <f>IFERROR(__xludf.DUMMYFUNCTION("GOOGLETRANSLATE(D2649,""en"",""it"")"),"Mi piace la carne di maiale, tranne il lardo.")</f>
        <v>Mi piace la carne di maiale, tranne il lardo.</v>
      </c>
      <c r="G2649" s="6" t="str">
        <f>IFERROR(__xludf.DUMMYFUNCTION("GOOGLETRANSLATE(E2649,""fr"",""it"")"),"Amo il maiale, tranne la pancetta.")</f>
        <v>Amo il maiale, tranne la pancetta.</v>
      </c>
    </row>
    <row r="2650">
      <c r="A2650" s="4">
        <v>2648.0</v>
      </c>
      <c r="B2650" s="5" t="s">
        <v>7951</v>
      </c>
      <c r="C2650" s="4">
        <v>0.0</v>
      </c>
      <c r="D2650" s="5" t="s">
        <v>7952</v>
      </c>
      <c r="E2650" s="5" t="s">
        <v>7953</v>
      </c>
      <c r="F2650" s="6" t="str">
        <f>IFERROR(__xludf.DUMMYFUNCTION("GOOGLETRANSLATE(D2650,""en"",""it"")"),"Mi piace il lardo, tranne i broccoli.")</f>
        <v>Mi piace il lardo, tranne i broccoli.</v>
      </c>
      <c r="G2650" s="6" t="str">
        <f>IFERROR(__xludf.DUMMYFUNCTION("GOOGLETRANSLATE(E2650,""fr"",""it"")"),"Amo la pancetta, tranne i broccoli.")</f>
        <v>Amo la pancetta, tranne i broccoli.</v>
      </c>
    </row>
    <row r="2651">
      <c r="A2651" s="4">
        <v>2649.0</v>
      </c>
      <c r="B2651" s="5" t="s">
        <v>7954</v>
      </c>
      <c r="C2651" s="4">
        <v>0.0</v>
      </c>
      <c r="D2651" s="5" t="s">
        <v>7955</v>
      </c>
      <c r="E2651" s="5" t="s">
        <v>7956</v>
      </c>
      <c r="F2651" s="6" t="str">
        <f>IFERROR(__xludf.DUMMYFUNCTION("GOOGLETRANSLATE(D2651,""en"",""it"")"),"Mi piacciono i broccoli, tranne il lardo.")</f>
        <v>Mi piacciono i broccoli, tranne il lardo.</v>
      </c>
      <c r="G2651" s="6" t="str">
        <f>IFERROR(__xludf.DUMMYFUNCTION("GOOGLETRANSLATE(E2651,""fr"",""it"")"),"Adoro i broccoli tranne la pancetta.")</f>
        <v>Adoro i broccoli tranne la pancetta.</v>
      </c>
    </row>
    <row r="2652">
      <c r="A2652" s="4">
        <v>2650.0</v>
      </c>
      <c r="B2652" s="5" t="s">
        <v>7957</v>
      </c>
      <c r="C2652" s="4">
        <v>1.0</v>
      </c>
      <c r="D2652" s="5" t="s">
        <v>7958</v>
      </c>
      <c r="E2652" s="5" t="s">
        <v>7959</v>
      </c>
      <c r="F2652" s="6" t="str">
        <f>IFERROR(__xludf.DUMMYFUNCTION("GOOGLETRANSLATE(D2652,""en"",""it"")"),"Mi piacciono gli uccelli, tranne i passeri.")</f>
        <v>Mi piacciono gli uccelli, tranne i passeri.</v>
      </c>
      <c r="G2652" s="6" t="str">
        <f>IFERROR(__xludf.DUMMYFUNCTION("GOOGLETRANSLATE(E2652,""fr"",""it"")"),"Amo gli uccelli tranne i passeri.")</f>
        <v>Amo gli uccelli tranne i passeri.</v>
      </c>
    </row>
    <row r="2653">
      <c r="A2653" s="4">
        <v>2651.0</v>
      </c>
      <c r="B2653" s="5" t="s">
        <v>7960</v>
      </c>
      <c r="C2653" s="4">
        <v>0.0</v>
      </c>
      <c r="D2653" s="5" t="s">
        <v>7961</v>
      </c>
      <c r="E2653" s="5" t="s">
        <v>7962</v>
      </c>
      <c r="F2653" s="6" t="str">
        <f>IFERROR(__xludf.DUMMYFUNCTION("GOOGLETRANSLATE(D2653,""en"",""it"")"),"Mi piace il lardo, tranne le mele.")</f>
        <v>Mi piace il lardo, tranne le mele.</v>
      </c>
      <c r="G2653" s="6" t="str">
        <f>IFERROR(__xludf.DUMMYFUNCTION("GOOGLETRANSLATE(E2653,""fr"",""it"")"),"Amo la pancetta, ad eccezione delle mele.")</f>
        <v>Amo la pancetta, ad eccezione delle mele.</v>
      </c>
    </row>
    <row r="2654">
      <c r="A2654" s="4">
        <v>2652.0</v>
      </c>
      <c r="B2654" s="5" t="s">
        <v>7963</v>
      </c>
      <c r="C2654" s="4">
        <v>0.0</v>
      </c>
      <c r="D2654" s="5" t="s">
        <v>7964</v>
      </c>
      <c r="E2654" s="5" t="s">
        <v>7965</v>
      </c>
      <c r="F2654" s="6" t="str">
        <f>IFERROR(__xludf.DUMMYFUNCTION("GOOGLETRANSLATE(D2654,""en"",""it"")"),"Mi piacciono le mele, tranne il lardo.")</f>
        <v>Mi piacciono le mele, tranne il lardo.</v>
      </c>
      <c r="G2654" s="6" t="str">
        <f>IFERROR(__xludf.DUMMYFUNCTION("GOOGLETRANSLATE(E2654,""fr"",""it"")"),"Amo le mele, tranne la pancetta.")</f>
        <v>Amo le mele, tranne la pancetta.</v>
      </c>
    </row>
    <row r="2655">
      <c r="A2655" s="4">
        <v>2653.0</v>
      </c>
      <c r="B2655" s="5" t="s">
        <v>7966</v>
      </c>
      <c r="C2655" s="4">
        <v>0.0</v>
      </c>
      <c r="D2655" s="5" t="s">
        <v>7967</v>
      </c>
      <c r="E2655" s="5" t="s">
        <v>7968</v>
      </c>
      <c r="F2655" s="6" t="str">
        <f>IFERROR(__xludf.DUMMYFUNCTION("GOOGLETRANSLATE(D2655,""en"",""it"")"),"Mi piace il lardo, tranne le carote.")</f>
        <v>Mi piace il lardo, tranne le carote.</v>
      </c>
      <c r="G2655" s="6" t="str">
        <f>IFERROR(__xludf.DUMMYFUNCTION("GOOGLETRANSLATE(E2655,""fr"",""it"")"),"Amo la pancetta, tranne le carote.")</f>
        <v>Amo la pancetta, tranne le carote.</v>
      </c>
    </row>
    <row r="2656">
      <c r="A2656" s="4">
        <v>2654.0</v>
      </c>
      <c r="B2656" s="5" t="s">
        <v>7969</v>
      </c>
      <c r="C2656" s="4">
        <v>0.0</v>
      </c>
      <c r="D2656" s="5" t="s">
        <v>7970</v>
      </c>
      <c r="E2656" s="5" t="s">
        <v>7971</v>
      </c>
      <c r="F2656" s="6" t="str">
        <f>IFERROR(__xludf.DUMMYFUNCTION("GOOGLETRANSLATE(D2656,""en"",""it"")"),"Mi piacciono le carote, tranne il lardo.")</f>
        <v>Mi piacciono le carote, tranne il lardo.</v>
      </c>
      <c r="G2656" s="6" t="str">
        <f>IFERROR(__xludf.DUMMYFUNCTION("GOOGLETRANSLATE(E2656,""fr"",""it"")"),"Adoro le carote, tranne la pancetta.")</f>
        <v>Adoro le carote, tranne la pancetta.</v>
      </c>
    </row>
    <row r="2657">
      <c r="A2657" s="4">
        <v>2655.0</v>
      </c>
      <c r="B2657" s="5" t="s">
        <v>7972</v>
      </c>
      <c r="C2657" s="4">
        <v>0.0</v>
      </c>
      <c r="D2657" s="5" t="s">
        <v>7973</v>
      </c>
      <c r="E2657" s="5" t="s">
        <v>7974</v>
      </c>
      <c r="F2657" s="6" t="str">
        <f>IFERROR(__xludf.DUMMYFUNCTION("GOOGLETRANSLATE(D2657,""en"",""it"")"),"Mi piacciono i passeri, tranne i criceti.")</f>
        <v>Mi piacciono i passeri, tranne i criceti.</v>
      </c>
      <c r="G2657" s="6" t="str">
        <f>IFERROR(__xludf.DUMMYFUNCTION("GOOGLETRANSLATE(E2657,""fr"",""it"")"),"Adoro i passeri tranne i criceti.")</f>
        <v>Adoro i passeri tranne i criceti.</v>
      </c>
    </row>
    <row r="2658">
      <c r="A2658" s="4">
        <v>2656.0</v>
      </c>
      <c r="B2658" s="5" t="s">
        <v>7975</v>
      </c>
      <c r="C2658" s="4">
        <v>0.0</v>
      </c>
      <c r="D2658" s="5" t="s">
        <v>7976</v>
      </c>
      <c r="E2658" s="5" t="s">
        <v>7977</v>
      </c>
      <c r="F2658" s="6" t="str">
        <f>IFERROR(__xludf.DUMMYFUNCTION("GOOGLETRANSLATE(D2658,""en"",""it"")"),"Mi piacciono i criceti, tranne i passeri.")</f>
        <v>Mi piacciono i criceti, tranne i passeri.</v>
      </c>
      <c r="G2658" s="6" t="str">
        <f>IFERROR(__xludf.DUMMYFUNCTION("GOOGLETRANSLATE(E2658,""fr"",""it"")"),"Mi piacciono i criceti, tranne i passeri.")</f>
        <v>Mi piacciono i criceti, tranne i passeri.</v>
      </c>
    </row>
    <row r="2659">
      <c r="A2659" s="4">
        <v>2657.0</v>
      </c>
      <c r="B2659" s="5" t="s">
        <v>7978</v>
      </c>
      <c r="C2659" s="4">
        <v>1.0</v>
      </c>
      <c r="D2659" s="5" t="s">
        <v>7979</v>
      </c>
      <c r="E2659" s="5" t="s">
        <v>7980</v>
      </c>
      <c r="F2659" s="6" t="str">
        <f>IFERROR(__xludf.DUMMYFUNCTION("GOOGLETRANSLATE(D2659,""en"",""it"")"),"Non mi piacciono i huskies, preferisco i gatti.")</f>
        <v>Non mi piacciono i huskies, preferisco i gatti.</v>
      </c>
      <c r="G2659" s="6" t="str">
        <f>IFERROR(__xludf.DUMMYFUNCTION("GOOGLETRANSLATE(E2659,""fr"",""it"")"),"Non mi piacciono i huskies, preferisco i gatti.")</f>
        <v>Non mi piacciono i huskies, preferisco i gatti.</v>
      </c>
    </row>
    <row r="2660">
      <c r="A2660" s="4">
        <v>2658.0</v>
      </c>
      <c r="B2660" s="5" t="s">
        <v>7981</v>
      </c>
      <c r="C2660" s="4">
        <v>1.0</v>
      </c>
      <c r="D2660" s="5" t="s">
        <v>7982</v>
      </c>
      <c r="E2660" s="5" t="s">
        <v>7983</v>
      </c>
      <c r="F2660" s="6" t="str">
        <f>IFERROR(__xludf.DUMMYFUNCTION("GOOGLETRANSLATE(D2660,""en"",""it"")"),"Non mi piacciono i gatti, preferisco i husky.")</f>
        <v>Non mi piacciono i gatti, preferisco i husky.</v>
      </c>
      <c r="G2660" s="6" t="str">
        <f>IFERROR(__xludf.DUMMYFUNCTION("GOOGLETRANSLATE(E2660,""fr"",""it"")"),"Non mi piacciono i gatti, preferisco i husky.")</f>
        <v>Non mi piacciono i gatti, preferisco i husky.</v>
      </c>
    </row>
    <row r="2661">
      <c r="A2661" s="4">
        <v>2659.0</v>
      </c>
      <c r="B2661" s="5" t="s">
        <v>7984</v>
      </c>
      <c r="C2661" s="4">
        <v>0.0</v>
      </c>
      <c r="D2661" s="5" t="s">
        <v>7985</v>
      </c>
      <c r="E2661" s="5" t="s">
        <v>7986</v>
      </c>
      <c r="F2661" s="6" t="str">
        <f>IFERROR(__xludf.DUMMYFUNCTION("GOOGLETRANSLATE(D2661,""en"",""it"")"),"Non mi piacciono i husky, preferisco i cani.")</f>
        <v>Non mi piacciono i husky, preferisco i cani.</v>
      </c>
      <c r="G2661" s="6" t="str">
        <f>IFERROR(__xludf.DUMMYFUNCTION("GOOGLETRANSLATE(E2661,""fr"",""it"")"),"Non mi piacciono i husky, preferisco i cani.")</f>
        <v>Non mi piacciono i husky, preferisco i cani.</v>
      </c>
    </row>
    <row r="2662">
      <c r="A2662" s="4">
        <v>2660.0</v>
      </c>
      <c r="B2662" s="5" t="s">
        <v>7987</v>
      </c>
      <c r="C2662" s="4">
        <v>0.0</v>
      </c>
      <c r="D2662" s="5" t="s">
        <v>7988</v>
      </c>
      <c r="E2662" s="5" t="s">
        <v>7989</v>
      </c>
      <c r="F2662" s="6" t="str">
        <f>IFERROR(__xludf.DUMMYFUNCTION("GOOGLETRANSLATE(D2662,""en"",""it"")"),"Non mi piacciono i cani, preferisco i husky.")</f>
        <v>Non mi piacciono i cani, preferisco i husky.</v>
      </c>
      <c r="G2662" s="6" t="str">
        <f>IFERROR(__xludf.DUMMYFUNCTION("GOOGLETRANSLATE(E2662,""fr"",""it"")"),"Non mi piacciono i cani, preferisco i husky.")</f>
        <v>Non mi piacciono i cani, preferisco i husky.</v>
      </c>
    </row>
    <row r="2663">
      <c r="A2663" s="4">
        <v>2661.0</v>
      </c>
      <c r="B2663" s="5" t="s">
        <v>7990</v>
      </c>
      <c r="C2663" s="4">
        <v>1.0</v>
      </c>
      <c r="D2663" s="5" t="s">
        <v>7991</v>
      </c>
      <c r="E2663" s="5" t="s">
        <v>7992</v>
      </c>
      <c r="F2663" s="6" t="str">
        <f>IFERROR(__xludf.DUMMYFUNCTION("GOOGLETRANSLATE(D2663,""en"",""it"")"),"Non mi piacciono i cani, preferisco i gatti.")</f>
        <v>Non mi piacciono i cani, preferisco i gatti.</v>
      </c>
      <c r="G2663" s="6" t="str">
        <f>IFERROR(__xludf.DUMMYFUNCTION("GOOGLETRANSLATE(E2663,""fr"",""it"")"),"Non mi piacciono i cani, preferisco i gatti.")</f>
        <v>Non mi piacciono i cani, preferisco i gatti.</v>
      </c>
    </row>
    <row r="2664">
      <c r="A2664" s="4">
        <v>2662.0</v>
      </c>
      <c r="B2664" s="5" t="s">
        <v>7993</v>
      </c>
      <c r="C2664" s="4">
        <v>1.0</v>
      </c>
      <c r="D2664" s="5" t="s">
        <v>7994</v>
      </c>
      <c r="E2664" s="5" t="s">
        <v>7995</v>
      </c>
      <c r="F2664" s="6" t="str">
        <f>IFERROR(__xludf.DUMMYFUNCTION("GOOGLETRANSLATE(D2664,""en"",""it"")"),"Non mi piacciono i husky, preferisco i criceti.")</f>
        <v>Non mi piacciono i husky, preferisco i criceti.</v>
      </c>
      <c r="G2664" s="6" t="str">
        <f>IFERROR(__xludf.DUMMYFUNCTION("GOOGLETRANSLATE(E2664,""fr"",""it"")"),"Non mi piacciono i husky, preferisco i criceti.")</f>
        <v>Non mi piacciono i husky, preferisco i criceti.</v>
      </c>
    </row>
    <row r="2665">
      <c r="A2665" s="4">
        <v>2663.0</v>
      </c>
      <c r="B2665" s="5" t="s">
        <v>7996</v>
      </c>
      <c r="C2665" s="4">
        <v>1.0</v>
      </c>
      <c r="D2665" s="5" t="s">
        <v>7997</v>
      </c>
      <c r="E2665" s="5" t="s">
        <v>7998</v>
      </c>
      <c r="F2665" s="6" t="str">
        <f>IFERROR(__xludf.DUMMYFUNCTION("GOOGLETRANSLATE(D2665,""en"",""it"")"),"Non mi piacciono i criceti, preferisco i husky.")</f>
        <v>Non mi piacciono i criceti, preferisco i husky.</v>
      </c>
      <c r="G2665" s="6" t="str">
        <f>IFERROR(__xludf.DUMMYFUNCTION("GOOGLETRANSLATE(E2665,""fr"",""it"")"),"Non mi piacciono i criceti, preferisco i husky.")</f>
        <v>Non mi piacciono i criceti, preferisco i husky.</v>
      </c>
    </row>
    <row r="2666">
      <c r="A2666" s="4">
        <v>2664.0</v>
      </c>
      <c r="B2666" s="5" t="s">
        <v>7999</v>
      </c>
      <c r="C2666" s="4">
        <v>1.0</v>
      </c>
      <c r="D2666" s="5" t="s">
        <v>8000</v>
      </c>
      <c r="E2666" s="5" t="s">
        <v>8001</v>
      </c>
      <c r="F2666" s="6" t="str">
        <f>IFERROR(__xludf.DUMMYFUNCTION("GOOGLETRANSLATE(D2666,""en"",""it"")"),"Non mi piacciono i cani, preferisco i criceti.")</f>
        <v>Non mi piacciono i cani, preferisco i criceti.</v>
      </c>
      <c r="G2666" s="6" t="str">
        <f>IFERROR(__xludf.DUMMYFUNCTION("GOOGLETRANSLATE(E2666,""fr"",""it"")"),"Non mi piacciono i cani, preferisco i criceti.")</f>
        <v>Non mi piacciono i cani, preferisco i criceti.</v>
      </c>
    </row>
    <row r="2667">
      <c r="A2667" s="4">
        <v>2665.0</v>
      </c>
      <c r="B2667" s="5" t="s">
        <v>8002</v>
      </c>
      <c r="C2667" s="4">
        <v>1.0</v>
      </c>
      <c r="D2667" s="5" t="s">
        <v>8003</v>
      </c>
      <c r="E2667" s="5" t="s">
        <v>8004</v>
      </c>
      <c r="F2667" s="6" t="str">
        <f>IFERROR(__xludf.DUMMYFUNCTION("GOOGLETRANSLATE(D2667,""en"",""it"")"),"Non mi piacciono i husky, preferisco i pappagalli.")</f>
        <v>Non mi piacciono i husky, preferisco i pappagalli.</v>
      </c>
      <c r="G2667" s="6" t="str">
        <f>IFERROR(__xludf.DUMMYFUNCTION("GOOGLETRANSLATE(E2667,""fr"",""it"")"),"Non mi piacciono i husky, preferisco i perrouches.")</f>
        <v>Non mi piacciono i husky, preferisco i perrouches.</v>
      </c>
    </row>
    <row r="2668">
      <c r="A2668" s="4">
        <v>2666.0</v>
      </c>
      <c r="B2668" s="5" t="s">
        <v>8005</v>
      </c>
      <c r="C2668" s="4">
        <v>1.0</v>
      </c>
      <c r="D2668" s="5" t="s">
        <v>8006</v>
      </c>
      <c r="E2668" s="5" t="s">
        <v>8007</v>
      </c>
      <c r="F2668" s="6" t="str">
        <f>IFERROR(__xludf.DUMMYFUNCTION("GOOGLETRANSLATE(D2668,""en"",""it"")"),"Non mi piacciono i pappagalli, preferisco i husky.")</f>
        <v>Non mi piacciono i pappagalli, preferisco i husky.</v>
      </c>
      <c r="G2668" s="6" t="str">
        <f>IFERROR(__xludf.DUMMYFUNCTION("GOOGLETRANSLATE(E2668,""fr"",""it"")"),"Non mi piacciono i perruboletti, preferisco i husky.")</f>
        <v>Non mi piacciono i perruboletti, preferisco i husky.</v>
      </c>
    </row>
    <row r="2669">
      <c r="A2669" s="4">
        <v>2667.0</v>
      </c>
      <c r="B2669" s="5" t="s">
        <v>8008</v>
      </c>
      <c r="C2669" s="4">
        <v>1.0</v>
      </c>
      <c r="D2669" s="5" t="s">
        <v>8009</v>
      </c>
      <c r="E2669" s="5" t="s">
        <v>8010</v>
      </c>
      <c r="F2669" s="6" t="str">
        <f>IFERROR(__xludf.DUMMYFUNCTION("GOOGLETRANSLATE(D2669,""en"",""it"")"),"Non mi piacciono i cani, preferisco i pappagalli.")</f>
        <v>Non mi piacciono i cani, preferisco i pappagalli.</v>
      </c>
      <c r="G2669" s="6" t="str">
        <f>IFERROR(__xludf.DUMMYFUNCTION("GOOGLETRANSLATE(E2669,""fr"",""it"")"),"Non mi piacciono i cani, preferisco i perrouches.")</f>
        <v>Non mi piacciono i cani, preferisco i perrouches.</v>
      </c>
    </row>
    <row r="2670">
      <c r="A2670" s="4">
        <v>2668.0</v>
      </c>
      <c r="B2670" s="5" t="s">
        <v>8011</v>
      </c>
      <c r="C2670" s="4">
        <v>1.0</v>
      </c>
      <c r="D2670" s="5" t="s">
        <v>8012</v>
      </c>
      <c r="E2670" s="5" t="s">
        <v>8013</v>
      </c>
      <c r="F2670" s="6" t="str">
        <f>IFERROR(__xludf.DUMMYFUNCTION("GOOGLETRANSLATE(D2670,""en"",""it"")"),"Non mi piacciono i huskies, preferisco i conigli.")</f>
        <v>Non mi piacciono i huskies, preferisco i conigli.</v>
      </c>
      <c r="G2670" s="6" t="str">
        <f>IFERROR(__xludf.DUMMYFUNCTION("GOOGLETRANSLATE(E2670,""fr"",""it"")"),"Non mi piacciono i huskies, preferisco i conigli.")</f>
        <v>Non mi piacciono i huskies, preferisco i conigli.</v>
      </c>
    </row>
    <row r="2671">
      <c r="A2671" s="4">
        <v>2669.0</v>
      </c>
      <c r="B2671" s="5" t="s">
        <v>8014</v>
      </c>
      <c r="C2671" s="4">
        <v>1.0</v>
      </c>
      <c r="D2671" s="5" t="s">
        <v>8015</v>
      </c>
      <c r="E2671" s="5" t="s">
        <v>8016</v>
      </c>
      <c r="F2671" s="6" t="str">
        <f>IFERROR(__xludf.DUMMYFUNCTION("GOOGLETRANSLATE(D2671,""en"",""it"")"),"Non mi piacciono i conigli, preferisco gli husky.")</f>
        <v>Non mi piacciono i conigli, preferisco gli husky.</v>
      </c>
      <c r="G2671" s="6" t="str">
        <f>IFERROR(__xludf.DUMMYFUNCTION("GOOGLETRANSLATE(E2671,""fr"",""it"")"),"Non mi piacciono i conigli, preferisco gli husky.")</f>
        <v>Non mi piacciono i conigli, preferisco gli husky.</v>
      </c>
    </row>
    <row r="2672">
      <c r="A2672" s="4">
        <v>2670.0</v>
      </c>
      <c r="B2672" s="5" t="s">
        <v>8017</v>
      </c>
      <c r="C2672" s="4">
        <v>1.0</v>
      </c>
      <c r="D2672" s="5" t="s">
        <v>8018</v>
      </c>
      <c r="E2672" s="5" t="s">
        <v>8019</v>
      </c>
      <c r="F2672" s="6" t="str">
        <f>IFERROR(__xludf.DUMMYFUNCTION("GOOGLETRANSLATE(D2672,""en"",""it"")"),"Non mi piacciono i cani, preferisco i conigli.")</f>
        <v>Non mi piacciono i cani, preferisco i conigli.</v>
      </c>
      <c r="G2672" s="6" t="str">
        <f>IFERROR(__xludf.DUMMYFUNCTION("GOOGLETRANSLATE(E2672,""fr"",""it"")"),"Non mi piacciono i cani, preferisco i conigli.")</f>
        <v>Non mi piacciono i cani, preferisco i conigli.</v>
      </c>
    </row>
    <row r="2673">
      <c r="A2673" s="4">
        <v>2671.0</v>
      </c>
      <c r="B2673" s="5" t="s">
        <v>8020</v>
      </c>
      <c r="C2673" s="4">
        <v>1.0</v>
      </c>
      <c r="D2673" s="5" t="s">
        <v>8021</v>
      </c>
      <c r="E2673" s="5" t="s">
        <v>8022</v>
      </c>
      <c r="F2673" s="6" t="str">
        <f>IFERROR(__xludf.DUMMYFUNCTION("GOOGLETRANSLATE(D2673,""en"",""it"")"),"Non mi piacciono i bobtail, preferisco i gatti.")</f>
        <v>Non mi piacciono i bobtail, preferisco i gatti.</v>
      </c>
      <c r="G2673" s="6" t="str">
        <f>IFERROR(__xludf.DUMMYFUNCTION("GOOGLETRANSLATE(E2673,""fr"",""it"")"),"Non mi piacciono i bobtail, preferisco i gatti.")</f>
        <v>Non mi piacciono i bobtail, preferisco i gatti.</v>
      </c>
    </row>
    <row r="2674">
      <c r="A2674" s="4">
        <v>2672.0</v>
      </c>
      <c r="B2674" s="5" t="s">
        <v>8023</v>
      </c>
      <c r="C2674" s="4">
        <v>1.0</v>
      </c>
      <c r="D2674" s="5" t="s">
        <v>8024</v>
      </c>
      <c r="E2674" s="5" t="s">
        <v>8025</v>
      </c>
      <c r="F2674" s="6" t="str">
        <f>IFERROR(__xludf.DUMMYFUNCTION("GOOGLETRANSLATE(D2674,""en"",""it"")"),"Non mi piacciono i gatti, preferisco i bobtail.")</f>
        <v>Non mi piacciono i gatti, preferisco i bobtail.</v>
      </c>
      <c r="G2674" s="6" t="str">
        <f>IFERROR(__xludf.DUMMYFUNCTION("GOOGLETRANSLATE(E2674,""fr"",""it"")"),"Non mi piacciono i gatti, preferisco i bobtail.")</f>
        <v>Non mi piacciono i gatti, preferisco i bobtail.</v>
      </c>
    </row>
    <row r="2675">
      <c r="A2675" s="4">
        <v>2673.0</v>
      </c>
      <c r="B2675" s="5" t="s">
        <v>8026</v>
      </c>
      <c r="C2675" s="4">
        <v>0.0</v>
      </c>
      <c r="D2675" s="5" t="s">
        <v>8027</v>
      </c>
      <c r="E2675" s="5" t="s">
        <v>8028</v>
      </c>
      <c r="F2675" s="6" t="str">
        <f>IFERROR(__xludf.DUMMYFUNCTION("GOOGLETRANSLATE(D2675,""en"",""it"")"),"Non mi piacciono i bobtail, preferisco i cani.")</f>
        <v>Non mi piacciono i bobtail, preferisco i cani.</v>
      </c>
      <c r="G2675" s="6" t="str">
        <f>IFERROR(__xludf.DUMMYFUNCTION("GOOGLETRANSLATE(E2675,""fr"",""it"")"),"Non mi piacciono i bobtail, preferisco i cani.")</f>
        <v>Non mi piacciono i bobtail, preferisco i cani.</v>
      </c>
    </row>
    <row r="2676">
      <c r="A2676" s="4">
        <v>2674.0</v>
      </c>
      <c r="B2676" s="5" t="s">
        <v>8029</v>
      </c>
      <c r="C2676" s="4">
        <v>0.0</v>
      </c>
      <c r="D2676" s="5" t="s">
        <v>8030</v>
      </c>
      <c r="E2676" s="5" t="s">
        <v>8031</v>
      </c>
      <c r="F2676" s="6" t="str">
        <f>IFERROR(__xludf.DUMMYFUNCTION("GOOGLETRANSLATE(D2676,""en"",""it"")"),"Non mi piacciono i cani, preferisco i bobtail.")</f>
        <v>Non mi piacciono i cani, preferisco i bobtail.</v>
      </c>
      <c r="G2676" s="6" t="str">
        <f>IFERROR(__xludf.DUMMYFUNCTION("GOOGLETRANSLATE(E2676,""fr"",""it"")"),"Non mi piacciono i cani, preferisco i bobtail.")</f>
        <v>Non mi piacciono i cani, preferisco i bobtail.</v>
      </c>
    </row>
    <row r="2677">
      <c r="A2677" s="4">
        <v>2675.0</v>
      </c>
      <c r="B2677" s="5" t="s">
        <v>8032</v>
      </c>
      <c r="C2677" s="4">
        <v>1.0</v>
      </c>
      <c r="D2677" s="5" t="s">
        <v>8033</v>
      </c>
      <c r="E2677" s="5" t="s">
        <v>8034</v>
      </c>
      <c r="F2677" s="6" t="str">
        <f>IFERROR(__xludf.DUMMYFUNCTION("GOOGLETRANSLATE(D2677,""en"",""it"")"),"Non mi piacciono i bobtail, preferisco i criceti.")</f>
        <v>Non mi piacciono i bobtail, preferisco i criceti.</v>
      </c>
      <c r="G2677" s="6" t="str">
        <f>IFERROR(__xludf.DUMMYFUNCTION("GOOGLETRANSLATE(E2677,""fr"",""it"")"),"Non mi piacciono i bobtail, preferisco i criceti.")</f>
        <v>Non mi piacciono i bobtail, preferisco i criceti.</v>
      </c>
    </row>
    <row r="2678">
      <c r="A2678" s="4">
        <v>2676.0</v>
      </c>
      <c r="B2678" s="5" t="s">
        <v>8035</v>
      </c>
      <c r="C2678" s="4">
        <v>1.0</v>
      </c>
      <c r="D2678" s="5" t="s">
        <v>8036</v>
      </c>
      <c r="E2678" s="5" t="s">
        <v>8037</v>
      </c>
      <c r="F2678" s="6" t="str">
        <f>IFERROR(__xludf.DUMMYFUNCTION("GOOGLETRANSLATE(D2678,""en"",""it"")"),"Non mi piacciono i criceti, preferisco i bobtail.")</f>
        <v>Non mi piacciono i criceti, preferisco i bobtail.</v>
      </c>
      <c r="G2678" s="6" t="str">
        <f>IFERROR(__xludf.DUMMYFUNCTION("GOOGLETRANSLATE(E2678,""fr"",""it"")"),"Non mi piacciono i criceti, preferisco i bobtail.")</f>
        <v>Non mi piacciono i criceti, preferisco i bobtail.</v>
      </c>
    </row>
    <row r="2679">
      <c r="A2679" s="4">
        <v>2677.0</v>
      </c>
      <c r="B2679" s="5" t="s">
        <v>8038</v>
      </c>
      <c r="C2679" s="4">
        <v>1.0</v>
      </c>
      <c r="D2679" s="5" t="s">
        <v>8039</v>
      </c>
      <c r="E2679" s="5" t="s">
        <v>8040</v>
      </c>
      <c r="F2679" s="6" t="str">
        <f>IFERROR(__xludf.DUMMYFUNCTION("GOOGLETRANSLATE(D2679,""en"",""it"")"),"Non mi piacciono i bobtail, preferisco i pappagalli.")</f>
        <v>Non mi piacciono i bobtail, preferisco i pappagalli.</v>
      </c>
      <c r="G2679" s="6" t="str">
        <f>IFERROR(__xludf.DUMMYFUNCTION("GOOGLETRANSLATE(E2679,""fr"",""it"")"),"Non mi piacciono i bobtail, preferisco i perrouches.")</f>
        <v>Non mi piacciono i bobtail, preferisco i perrouches.</v>
      </c>
    </row>
    <row r="2680">
      <c r="A2680" s="4">
        <v>2678.0</v>
      </c>
      <c r="B2680" s="5" t="s">
        <v>8041</v>
      </c>
      <c r="C2680" s="4">
        <v>1.0</v>
      </c>
      <c r="D2680" s="5" t="s">
        <v>8042</v>
      </c>
      <c r="E2680" s="5" t="s">
        <v>8043</v>
      </c>
      <c r="F2680" s="6" t="str">
        <f>IFERROR(__xludf.DUMMYFUNCTION("GOOGLETRANSLATE(D2680,""en"",""it"")"),"Non mi piacciono i pappagalli, preferisco i bobtail.")</f>
        <v>Non mi piacciono i pappagalli, preferisco i bobtail.</v>
      </c>
      <c r="G2680" s="6" t="str">
        <f>IFERROR(__xludf.DUMMYFUNCTION("GOOGLETRANSLATE(E2680,""fr"",""it"")"),"Non mi piacciono i perrouqui, preferisco i bobtail.")</f>
        <v>Non mi piacciono i perrouqui, preferisco i bobtail.</v>
      </c>
    </row>
    <row r="2681">
      <c r="A2681" s="4">
        <v>2679.0</v>
      </c>
      <c r="B2681" s="5" t="s">
        <v>8044</v>
      </c>
      <c r="C2681" s="4">
        <v>1.0</v>
      </c>
      <c r="D2681" s="5" t="s">
        <v>8045</v>
      </c>
      <c r="E2681" s="5" t="s">
        <v>8046</v>
      </c>
      <c r="F2681" s="6" t="str">
        <f>IFERROR(__xludf.DUMMYFUNCTION("GOOGLETRANSLATE(D2681,""en"",""it"")"),"Non mi piacciono i bobtail, preferisco i conigli.")</f>
        <v>Non mi piacciono i bobtail, preferisco i conigli.</v>
      </c>
      <c r="G2681" s="6" t="str">
        <f>IFERROR(__xludf.DUMMYFUNCTION("GOOGLETRANSLATE(E2681,""fr"",""it"")"),"Non mi piacciono i bobtail, preferisco i conigli.")</f>
        <v>Non mi piacciono i bobtail, preferisco i conigli.</v>
      </c>
    </row>
    <row r="2682">
      <c r="A2682" s="4">
        <v>2680.0</v>
      </c>
      <c r="B2682" s="5" t="s">
        <v>8047</v>
      </c>
      <c r="C2682" s="4">
        <v>1.0</v>
      </c>
      <c r="D2682" s="5" t="s">
        <v>8048</v>
      </c>
      <c r="E2682" s="5" t="s">
        <v>8049</v>
      </c>
      <c r="F2682" s="6" t="str">
        <f>IFERROR(__xludf.DUMMYFUNCTION("GOOGLETRANSLATE(D2682,""en"",""it"")"),"Non mi piacciono i conigli, preferisco i bobtail.")</f>
        <v>Non mi piacciono i conigli, preferisco i bobtail.</v>
      </c>
      <c r="G2682" s="6" t="str">
        <f>IFERROR(__xludf.DUMMYFUNCTION("GOOGLETRANSLATE(E2682,""fr"",""it"")"),"Non mi piacciono i conigli, preferisco i bobtail.")</f>
        <v>Non mi piacciono i conigli, preferisco i bobtail.</v>
      </c>
    </row>
    <row r="2683">
      <c r="A2683" s="4">
        <v>2681.0</v>
      </c>
      <c r="B2683" s="5" t="s">
        <v>8050</v>
      </c>
      <c r="C2683" s="4">
        <v>1.0</v>
      </c>
      <c r="D2683" s="5" t="s">
        <v>8051</v>
      </c>
      <c r="E2683" s="5" t="s">
        <v>8052</v>
      </c>
      <c r="F2683" s="6" t="str">
        <f>IFERROR(__xludf.DUMMYFUNCTION("GOOGLETRANSLATE(D2683,""en"",""it"")"),"Non mi piacciono i Bulldog, preferisco i gatti.")</f>
        <v>Non mi piacciono i Bulldog, preferisco i gatti.</v>
      </c>
      <c r="G2683" s="6" t="str">
        <f>IFERROR(__xludf.DUMMYFUNCTION("GOOGLETRANSLATE(E2683,""fr"",""it"")"),"Non mi piacciono i Bulldog, preferisco i gatti.")</f>
        <v>Non mi piacciono i Bulldog, preferisco i gatti.</v>
      </c>
    </row>
    <row r="2684">
      <c r="A2684" s="4">
        <v>2682.0</v>
      </c>
      <c r="B2684" s="5" t="s">
        <v>8053</v>
      </c>
      <c r="C2684" s="4">
        <v>1.0</v>
      </c>
      <c r="D2684" s="5" t="s">
        <v>8054</v>
      </c>
      <c r="E2684" s="5" t="s">
        <v>8055</v>
      </c>
      <c r="F2684" s="6" t="str">
        <f>IFERROR(__xludf.DUMMYFUNCTION("GOOGLETRANSLATE(D2684,""en"",""it"")"),"Non mi piacciono i gatti, preferisco i Bulldog.")</f>
        <v>Non mi piacciono i gatti, preferisco i Bulldog.</v>
      </c>
      <c r="G2684" s="6" t="str">
        <f>IFERROR(__xludf.DUMMYFUNCTION("GOOGLETRANSLATE(E2684,""fr"",""it"")"),"Non mi piacciono i gatti, preferisco i Bulldog.")</f>
        <v>Non mi piacciono i gatti, preferisco i Bulldog.</v>
      </c>
    </row>
    <row r="2685">
      <c r="A2685" s="4">
        <v>2683.0</v>
      </c>
      <c r="B2685" s="5" t="s">
        <v>8056</v>
      </c>
      <c r="C2685" s="4">
        <v>0.0</v>
      </c>
      <c r="D2685" s="5" t="s">
        <v>8057</v>
      </c>
      <c r="E2685" s="5" t="s">
        <v>8058</v>
      </c>
      <c r="F2685" s="6" t="str">
        <f>IFERROR(__xludf.DUMMYFUNCTION("GOOGLETRANSLATE(D2685,""en"",""it"")"),"Non mi piacciono i Bulldog, preferisco i cani.")</f>
        <v>Non mi piacciono i Bulldog, preferisco i cani.</v>
      </c>
      <c r="G2685" s="6" t="str">
        <f>IFERROR(__xludf.DUMMYFUNCTION("GOOGLETRANSLATE(E2685,""fr"",""it"")"),"Non mi piacciono i Bulldog, preferisco i cani.")</f>
        <v>Non mi piacciono i Bulldog, preferisco i cani.</v>
      </c>
    </row>
    <row r="2686">
      <c r="A2686" s="4">
        <v>2684.0</v>
      </c>
      <c r="B2686" s="5" t="s">
        <v>8059</v>
      </c>
      <c r="C2686" s="4">
        <v>0.0</v>
      </c>
      <c r="D2686" s="5" t="s">
        <v>8060</v>
      </c>
      <c r="E2686" s="5" t="s">
        <v>8061</v>
      </c>
      <c r="F2686" s="6" t="str">
        <f>IFERROR(__xludf.DUMMYFUNCTION("GOOGLETRANSLATE(D2686,""en"",""it"")"),"Non mi piacciono i cani, preferisco i Bulldog.")</f>
        <v>Non mi piacciono i cani, preferisco i Bulldog.</v>
      </c>
      <c r="G2686" s="6" t="str">
        <f>IFERROR(__xludf.DUMMYFUNCTION("GOOGLETRANSLATE(E2686,""fr"",""it"")"),"Non mi piacciono i cani, preferisco i Bulldog.")</f>
        <v>Non mi piacciono i cani, preferisco i Bulldog.</v>
      </c>
    </row>
    <row r="2687">
      <c r="A2687" s="4">
        <v>2685.0</v>
      </c>
      <c r="B2687" s="5" t="s">
        <v>8062</v>
      </c>
      <c r="C2687" s="4">
        <v>1.0</v>
      </c>
      <c r="D2687" s="5" t="s">
        <v>8063</v>
      </c>
      <c r="E2687" s="5" t="s">
        <v>8064</v>
      </c>
      <c r="F2687" s="6" t="str">
        <f>IFERROR(__xludf.DUMMYFUNCTION("GOOGLETRANSLATE(D2687,""en"",""it"")"),"Non mi piacciono i bulldog, preferisco i criceti.")</f>
        <v>Non mi piacciono i bulldog, preferisco i criceti.</v>
      </c>
      <c r="G2687" s="6" t="str">
        <f>IFERROR(__xludf.DUMMYFUNCTION("GOOGLETRANSLATE(E2687,""fr"",""it"")"),"Non mi piacciono i bulldog, preferisco i criceti.")</f>
        <v>Non mi piacciono i bulldog, preferisco i criceti.</v>
      </c>
    </row>
    <row r="2688">
      <c r="A2688" s="4">
        <v>2686.0</v>
      </c>
      <c r="B2688" s="5" t="s">
        <v>8065</v>
      </c>
      <c r="C2688" s="4">
        <v>1.0</v>
      </c>
      <c r="D2688" s="5" t="s">
        <v>8066</v>
      </c>
      <c r="E2688" s="5" t="s">
        <v>8067</v>
      </c>
      <c r="F2688" s="6" t="str">
        <f>IFERROR(__xludf.DUMMYFUNCTION("GOOGLETRANSLATE(D2688,""en"",""it"")"),"Non mi piacciono i criceti, preferisco i Bulldog.")</f>
        <v>Non mi piacciono i criceti, preferisco i Bulldog.</v>
      </c>
      <c r="G2688" s="6" t="str">
        <f>IFERROR(__xludf.DUMMYFUNCTION("GOOGLETRANSLATE(E2688,""fr"",""it"")"),"Non mi piacciono i criceti, preferisco i Bulldog.")</f>
        <v>Non mi piacciono i criceti, preferisco i Bulldog.</v>
      </c>
    </row>
    <row r="2689">
      <c r="A2689" s="4">
        <v>2687.0</v>
      </c>
      <c r="B2689" s="5" t="s">
        <v>8068</v>
      </c>
      <c r="C2689" s="4">
        <v>1.0</v>
      </c>
      <c r="D2689" s="5" t="s">
        <v>8069</v>
      </c>
      <c r="E2689" s="5" t="s">
        <v>8070</v>
      </c>
      <c r="F2689" s="6" t="str">
        <f>IFERROR(__xludf.DUMMYFUNCTION("GOOGLETRANSLATE(D2689,""en"",""it"")"),"Non mi piacciono i Bulldog, preferisco i pappagalli.")</f>
        <v>Non mi piacciono i Bulldog, preferisco i pappagalli.</v>
      </c>
      <c r="G2689" s="6" t="str">
        <f>IFERROR(__xludf.DUMMYFUNCTION("GOOGLETRANSLATE(E2689,""fr"",""it"")"),"Non mi piacciono i Bulldog, preferisco i perrouches.")</f>
        <v>Non mi piacciono i Bulldog, preferisco i perrouches.</v>
      </c>
    </row>
    <row r="2690">
      <c r="A2690" s="4">
        <v>2688.0</v>
      </c>
      <c r="B2690" s="5" t="s">
        <v>8071</v>
      </c>
      <c r="C2690" s="4">
        <v>1.0</v>
      </c>
      <c r="D2690" s="5" t="s">
        <v>8072</v>
      </c>
      <c r="E2690" s="5" t="s">
        <v>8073</v>
      </c>
      <c r="F2690" s="6" t="str">
        <f>IFERROR(__xludf.DUMMYFUNCTION("GOOGLETRANSLATE(D2690,""en"",""it"")"),"Non mi piacciono i pappagalli, preferisco i bulldog.")</f>
        <v>Non mi piacciono i pappagalli, preferisco i bulldog.</v>
      </c>
      <c r="G2690" s="6" t="str">
        <f>IFERROR(__xludf.DUMMYFUNCTION("GOOGLETRANSLATE(E2690,""fr"",""it"")"),"Non mi piacciono i perirouches, preferisco i Bulldog.")</f>
        <v>Non mi piacciono i perirouches, preferisco i Bulldog.</v>
      </c>
    </row>
    <row r="2691">
      <c r="A2691" s="4">
        <v>2689.0</v>
      </c>
      <c r="B2691" s="5" t="s">
        <v>8074</v>
      </c>
      <c r="C2691" s="4">
        <v>1.0</v>
      </c>
      <c r="D2691" s="5" t="s">
        <v>8075</v>
      </c>
      <c r="E2691" s="5" t="s">
        <v>8076</v>
      </c>
      <c r="F2691" s="6" t="str">
        <f>IFERROR(__xludf.DUMMYFUNCTION("GOOGLETRANSLATE(D2691,""en"",""it"")"),"Non mi piacciono i Bulldog, preferisco i conigli.")</f>
        <v>Non mi piacciono i Bulldog, preferisco i conigli.</v>
      </c>
      <c r="G2691" s="6" t="str">
        <f>IFERROR(__xludf.DUMMYFUNCTION("GOOGLETRANSLATE(E2691,""fr"",""it"")"),"Non mi piacciono i Bulldog, preferisco i conigli.")</f>
        <v>Non mi piacciono i Bulldog, preferisco i conigli.</v>
      </c>
    </row>
    <row r="2692">
      <c r="A2692" s="4">
        <v>2690.0</v>
      </c>
      <c r="B2692" s="5" t="s">
        <v>8077</v>
      </c>
      <c r="C2692" s="4">
        <v>1.0</v>
      </c>
      <c r="D2692" s="5" t="s">
        <v>8078</v>
      </c>
      <c r="E2692" s="5" t="s">
        <v>8079</v>
      </c>
      <c r="F2692" s="6" t="str">
        <f>IFERROR(__xludf.DUMMYFUNCTION("GOOGLETRANSLATE(D2692,""en"",""it"")"),"Non mi piacciono i conigli, preferisco i bulldog.")</f>
        <v>Non mi piacciono i conigli, preferisco i bulldog.</v>
      </c>
      <c r="G2692" s="6" t="str">
        <f>IFERROR(__xludf.DUMMYFUNCTION("GOOGLETRANSLATE(E2692,""fr"",""it"")"),"Non mi piacciono i conigli, preferisco i bulldog.")</f>
        <v>Non mi piacciono i conigli, preferisco i bulldog.</v>
      </c>
    </row>
    <row r="2693">
      <c r="A2693" s="4">
        <v>2691.0</v>
      </c>
      <c r="B2693" s="5" t="s">
        <v>8080</v>
      </c>
      <c r="C2693" s="4">
        <v>1.0</v>
      </c>
      <c r="D2693" s="5" t="s">
        <v>8081</v>
      </c>
      <c r="E2693" s="5" t="s">
        <v>8082</v>
      </c>
      <c r="F2693" s="6" t="str">
        <f>IFERROR(__xludf.DUMMYFUNCTION("GOOGLETRANSLATE(D2693,""en"",""it"")"),"Non mi piacciono i Beagles, preferisco i gatti.")</f>
        <v>Non mi piacciono i Beagles, preferisco i gatti.</v>
      </c>
      <c r="G2693" s="6" t="str">
        <f>IFERROR(__xludf.DUMMYFUNCTION("GOOGLETRANSLATE(E2693,""fr"",""it"")"),"Non mi piacciono i Beagles, preferisco i gatti.")</f>
        <v>Non mi piacciono i Beagles, preferisco i gatti.</v>
      </c>
    </row>
    <row r="2694">
      <c r="A2694" s="4">
        <v>2692.0</v>
      </c>
      <c r="B2694" s="5" t="s">
        <v>8083</v>
      </c>
      <c r="C2694" s="4">
        <v>1.0</v>
      </c>
      <c r="D2694" s="5" t="s">
        <v>8084</v>
      </c>
      <c r="E2694" s="5" t="s">
        <v>8085</v>
      </c>
      <c r="F2694" s="6" t="str">
        <f>IFERROR(__xludf.DUMMYFUNCTION("GOOGLETRANSLATE(D2694,""en"",""it"")"),"Non mi piacciono i gatti, preferisco Beagles.")</f>
        <v>Non mi piacciono i gatti, preferisco Beagles.</v>
      </c>
      <c r="G2694" s="6" t="str">
        <f>IFERROR(__xludf.DUMMYFUNCTION("GOOGLETRANSLATE(E2694,""fr"",""it"")"),"Non mi piacciono i gatti, preferisco i Beagles.")</f>
        <v>Non mi piacciono i gatti, preferisco i Beagles.</v>
      </c>
    </row>
    <row r="2695">
      <c r="A2695" s="4">
        <v>2693.0</v>
      </c>
      <c r="B2695" s="5" t="s">
        <v>8086</v>
      </c>
      <c r="C2695" s="4">
        <v>0.0</v>
      </c>
      <c r="D2695" s="5" t="s">
        <v>8087</v>
      </c>
      <c r="E2695" s="5" t="s">
        <v>8088</v>
      </c>
      <c r="F2695" s="6" t="str">
        <f>IFERROR(__xludf.DUMMYFUNCTION("GOOGLETRANSLATE(D2695,""en"",""it"")"),"Non mi piacciono i Beagles, preferisco i cani.")</f>
        <v>Non mi piacciono i Beagles, preferisco i cani.</v>
      </c>
      <c r="G2695" s="6" t="str">
        <f>IFERROR(__xludf.DUMMYFUNCTION("GOOGLETRANSLATE(E2695,""fr"",""it"")"),"Non mi piacciono i Beagles, preferisco i cani.")</f>
        <v>Non mi piacciono i Beagles, preferisco i cani.</v>
      </c>
    </row>
    <row r="2696">
      <c r="A2696" s="4">
        <v>2694.0</v>
      </c>
      <c r="B2696" s="5" t="s">
        <v>8089</v>
      </c>
      <c r="C2696" s="4">
        <v>0.0</v>
      </c>
      <c r="D2696" s="5" t="s">
        <v>8090</v>
      </c>
      <c r="E2696" s="5" t="s">
        <v>8091</v>
      </c>
      <c r="F2696" s="6" t="str">
        <f>IFERROR(__xludf.DUMMYFUNCTION("GOOGLETRANSLATE(D2696,""en"",""it"")"),"Non mi piacciono i cani, preferisco Beagles.")</f>
        <v>Non mi piacciono i cani, preferisco Beagles.</v>
      </c>
      <c r="G2696" s="6" t="str">
        <f>IFERROR(__xludf.DUMMYFUNCTION("GOOGLETRANSLATE(E2696,""fr"",""it"")"),"Non mi piacciono i cani, preferisco i Beagles.")</f>
        <v>Non mi piacciono i cani, preferisco i Beagles.</v>
      </c>
    </row>
    <row r="2697">
      <c r="A2697" s="4">
        <v>2695.0</v>
      </c>
      <c r="B2697" s="5" t="s">
        <v>8092</v>
      </c>
      <c r="C2697" s="4">
        <v>1.0</v>
      </c>
      <c r="D2697" s="5" t="s">
        <v>8093</v>
      </c>
      <c r="E2697" s="5" t="s">
        <v>8094</v>
      </c>
      <c r="F2697" s="6" t="str">
        <f>IFERROR(__xludf.DUMMYFUNCTION("GOOGLETRANSLATE(D2697,""en"",""it"")"),"Non mi piacciono i Beagles, preferisco i criceti.")</f>
        <v>Non mi piacciono i Beagles, preferisco i criceti.</v>
      </c>
      <c r="G2697" s="6" t="str">
        <f>IFERROR(__xludf.DUMMYFUNCTION("GOOGLETRANSLATE(E2697,""fr"",""it"")"),"Non mi piacciono i Beagles, preferisco i criceti.")</f>
        <v>Non mi piacciono i Beagles, preferisco i criceti.</v>
      </c>
    </row>
    <row r="2698">
      <c r="A2698" s="4">
        <v>2696.0</v>
      </c>
      <c r="B2698" s="5" t="s">
        <v>8095</v>
      </c>
      <c r="C2698" s="4">
        <v>1.0</v>
      </c>
      <c r="D2698" s="5" t="s">
        <v>8096</v>
      </c>
      <c r="E2698" s="5" t="s">
        <v>8097</v>
      </c>
      <c r="F2698" s="6" t="str">
        <f>IFERROR(__xludf.DUMMYFUNCTION("GOOGLETRANSLATE(D2698,""en"",""it"")"),"Non mi piacciono i criceti, preferisco Beagles.")</f>
        <v>Non mi piacciono i criceti, preferisco Beagles.</v>
      </c>
      <c r="G2698" s="6" t="str">
        <f>IFERROR(__xludf.DUMMYFUNCTION("GOOGLETRANSLATE(E2698,""fr"",""it"")"),"Non mi piacciono i criceti, preferisco i Beagles.")</f>
        <v>Non mi piacciono i criceti, preferisco i Beagles.</v>
      </c>
    </row>
    <row r="2699">
      <c r="A2699" s="4">
        <v>2697.0</v>
      </c>
      <c r="B2699" s="5" t="s">
        <v>8098</v>
      </c>
      <c r="C2699" s="4">
        <v>1.0</v>
      </c>
      <c r="D2699" s="5" t="s">
        <v>8099</v>
      </c>
      <c r="E2699" s="5" t="s">
        <v>8100</v>
      </c>
      <c r="F2699" s="6" t="str">
        <f>IFERROR(__xludf.DUMMYFUNCTION("GOOGLETRANSLATE(D2699,""en"",""it"")"),"Non mi piacciono i Beagles, preferisco i pappagalli.")</f>
        <v>Non mi piacciono i Beagles, preferisco i pappagalli.</v>
      </c>
      <c r="G2699" s="6" t="str">
        <f>IFERROR(__xludf.DUMMYFUNCTION("GOOGLETRANSLATE(E2699,""fr"",""it"")"),"Non mi piacciono i Beagles, preferisco i perrouches.")</f>
        <v>Non mi piacciono i Beagles, preferisco i perrouches.</v>
      </c>
    </row>
    <row r="2700">
      <c r="A2700" s="4">
        <v>2698.0</v>
      </c>
      <c r="B2700" s="5" t="s">
        <v>8101</v>
      </c>
      <c r="C2700" s="4">
        <v>1.0</v>
      </c>
      <c r="D2700" s="5" t="s">
        <v>8102</v>
      </c>
      <c r="E2700" s="5" t="s">
        <v>8103</v>
      </c>
      <c r="F2700" s="6" t="str">
        <f>IFERROR(__xludf.DUMMYFUNCTION("GOOGLETRANSLATE(D2700,""en"",""it"")"),"Non mi piacciono i pappagalli, preferisco Beagles.")</f>
        <v>Non mi piacciono i pappagalli, preferisco Beagles.</v>
      </c>
      <c r="G2700" s="6" t="str">
        <f>IFERROR(__xludf.DUMMYFUNCTION("GOOGLETRANSLATE(E2700,""fr"",""it"")"),"Non mi piacciono i perirouches, preferisco i Beagles.")</f>
        <v>Non mi piacciono i perirouches, preferisco i Beagles.</v>
      </c>
    </row>
    <row r="2701">
      <c r="A2701" s="4">
        <v>2699.0</v>
      </c>
      <c r="B2701" s="5" t="s">
        <v>8104</v>
      </c>
      <c r="C2701" s="4">
        <v>1.0</v>
      </c>
      <c r="D2701" s="5" t="s">
        <v>8105</v>
      </c>
      <c r="E2701" s="5" t="s">
        <v>8106</v>
      </c>
      <c r="F2701" s="6" t="str">
        <f>IFERROR(__xludf.DUMMYFUNCTION("GOOGLETRANSLATE(D2701,""en"",""it"")"),"Non mi piacciono i Beagles, preferisco i conigli.")</f>
        <v>Non mi piacciono i Beagles, preferisco i conigli.</v>
      </c>
      <c r="G2701" s="6" t="str">
        <f>IFERROR(__xludf.DUMMYFUNCTION("GOOGLETRANSLATE(E2701,""fr"",""it"")"),"Non mi piacciono i Beagles, preferisco i conigli.")</f>
        <v>Non mi piacciono i Beagles, preferisco i conigli.</v>
      </c>
    </row>
    <row r="2702">
      <c r="A2702" s="4">
        <v>2700.0</v>
      </c>
      <c r="B2702" s="5" t="s">
        <v>8107</v>
      </c>
      <c r="C2702" s="4">
        <v>1.0</v>
      </c>
      <c r="D2702" s="5" t="s">
        <v>8108</v>
      </c>
      <c r="E2702" s="5" t="s">
        <v>8109</v>
      </c>
      <c r="F2702" s="6" t="str">
        <f>IFERROR(__xludf.DUMMYFUNCTION("GOOGLETRANSLATE(D2702,""en"",""it"")"),"Non mi piacciono i conigli, preferisco Beagles.")</f>
        <v>Non mi piacciono i conigli, preferisco Beagles.</v>
      </c>
      <c r="G2702" s="6" t="str">
        <f>IFERROR(__xludf.DUMMYFUNCTION("GOOGLETRANSLATE(E2702,""fr"",""it"")"),"Non mi piacciono i conigli, preferisco i Beagles.")</f>
        <v>Non mi piacciono i conigli, preferisco i Beagles.</v>
      </c>
    </row>
    <row r="2703">
      <c r="A2703" s="4">
        <v>2701.0</v>
      </c>
      <c r="B2703" s="5" t="s">
        <v>8110</v>
      </c>
      <c r="C2703" s="4">
        <v>1.0</v>
      </c>
      <c r="D2703" s="5" t="s">
        <v>8111</v>
      </c>
      <c r="E2703" s="5" t="s">
        <v>8112</v>
      </c>
      <c r="F2703" s="6" t="str">
        <f>IFERROR(__xludf.DUMMYFUNCTION("GOOGLETRANSLATE(D2703,""en"",""it"")"),"Non mi piacciono i pappagalli, preferisco i gatti.")</f>
        <v>Non mi piacciono i pappagalli, preferisco i gatti.</v>
      </c>
      <c r="G2703" s="6" t="str">
        <f>IFERROR(__xludf.DUMMYFUNCTION("GOOGLETRANSLATE(E2703,""fr"",""it"")"),"Non mi piacciono i perirouches, preferisco i gatti.")</f>
        <v>Non mi piacciono i perirouches, preferisco i gatti.</v>
      </c>
    </row>
    <row r="2704">
      <c r="A2704" s="4">
        <v>2702.0</v>
      </c>
      <c r="B2704" s="5" t="s">
        <v>8113</v>
      </c>
      <c r="C2704" s="4">
        <v>1.0</v>
      </c>
      <c r="D2704" s="5" t="s">
        <v>8114</v>
      </c>
      <c r="E2704" s="5" t="s">
        <v>8115</v>
      </c>
      <c r="F2704" s="6" t="str">
        <f>IFERROR(__xludf.DUMMYFUNCTION("GOOGLETRANSLATE(D2704,""en"",""it"")"),"Non mi piacciono i gatti, preferisco i pappagalli.")</f>
        <v>Non mi piacciono i gatti, preferisco i pappagalli.</v>
      </c>
      <c r="G2704" s="6" t="str">
        <f>IFERROR(__xludf.DUMMYFUNCTION("GOOGLETRANSLATE(E2704,""fr"",""it"")"),"Non mi piacciono i gatti, preferisco i perrouches.")</f>
        <v>Non mi piacciono i gatti, preferisco i perrouches.</v>
      </c>
    </row>
    <row r="2705">
      <c r="A2705" s="4">
        <v>2703.0</v>
      </c>
      <c r="B2705" s="5" t="s">
        <v>8116</v>
      </c>
      <c r="C2705" s="4">
        <v>0.0</v>
      </c>
      <c r="D2705" s="5" t="s">
        <v>8117</v>
      </c>
      <c r="E2705" s="5" t="s">
        <v>8118</v>
      </c>
      <c r="F2705" s="6" t="str">
        <f>IFERROR(__xludf.DUMMYFUNCTION("GOOGLETRANSLATE(D2705,""en"",""it"")"),"Non mi piacciono i pappagalli, preferisco gli uccelli.")</f>
        <v>Non mi piacciono i pappagalli, preferisco gli uccelli.</v>
      </c>
      <c r="G2705" s="6" t="str">
        <f>IFERROR(__xludf.DUMMYFUNCTION("GOOGLETRANSLATE(E2705,""fr"",""it"")"),"Non mi piacciono i perirouches, preferisco gli uccelli.")</f>
        <v>Non mi piacciono i perirouches, preferisco gli uccelli.</v>
      </c>
    </row>
    <row r="2706">
      <c r="A2706" s="4">
        <v>2704.0</v>
      </c>
      <c r="B2706" s="5" t="s">
        <v>8119</v>
      </c>
      <c r="C2706" s="4">
        <v>0.0</v>
      </c>
      <c r="D2706" s="5" t="s">
        <v>8120</v>
      </c>
      <c r="E2706" s="5" t="s">
        <v>8121</v>
      </c>
      <c r="F2706" s="6" t="str">
        <f>IFERROR(__xludf.DUMMYFUNCTION("GOOGLETRANSLATE(D2706,""en"",""it"")"),"Non mi piacciono gli uccelli, preferisco i pappagalli.")</f>
        <v>Non mi piacciono gli uccelli, preferisco i pappagalli.</v>
      </c>
      <c r="G2706" s="6" t="str">
        <f>IFERROR(__xludf.DUMMYFUNCTION("GOOGLETRANSLATE(E2706,""fr"",""it"")"),"Non mi piacciono gli uccelli, preferisco i perrouches.")</f>
        <v>Non mi piacciono gli uccelli, preferisco i perrouches.</v>
      </c>
    </row>
    <row r="2707">
      <c r="A2707" s="4">
        <v>2705.0</v>
      </c>
      <c r="B2707" s="5" t="s">
        <v>8122</v>
      </c>
      <c r="C2707" s="4">
        <v>1.0</v>
      </c>
      <c r="D2707" s="5" t="s">
        <v>8123</v>
      </c>
      <c r="E2707" s="5" t="s">
        <v>8124</v>
      </c>
      <c r="F2707" s="6" t="str">
        <f>IFERROR(__xludf.DUMMYFUNCTION("GOOGLETRANSLATE(D2707,""en"",""it"")"),"Non mi piacciono gli uccelli, preferisco i gatti.")</f>
        <v>Non mi piacciono gli uccelli, preferisco i gatti.</v>
      </c>
      <c r="G2707" s="6" t="str">
        <f>IFERROR(__xludf.DUMMYFUNCTION("GOOGLETRANSLATE(E2707,""fr"",""it"")"),"Non mi piacciono gli uccelli, preferisco i gatti.")</f>
        <v>Non mi piacciono gli uccelli, preferisco i gatti.</v>
      </c>
    </row>
    <row r="2708">
      <c r="A2708" s="4">
        <v>2706.0</v>
      </c>
      <c r="B2708" s="5" t="s">
        <v>8125</v>
      </c>
      <c r="C2708" s="4">
        <v>1.0</v>
      </c>
      <c r="D2708" s="5" t="s">
        <v>8126</v>
      </c>
      <c r="E2708" s="5" t="s">
        <v>8127</v>
      </c>
      <c r="F2708" s="6" t="str">
        <f>IFERROR(__xludf.DUMMYFUNCTION("GOOGLETRANSLATE(D2708,""en"",""it"")"),"Non mi piacciono i pappagalli, preferisco i criceti.")</f>
        <v>Non mi piacciono i pappagalli, preferisco i criceti.</v>
      </c>
      <c r="G2708" s="6" t="str">
        <f>IFERROR(__xludf.DUMMYFUNCTION("GOOGLETRANSLATE(E2708,""fr"",""it"")"),"Non mi piacciono i perrouches, preferisco i criceti.")</f>
        <v>Non mi piacciono i perrouches, preferisco i criceti.</v>
      </c>
    </row>
    <row r="2709">
      <c r="A2709" s="4">
        <v>2707.0</v>
      </c>
      <c r="B2709" s="5" t="s">
        <v>8128</v>
      </c>
      <c r="C2709" s="4">
        <v>1.0</v>
      </c>
      <c r="D2709" s="5" t="s">
        <v>8129</v>
      </c>
      <c r="E2709" s="5" t="s">
        <v>8130</v>
      </c>
      <c r="F2709" s="6" t="str">
        <f>IFERROR(__xludf.DUMMYFUNCTION("GOOGLETRANSLATE(D2709,""en"",""it"")"),"Non mi piacciono i criceti, preferisco i pappagalli.")</f>
        <v>Non mi piacciono i criceti, preferisco i pappagalli.</v>
      </c>
      <c r="G2709" s="6" t="str">
        <f>IFERROR(__xludf.DUMMYFUNCTION("GOOGLETRANSLATE(E2709,""fr"",""it"")"),"Non mi piacciono i criceti, preferisco i perrouches.")</f>
        <v>Non mi piacciono i criceti, preferisco i perrouches.</v>
      </c>
    </row>
    <row r="2710">
      <c r="A2710" s="4">
        <v>2708.0</v>
      </c>
      <c r="B2710" s="5" t="s">
        <v>8131</v>
      </c>
      <c r="C2710" s="4">
        <v>1.0</v>
      </c>
      <c r="D2710" s="5" t="s">
        <v>8132</v>
      </c>
      <c r="E2710" s="5" t="s">
        <v>8133</v>
      </c>
      <c r="F2710" s="6" t="str">
        <f>IFERROR(__xludf.DUMMYFUNCTION("GOOGLETRANSLATE(D2710,""en"",""it"")"),"Non mi piacciono gli uccelli, preferisco i criceti.")</f>
        <v>Non mi piacciono gli uccelli, preferisco i criceti.</v>
      </c>
      <c r="G2710" s="6" t="str">
        <f>IFERROR(__xludf.DUMMYFUNCTION("GOOGLETRANSLATE(E2710,""fr"",""it"")"),"Non mi piacciono gli uccelli, preferisco i criceti.")</f>
        <v>Non mi piacciono gli uccelli, preferisco i criceti.</v>
      </c>
    </row>
    <row r="2711">
      <c r="A2711" s="4">
        <v>2709.0</v>
      </c>
      <c r="B2711" s="5" t="s">
        <v>8134</v>
      </c>
      <c r="C2711" s="4">
        <v>1.0</v>
      </c>
      <c r="D2711" s="5" t="s">
        <v>8135</v>
      </c>
      <c r="E2711" s="5" t="s">
        <v>8136</v>
      </c>
      <c r="F2711" s="6" t="str">
        <f>IFERROR(__xludf.DUMMYFUNCTION("GOOGLETRANSLATE(D2711,""en"",""it"")"),"Non mi piacciono i pappagalli, preferisco i maiali.")</f>
        <v>Non mi piacciono i pappagalli, preferisco i maiali.</v>
      </c>
      <c r="G2711" s="6" t="str">
        <f>IFERROR(__xludf.DUMMYFUNCTION("GOOGLETRANSLATE(E2711,""fr"",""it"")"),"Non mi piacciono i perirouches, preferisco i maiali.")</f>
        <v>Non mi piacciono i perirouches, preferisco i maiali.</v>
      </c>
    </row>
    <row r="2712">
      <c r="A2712" s="4">
        <v>2710.0</v>
      </c>
      <c r="B2712" s="5" t="s">
        <v>8137</v>
      </c>
      <c r="C2712" s="4">
        <v>1.0</v>
      </c>
      <c r="D2712" s="5" t="s">
        <v>8138</v>
      </c>
      <c r="E2712" s="5" t="s">
        <v>8139</v>
      </c>
      <c r="F2712" s="6" t="str">
        <f>IFERROR(__xludf.DUMMYFUNCTION("GOOGLETRANSLATE(D2712,""en"",""it"")"),"Non mi piacciono i maiali, preferisco i pappagalli.")</f>
        <v>Non mi piacciono i maiali, preferisco i pappagalli.</v>
      </c>
      <c r="G2712" s="6" t="str">
        <f>IFERROR(__xludf.DUMMYFUNCTION("GOOGLETRANSLATE(E2712,""fr"",""it"")"),"Non mi piacciono i maiali, preferisco i perrouches.")</f>
        <v>Non mi piacciono i maiali, preferisco i perrouches.</v>
      </c>
    </row>
    <row r="2713">
      <c r="A2713" s="4">
        <v>2711.0</v>
      </c>
      <c r="B2713" s="5" t="s">
        <v>8140</v>
      </c>
      <c r="C2713" s="4">
        <v>1.0</v>
      </c>
      <c r="D2713" s="5" t="s">
        <v>8141</v>
      </c>
      <c r="E2713" s="5" t="s">
        <v>8142</v>
      </c>
      <c r="F2713" s="6" t="str">
        <f>IFERROR(__xludf.DUMMYFUNCTION("GOOGLETRANSLATE(D2713,""en"",""it"")"),"Non mi piacciono gli uccelli, preferisco i maiali.")</f>
        <v>Non mi piacciono gli uccelli, preferisco i maiali.</v>
      </c>
      <c r="G2713" s="6" t="str">
        <f>IFERROR(__xludf.DUMMYFUNCTION("GOOGLETRANSLATE(E2713,""fr"",""it"")"),"Non mi piacciono gli uccelli, preferisco i maiali.")</f>
        <v>Non mi piacciono gli uccelli, preferisco i maiali.</v>
      </c>
    </row>
    <row r="2714">
      <c r="A2714" s="4">
        <v>2712.0</v>
      </c>
      <c r="B2714" s="5" t="s">
        <v>8143</v>
      </c>
      <c r="C2714" s="4">
        <v>1.0</v>
      </c>
      <c r="D2714" s="5" t="s">
        <v>8144</v>
      </c>
      <c r="E2714" s="5" t="s">
        <v>8145</v>
      </c>
      <c r="F2714" s="6" t="str">
        <f>IFERROR(__xludf.DUMMYFUNCTION("GOOGLETRANSLATE(D2714,""en"",""it"")"),"Non mi piacciono i pappagalli, preferisco i cani.")</f>
        <v>Non mi piacciono i pappagalli, preferisco i cani.</v>
      </c>
      <c r="G2714" s="6" t="str">
        <f>IFERROR(__xludf.DUMMYFUNCTION("GOOGLETRANSLATE(E2714,""fr"",""it"")"),"Non mi piacciono i perruboletti, preferisco i cani.")</f>
        <v>Non mi piacciono i perruboletti, preferisco i cani.</v>
      </c>
    </row>
    <row r="2715">
      <c r="A2715" s="4">
        <v>2713.0</v>
      </c>
      <c r="B2715" s="5" t="s">
        <v>8146</v>
      </c>
      <c r="C2715" s="4">
        <v>1.0</v>
      </c>
      <c r="D2715" s="5" t="s">
        <v>8147</v>
      </c>
      <c r="E2715" s="5" t="s">
        <v>8148</v>
      </c>
      <c r="F2715" s="6" t="str">
        <f>IFERROR(__xludf.DUMMYFUNCTION("GOOGLETRANSLATE(D2715,""en"",""it"")"),"Non mi piacciono gli uccelli, preferisco i cani.")</f>
        <v>Non mi piacciono gli uccelli, preferisco i cani.</v>
      </c>
      <c r="G2715" s="6" t="str">
        <f>IFERROR(__xludf.DUMMYFUNCTION("GOOGLETRANSLATE(E2715,""fr"",""it"")"),"Non mi piacciono gli uccelli, preferisco i cani.")</f>
        <v>Non mi piacciono gli uccelli, preferisco i cani.</v>
      </c>
    </row>
    <row r="2716">
      <c r="A2716" s="4">
        <v>2714.0</v>
      </c>
      <c r="B2716" s="5" t="s">
        <v>8149</v>
      </c>
      <c r="C2716" s="4">
        <v>1.0</v>
      </c>
      <c r="D2716" s="5" t="s">
        <v>8150</v>
      </c>
      <c r="E2716" s="5" t="s">
        <v>8151</v>
      </c>
      <c r="F2716" s="6" t="str">
        <f>IFERROR(__xludf.DUMMYFUNCTION("GOOGLETRANSLATE(D2716,""en"",""it"")"),"Non mi piacciono le anatre, preferisco i gatti.")</f>
        <v>Non mi piacciono le anatre, preferisco i gatti.</v>
      </c>
      <c r="G2716" s="6" t="str">
        <f>IFERROR(__xludf.DUMMYFUNCTION("GOOGLETRANSLATE(E2716,""fr"",""it"")"),"Non mi piacciono le anatre, preferisco i gatti.")</f>
        <v>Non mi piacciono le anatre, preferisco i gatti.</v>
      </c>
    </row>
    <row r="2717">
      <c r="A2717" s="4">
        <v>2715.0</v>
      </c>
      <c r="B2717" s="5" t="s">
        <v>8152</v>
      </c>
      <c r="C2717" s="4">
        <v>1.0</v>
      </c>
      <c r="D2717" s="5" t="s">
        <v>8153</v>
      </c>
      <c r="E2717" s="5" t="s">
        <v>8154</v>
      </c>
      <c r="F2717" s="6" t="str">
        <f>IFERROR(__xludf.DUMMYFUNCTION("GOOGLETRANSLATE(D2717,""en"",""it"")"),"Non mi piacciono i gatti, preferisco le anatre.")</f>
        <v>Non mi piacciono i gatti, preferisco le anatre.</v>
      </c>
      <c r="G2717" s="6" t="str">
        <f>IFERROR(__xludf.DUMMYFUNCTION("GOOGLETRANSLATE(E2717,""fr"",""it"")"),"Non mi piacciono i gatti, preferisco le anatre.")</f>
        <v>Non mi piacciono i gatti, preferisco le anatre.</v>
      </c>
    </row>
    <row r="2718">
      <c r="A2718" s="4">
        <v>2716.0</v>
      </c>
      <c r="B2718" s="5" t="s">
        <v>8155</v>
      </c>
      <c r="C2718" s="4">
        <v>0.0</v>
      </c>
      <c r="D2718" s="5" t="s">
        <v>8156</v>
      </c>
      <c r="E2718" s="5" t="s">
        <v>8157</v>
      </c>
      <c r="F2718" s="6" t="str">
        <f>IFERROR(__xludf.DUMMYFUNCTION("GOOGLETRANSLATE(D2718,""en"",""it"")"),"Non mi piacciono le anatre, preferisco gli uccelli.")</f>
        <v>Non mi piacciono le anatre, preferisco gli uccelli.</v>
      </c>
      <c r="G2718" s="6" t="str">
        <f>IFERROR(__xludf.DUMMYFUNCTION("GOOGLETRANSLATE(E2718,""fr"",""it"")"),"Non mi piacciono le anatre, preferisco gli uccelli.")</f>
        <v>Non mi piacciono le anatre, preferisco gli uccelli.</v>
      </c>
    </row>
    <row r="2719">
      <c r="A2719" s="4">
        <v>2717.0</v>
      </c>
      <c r="B2719" s="5" t="s">
        <v>8158</v>
      </c>
      <c r="C2719" s="4">
        <v>0.0</v>
      </c>
      <c r="D2719" s="5" t="s">
        <v>8159</v>
      </c>
      <c r="E2719" s="5" t="s">
        <v>8160</v>
      </c>
      <c r="F2719" s="6" t="str">
        <f>IFERROR(__xludf.DUMMYFUNCTION("GOOGLETRANSLATE(D2719,""en"",""it"")"),"Non mi piacciono gli uccelli, preferisco le anatre.")</f>
        <v>Non mi piacciono gli uccelli, preferisco le anatre.</v>
      </c>
      <c r="G2719" s="6" t="str">
        <f>IFERROR(__xludf.DUMMYFUNCTION("GOOGLETRANSLATE(E2719,""fr"",""it"")"),"Non mi piacciono gli uccelli, preferisco le anatre.")</f>
        <v>Non mi piacciono gli uccelli, preferisco le anatre.</v>
      </c>
    </row>
    <row r="2720">
      <c r="A2720" s="4">
        <v>2718.0</v>
      </c>
      <c r="B2720" s="5" t="s">
        <v>8161</v>
      </c>
      <c r="C2720" s="4">
        <v>1.0</v>
      </c>
      <c r="D2720" s="5" t="s">
        <v>8162</v>
      </c>
      <c r="E2720" s="5" t="s">
        <v>8163</v>
      </c>
      <c r="F2720" s="6" t="str">
        <f>IFERROR(__xludf.DUMMYFUNCTION("GOOGLETRANSLATE(D2720,""en"",""it"")"),"Non mi piacciono le anatre, preferisco i criceti.")</f>
        <v>Non mi piacciono le anatre, preferisco i criceti.</v>
      </c>
      <c r="G2720" s="6" t="str">
        <f>IFERROR(__xludf.DUMMYFUNCTION("GOOGLETRANSLATE(E2720,""fr"",""it"")"),"Non mi piacciono le anatre, preferisco i criceti.")</f>
        <v>Non mi piacciono le anatre, preferisco i criceti.</v>
      </c>
    </row>
    <row r="2721">
      <c r="A2721" s="4">
        <v>2719.0</v>
      </c>
      <c r="B2721" s="5" t="s">
        <v>8164</v>
      </c>
      <c r="C2721" s="4">
        <v>1.0</v>
      </c>
      <c r="D2721" s="5" t="s">
        <v>8165</v>
      </c>
      <c r="E2721" s="5" t="s">
        <v>8166</v>
      </c>
      <c r="F2721" s="6" t="str">
        <f>IFERROR(__xludf.DUMMYFUNCTION("GOOGLETRANSLATE(D2721,""en"",""it"")"),"Non mi piacciono i criceti, preferisco le anatre.")</f>
        <v>Non mi piacciono i criceti, preferisco le anatre.</v>
      </c>
      <c r="G2721" s="6" t="str">
        <f>IFERROR(__xludf.DUMMYFUNCTION("GOOGLETRANSLATE(E2721,""fr"",""it"")"),"Non mi piacciono i criceti, preferisco le anatre.")</f>
        <v>Non mi piacciono i criceti, preferisco le anatre.</v>
      </c>
    </row>
    <row r="2722">
      <c r="A2722" s="4">
        <v>2720.0</v>
      </c>
      <c r="B2722" s="5" t="s">
        <v>8167</v>
      </c>
      <c r="C2722" s="4">
        <v>1.0</v>
      </c>
      <c r="D2722" s="5" t="s">
        <v>8168</v>
      </c>
      <c r="E2722" s="5" t="s">
        <v>8169</v>
      </c>
      <c r="F2722" s="6" t="str">
        <f>IFERROR(__xludf.DUMMYFUNCTION("GOOGLETRANSLATE(D2722,""en"",""it"")"),"Non mi piacciono le anatre, preferisco i maiali.")</f>
        <v>Non mi piacciono le anatre, preferisco i maiali.</v>
      </c>
      <c r="G2722" s="6" t="str">
        <f>IFERROR(__xludf.DUMMYFUNCTION("GOOGLETRANSLATE(E2722,""fr"",""it"")"),"Non mi piacciono le anatre, preferisco i maiali.")</f>
        <v>Non mi piacciono le anatre, preferisco i maiali.</v>
      </c>
    </row>
    <row r="2723">
      <c r="A2723" s="4">
        <v>2721.0</v>
      </c>
      <c r="B2723" s="5" t="s">
        <v>8170</v>
      </c>
      <c r="C2723" s="4">
        <v>1.0</v>
      </c>
      <c r="D2723" s="5" t="s">
        <v>8171</v>
      </c>
      <c r="E2723" s="5" t="s">
        <v>8172</v>
      </c>
      <c r="F2723" s="6" t="str">
        <f>IFERROR(__xludf.DUMMYFUNCTION("GOOGLETRANSLATE(D2723,""en"",""it"")"),"Non mi piacciono i maiali, preferisco le anatre.")</f>
        <v>Non mi piacciono i maiali, preferisco le anatre.</v>
      </c>
      <c r="G2723" s="6" t="str">
        <f>IFERROR(__xludf.DUMMYFUNCTION("GOOGLETRANSLATE(E2723,""fr"",""it"")"),"Non mi piacciono i maiali, preferisco le anatre.")</f>
        <v>Non mi piacciono i maiali, preferisco le anatre.</v>
      </c>
    </row>
    <row r="2724">
      <c r="A2724" s="4">
        <v>2722.0</v>
      </c>
      <c r="B2724" s="5" t="s">
        <v>8173</v>
      </c>
      <c r="C2724" s="4">
        <v>1.0</v>
      </c>
      <c r="D2724" s="5" t="s">
        <v>8174</v>
      </c>
      <c r="E2724" s="5" t="s">
        <v>8175</v>
      </c>
      <c r="F2724" s="6" t="str">
        <f>IFERROR(__xludf.DUMMYFUNCTION("GOOGLETRANSLATE(D2724,""en"",""it"")"),"Non mi piacciono le anatre, preferisco i cani.")</f>
        <v>Non mi piacciono le anatre, preferisco i cani.</v>
      </c>
      <c r="G2724" s="6" t="str">
        <f>IFERROR(__xludf.DUMMYFUNCTION("GOOGLETRANSLATE(E2724,""fr"",""it"")"),"Non mi piacciono le anatre, preferisco i cani.")</f>
        <v>Non mi piacciono le anatre, preferisco i cani.</v>
      </c>
    </row>
    <row r="2725">
      <c r="A2725" s="4">
        <v>2723.0</v>
      </c>
      <c r="B2725" s="5" t="s">
        <v>8176</v>
      </c>
      <c r="C2725" s="4">
        <v>1.0</v>
      </c>
      <c r="D2725" s="5" t="s">
        <v>8177</v>
      </c>
      <c r="E2725" s="5" t="s">
        <v>8178</v>
      </c>
      <c r="F2725" s="6" t="str">
        <f>IFERROR(__xludf.DUMMYFUNCTION("GOOGLETRANSLATE(D2725,""en"",""it"")"),"Non mi piacciono i cani, preferisco le anatre.")</f>
        <v>Non mi piacciono i cani, preferisco le anatre.</v>
      </c>
      <c r="G2725" s="6" t="str">
        <f>IFERROR(__xludf.DUMMYFUNCTION("GOOGLETRANSLATE(E2725,""fr"",""it"")"),"Non mi piacciono i cani, preferisco le anatre.")</f>
        <v>Non mi piacciono i cani, preferisco le anatre.</v>
      </c>
    </row>
    <row r="2726">
      <c r="A2726" s="4">
        <v>2724.0</v>
      </c>
      <c r="B2726" s="5" t="s">
        <v>8179</v>
      </c>
      <c r="C2726" s="4">
        <v>1.0</v>
      </c>
      <c r="D2726" s="5" t="s">
        <v>8180</v>
      </c>
      <c r="E2726" s="5" t="s">
        <v>8181</v>
      </c>
      <c r="F2726" s="6" t="str">
        <f>IFERROR(__xludf.DUMMYFUNCTION("GOOGLETRANSLATE(D2726,""en"",""it"")"),"Non mi piacciono i Blackbirds, preferisco i gatti.")</f>
        <v>Non mi piacciono i Blackbirds, preferisco i gatti.</v>
      </c>
      <c r="G2726" s="6" t="str">
        <f>IFERROR(__xludf.DUMMYFUNCTION("GOOGLETRANSLATE(E2726,""fr"",""it"")"),"Non mi piace la Blackproof, preferisco i gatti.")</f>
        <v>Non mi piace la Blackproof, preferisco i gatti.</v>
      </c>
    </row>
    <row r="2727">
      <c r="A2727" s="4">
        <v>2725.0</v>
      </c>
      <c r="B2727" s="5" t="s">
        <v>8182</v>
      </c>
      <c r="C2727" s="4">
        <v>1.0</v>
      </c>
      <c r="D2727" s="5" t="s">
        <v>8183</v>
      </c>
      <c r="E2727" s="5" t="s">
        <v>8184</v>
      </c>
      <c r="F2727" s="6" t="str">
        <f>IFERROR(__xludf.DUMMYFUNCTION("GOOGLETRANSLATE(D2727,""en"",""it"")"),"Non mi piacciono i gatti, preferisco i Blackbirds.")</f>
        <v>Non mi piacciono i gatti, preferisco i Blackbirds.</v>
      </c>
      <c r="G2727" s="6" t="str">
        <f>IFERROR(__xludf.DUMMYFUNCTION("GOOGLETRANSLATE(E2727,""fr"",""it"")"),"Non mi piacciono i gatti, preferisco i morele.")</f>
        <v>Non mi piacciono i gatti, preferisco i morele.</v>
      </c>
    </row>
    <row r="2728">
      <c r="A2728" s="4">
        <v>2726.0</v>
      </c>
      <c r="B2728" s="5" t="s">
        <v>8185</v>
      </c>
      <c r="C2728" s="4">
        <v>0.0</v>
      </c>
      <c r="D2728" s="5" t="s">
        <v>8186</v>
      </c>
      <c r="E2728" s="5" t="s">
        <v>8187</v>
      </c>
      <c r="F2728" s="6" t="str">
        <f>IFERROR(__xludf.DUMMYFUNCTION("GOOGLETRANSLATE(D2728,""en"",""it"")"),"Non mi piacciono i Blackbirds, preferisco gli uccelli.")</f>
        <v>Non mi piacciono i Blackbirds, preferisco gli uccelli.</v>
      </c>
      <c r="G2728" s="6" t="str">
        <f>IFERROR(__xludf.DUMMYFUNCTION("GOOGLETRANSLATE(E2728,""fr"",""it"")"),"Non mi piacciono i Blackbirds, preferisco gli uccelli.")</f>
        <v>Non mi piacciono i Blackbirds, preferisco gli uccelli.</v>
      </c>
    </row>
    <row r="2729">
      <c r="A2729" s="4">
        <v>2727.0</v>
      </c>
      <c r="B2729" s="5" t="s">
        <v>8188</v>
      </c>
      <c r="C2729" s="4">
        <v>0.0</v>
      </c>
      <c r="D2729" s="5" t="s">
        <v>8189</v>
      </c>
      <c r="E2729" s="5" t="s">
        <v>8190</v>
      </c>
      <c r="F2729" s="6" t="str">
        <f>IFERROR(__xludf.DUMMYFUNCTION("GOOGLETRANSLATE(D2729,""en"",""it"")"),"Non mi piacciono gli uccelli, preferisco i Blackbirds.")</f>
        <v>Non mi piacciono gli uccelli, preferisco i Blackbirds.</v>
      </c>
      <c r="G2729" s="6" t="str">
        <f>IFERROR(__xludf.DUMMYFUNCTION("GOOGLETRANSLATE(E2729,""fr"",""it"")"),"Non mi piacciono gli uccelli, preferisco i morele.")</f>
        <v>Non mi piacciono gli uccelli, preferisco i morele.</v>
      </c>
    </row>
    <row r="2730">
      <c r="A2730" s="4">
        <v>2728.0</v>
      </c>
      <c r="B2730" s="5" t="s">
        <v>8191</v>
      </c>
      <c r="C2730" s="4">
        <v>1.0</v>
      </c>
      <c r="D2730" s="5" t="s">
        <v>8192</v>
      </c>
      <c r="E2730" s="5" t="s">
        <v>8193</v>
      </c>
      <c r="F2730" s="6" t="str">
        <f>IFERROR(__xludf.DUMMYFUNCTION("GOOGLETRANSLATE(D2730,""en"",""it"")"),"Non mi piacciono i Blackbirds, preferisco i criceti.")</f>
        <v>Non mi piacciono i Blackbirds, preferisco i criceti.</v>
      </c>
      <c r="G2730" s="6" t="str">
        <f>IFERROR(__xludf.DUMMYFUNCTION("GOOGLETRANSLATE(E2730,""fr"",""it"")"),"Non mi piacciono le braccia, preferisco i criceti.")</f>
        <v>Non mi piacciono le braccia, preferisco i criceti.</v>
      </c>
    </row>
    <row r="2731">
      <c r="A2731" s="4">
        <v>2729.0</v>
      </c>
      <c r="B2731" s="5" t="s">
        <v>8194</v>
      </c>
      <c r="C2731" s="4">
        <v>1.0</v>
      </c>
      <c r="D2731" s="5" t="s">
        <v>8195</v>
      </c>
      <c r="E2731" s="5" t="s">
        <v>8196</v>
      </c>
      <c r="F2731" s="6" t="str">
        <f>IFERROR(__xludf.DUMMYFUNCTION("GOOGLETRANSLATE(D2731,""en"",""it"")"),"Non mi piacciono i criceti, preferisco i merli.")</f>
        <v>Non mi piacciono i criceti, preferisco i merli.</v>
      </c>
      <c r="G2731" s="6" t="str">
        <f>IFERROR(__xludf.DUMMYFUNCTION("GOOGLETRANSLATE(E2731,""fr"",""it"")"),"Non mi piacciono i criceti, preferisco i muoi.")</f>
        <v>Non mi piacciono i criceti, preferisco i muoi.</v>
      </c>
    </row>
    <row r="2732">
      <c r="A2732" s="4">
        <v>2730.0</v>
      </c>
      <c r="B2732" s="5" t="s">
        <v>8197</v>
      </c>
      <c r="C2732" s="4">
        <v>1.0</v>
      </c>
      <c r="D2732" s="5" t="s">
        <v>8198</v>
      </c>
      <c r="E2732" s="5" t="s">
        <v>8199</v>
      </c>
      <c r="F2732" s="6" t="str">
        <f>IFERROR(__xludf.DUMMYFUNCTION("GOOGLETRANSLATE(D2732,""en"",""it"")"),"Non mi piacciono i Blackbirds, preferisco i maiali.")</f>
        <v>Non mi piacciono i Blackbirds, preferisco i maiali.</v>
      </c>
      <c r="G2732" s="6" t="str">
        <f>IFERROR(__xludf.DUMMYFUNCTION("GOOGLETRANSLATE(E2732,""fr"",""it"")"),"Non mi piace la Blackproof, preferisco i maiali.")</f>
        <v>Non mi piace la Blackproof, preferisco i maiali.</v>
      </c>
    </row>
    <row r="2733">
      <c r="A2733" s="4">
        <v>2731.0</v>
      </c>
      <c r="B2733" s="5" t="s">
        <v>8200</v>
      </c>
      <c r="C2733" s="4">
        <v>1.0</v>
      </c>
      <c r="D2733" s="5" t="s">
        <v>8201</v>
      </c>
      <c r="E2733" s="5" t="s">
        <v>8202</v>
      </c>
      <c r="F2733" s="6" t="str">
        <f>IFERROR(__xludf.DUMMYFUNCTION("GOOGLETRANSLATE(D2733,""en"",""it"")"),"Non mi piacciono i maiali, preferisco i blackbirds.")</f>
        <v>Non mi piacciono i maiali, preferisco i blackbirds.</v>
      </c>
      <c r="G2733" s="6" t="str">
        <f>IFERROR(__xludf.DUMMYFUNCTION("GOOGLETRANSLATE(E2733,""fr"",""it"")"),"Non mi piacciono i maiali, preferisco i muoi.")</f>
        <v>Non mi piacciono i maiali, preferisco i muoi.</v>
      </c>
    </row>
    <row r="2734">
      <c r="A2734" s="4">
        <v>2732.0</v>
      </c>
      <c r="B2734" s="5" t="s">
        <v>8203</v>
      </c>
      <c r="C2734" s="4">
        <v>1.0</v>
      </c>
      <c r="D2734" s="5" t="s">
        <v>8204</v>
      </c>
      <c r="E2734" s="5" t="s">
        <v>8205</v>
      </c>
      <c r="F2734" s="6" t="str">
        <f>IFERROR(__xludf.DUMMYFUNCTION("GOOGLETRANSLATE(D2734,""en"",""it"")"),"Non mi piacciono i Blackbirds, preferisco i cani.")</f>
        <v>Non mi piacciono i Blackbirds, preferisco i cani.</v>
      </c>
      <c r="G2734" s="6" t="str">
        <f>IFERROR(__xludf.DUMMYFUNCTION("GOOGLETRANSLATE(E2734,""fr"",""it"")"),"Non mi piacciono i Blackbirds, preferisco i cani.")</f>
        <v>Non mi piacciono i Blackbirds, preferisco i cani.</v>
      </c>
    </row>
    <row r="2735">
      <c r="A2735" s="4">
        <v>2733.0</v>
      </c>
      <c r="B2735" s="5" t="s">
        <v>8206</v>
      </c>
      <c r="C2735" s="4">
        <v>1.0</v>
      </c>
      <c r="D2735" s="5" t="s">
        <v>8207</v>
      </c>
      <c r="E2735" s="5" t="s">
        <v>8208</v>
      </c>
      <c r="F2735" s="6" t="str">
        <f>IFERROR(__xludf.DUMMYFUNCTION("GOOGLETRANSLATE(D2735,""en"",""it"")"),"Non mi piacciono i cani, preferisco i Blackbirds.")</f>
        <v>Non mi piacciono i cani, preferisco i Blackbirds.</v>
      </c>
      <c r="G2735" s="6" t="str">
        <f>IFERROR(__xludf.DUMMYFUNCTION("GOOGLETRANSLATE(E2735,""fr"",""it"")"),"Non mi piacciono i cani, preferisco i morele.")</f>
        <v>Non mi piacciono i cani, preferisco i morele.</v>
      </c>
    </row>
    <row r="2736">
      <c r="A2736" s="4">
        <v>2734.0</v>
      </c>
      <c r="B2736" s="5" t="s">
        <v>8209</v>
      </c>
      <c r="C2736" s="4">
        <v>1.0</v>
      </c>
      <c r="D2736" s="5" t="s">
        <v>8210</v>
      </c>
      <c r="E2736" s="5" t="s">
        <v>8211</v>
      </c>
      <c r="F2736" s="6" t="str">
        <f>IFERROR(__xludf.DUMMYFUNCTION("GOOGLETRANSLATE(D2736,""en"",""it"")"),"Non mi piacciono i passeri, preferisco i gatti.")</f>
        <v>Non mi piacciono i passeri, preferisco i gatti.</v>
      </c>
      <c r="G2736" s="6" t="str">
        <f>IFERROR(__xludf.DUMMYFUNCTION("GOOGLETRANSLATE(E2736,""fr"",""it"")"),"Non mi piacciono i passeri, preferisco i gatti.")</f>
        <v>Non mi piacciono i passeri, preferisco i gatti.</v>
      </c>
    </row>
    <row r="2737">
      <c r="A2737" s="4">
        <v>2735.0</v>
      </c>
      <c r="B2737" s="5" t="s">
        <v>8212</v>
      </c>
      <c r="C2737" s="4">
        <v>1.0</v>
      </c>
      <c r="D2737" s="5" t="s">
        <v>8213</v>
      </c>
      <c r="E2737" s="5" t="s">
        <v>8214</v>
      </c>
      <c r="F2737" s="6" t="str">
        <f>IFERROR(__xludf.DUMMYFUNCTION("GOOGLETRANSLATE(D2737,""en"",""it"")"),"Non mi piacciono i gatti, preferisco i passeri.")</f>
        <v>Non mi piacciono i gatti, preferisco i passeri.</v>
      </c>
      <c r="G2737" s="6" t="str">
        <f>IFERROR(__xludf.DUMMYFUNCTION("GOOGLETRANSLATE(E2737,""fr"",""it"")"),"Non mi piacciono i gatti, preferisco i passeri.")</f>
        <v>Non mi piacciono i gatti, preferisco i passeri.</v>
      </c>
    </row>
    <row r="2738">
      <c r="A2738" s="4">
        <v>2736.0</v>
      </c>
      <c r="B2738" s="5" t="s">
        <v>8215</v>
      </c>
      <c r="C2738" s="4">
        <v>0.0</v>
      </c>
      <c r="D2738" s="5" t="s">
        <v>8216</v>
      </c>
      <c r="E2738" s="5" t="s">
        <v>8217</v>
      </c>
      <c r="F2738" s="6" t="str">
        <f>IFERROR(__xludf.DUMMYFUNCTION("GOOGLETRANSLATE(D2738,""en"",""it"")"),"Non mi piacciono i passeri, preferisco gli uccelli.")</f>
        <v>Non mi piacciono i passeri, preferisco gli uccelli.</v>
      </c>
      <c r="G2738" s="6" t="str">
        <f>IFERROR(__xludf.DUMMYFUNCTION("GOOGLETRANSLATE(E2738,""fr"",""it"")"),"Non mi piacciono i passeri, preferisco gli uccelli.")</f>
        <v>Non mi piacciono i passeri, preferisco gli uccelli.</v>
      </c>
    </row>
    <row r="2739">
      <c r="A2739" s="4">
        <v>2737.0</v>
      </c>
      <c r="B2739" s="5" t="s">
        <v>8218</v>
      </c>
      <c r="C2739" s="4">
        <v>0.0</v>
      </c>
      <c r="D2739" s="5" t="s">
        <v>8219</v>
      </c>
      <c r="E2739" s="5" t="s">
        <v>8220</v>
      </c>
      <c r="F2739" s="6" t="str">
        <f>IFERROR(__xludf.DUMMYFUNCTION("GOOGLETRANSLATE(D2739,""en"",""it"")"),"Non mi piacciono gli uccelli, preferisco i passeri.")</f>
        <v>Non mi piacciono gli uccelli, preferisco i passeri.</v>
      </c>
      <c r="G2739" s="6" t="str">
        <f>IFERROR(__xludf.DUMMYFUNCTION("GOOGLETRANSLATE(E2739,""fr"",""it"")"),"Non mi piacciono gli uccelli, preferisco i passeri.")</f>
        <v>Non mi piacciono gli uccelli, preferisco i passeri.</v>
      </c>
    </row>
    <row r="2740">
      <c r="A2740" s="4">
        <v>2738.0</v>
      </c>
      <c r="B2740" s="5" t="s">
        <v>8221</v>
      </c>
      <c r="C2740" s="4">
        <v>1.0</v>
      </c>
      <c r="D2740" s="5" t="s">
        <v>8222</v>
      </c>
      <c r="E2740" s="5" t="s">
        <v>8223</v>
      </c>
      <c r="F2740" s="6" t="str">
        <f>IFERROR(__xludf.DUMMYFUNCTION("GOOGLETRANSLATE(D2740,""en"",""it"")"),"Non mi piacciono i passeri, preferisco i criceti.")</f>
        <v>Non mi piacciono i passeri, preferisco i criceti.</v>
      </c>
      <c r="G2740" s="6" t="str">
        <f>IFERROR(__xludf.DUMMYFUNCTION("GOOGLETRANSLATE(E2740,""fr"",""it"")"),"Non mi piacciono i passeri, preferisco i criceti.")</f>
        <v>Non mi piacciono i passeri, preferisco i criceti.</v>
      </c>
    </row>
    <row r="2741">
      <c r="A2741" s="4">
        <v>2739.0</v>
      </c>
      <c r="B2741" s="5" t="s">
        <v>8224</v>
      </c>
      <c r="C2741" s="4">
        <v>1.0</v>
      </c>
      <c r="D2741" s="5" t="s">
        <v>8225</v>
      </c>
      <c r="E2741" s="5" t="s">
        <v>8226</v>
      </c>
      <c r="F2741" s="6" t="str">
        <f>IFERROR(__xludf.DUMMYFUNCTION("GOOGLETRANSLATE(D2741,""en"",""it"")"),"Non mi piacciono i criceti, preferisco i passeri.")</f>
        <v>Non mi piacciono i criceti, preferisco i passeri.</v>
      </c>
      <c r="G2741" s="6" t="str">
        <f>IFERROR(__xludf.DUMMYFUNCTION("GOOGLETRANSLATE(E2741,""fr"",""it"")"),"Non mi piacciono i criceti, preferisco i passeri.")</f>
        <v>Non mi piacciono i criceti, preferisco i passeri.</v>
      </c>
    </row>
    <row r="2742">
      <c r="A2742" s="4">
        <v>2740.0</v>
      </c>
      <c r="B2742" s="5" t="s">
        <v>8227</v>
      </c>
      <c r="C2742" s="4">
        <v>1.0</v>
      </c>
      <c r="D2742" s="5" t="s">
        <v>8228</v>
      </c>
      <c r="E2742" s="5" t="s">
        <v>8229</v>
      </c>
      <c r="F2742" s="6" t="str">
        <f>IFERROR(__xludf.DUMMYFUNCTION("GOOGLETRANSLATE(D2742,""en"",""it"")"),"Non mi piacciono i passeri, preferisco i maiali.")</f>
        <v>Non mi piacciono i passeri, preferisco i maiali.</v>
      </c>
      <c r="G2742" s="6" t="str">
        <f>IFERROR(__xludf.DUMMYFUNCTION("GOOGLETRANSLATE(E2742,""fr"",""it"")"),"Non mi piacciono i passeri, preferisco i maiali.")</f>
        <v>Non mi piacciono i passeri, preferisco i maiali.</v>
      </c>
    </row>
    <row r="2743">
      <c r="A2743" s="4">
        <v>2741.0</v>
      </c>
      <c r="B2743" s="5" t="s">
        <v>8230</v>
      </c>
      <c r="C2743" s="4">
        <v>1.0</v>
      </c>
      <c r="D2743" s="5" t="s">
        <v>8231</v>
      </c>
      <c r="E2743" s="5" t="s">
        <v>8232</v>
      </c>
      <c r="F2743" s="6" t="str">
        <f>IFERROR(__xludf.DUMMYFUNCTION("GOOGLETRANSLATE(D2743,""en"",""it"")"),"Non mi piacciono i maiali, preferisco i passeri.")</f>
        <v>Non mi piacciono i maiali, preferisco i passeri.</v>
      </c>
      <c r="G2743" s="6" t="str">
        <f>IFERROR(__xludf.DUMMYFUNCTION("GOOGLETRANSLATE(E2743,""fr"",""it"")"),"Non mi piacciono i maiali, preferisco i passeri.")</f>
        <v>Non mi piacciono i maiali, preferisco i passeri.</v>
      </c>
    </row>
    <row r="2744">
      <c r="A2744" s="4">
        <v>2742.0</v>
      </c>
      <c r="B2744" s="5" t="s">
        <v>8233</v>
      </c>
      <c r="C2744" s="4">
        <v>1.0</v>
      </c>
      <c r="D2744" s="5" t="s">
        <v>8234</v>
      </c>
      <c r="E2744" s="5" t="s">
        <v>8235</v>
      </c>
      <c r="F2744" s="6" t="str">
        <f>IFERROR(__xludf.DUMMYFUNCTION("GOOGLETRANSLATE(D2744,""en"",""it"")"),"Non mi piacciono i passeri, preferisco i cani.")</f>
        <v>Non mi piacciono i passeri, preferisco i cani.</v>
      </c>
      <c r="G2744" s="6" t="str">
        <f>IFERROR(__xludf.DUMMYFUNCTION("GOOGLETRANSLATE(E2744,""fr"",""it"")"),"Non mi piacciono i passeri, preferisco i cani.")</f>
        <v>Non mi piacciono i passeri, preferisco i cani.</v>
      </c>
    </row>
    <row r="2745">
      <c r="A2745" s="4">
        <v>2743.0</v>
      </c>
      <c r="B2745" s="5" t="s">
        <v>8236</v>
      </c>
      <c r="C2745" s="4">
        <v>1.0</v>
      </c>
      <c r="D2745" s="5" t="s">
        <v>8237</v>
      </c>
      <c r="E2745" s="5" t="s">
        <v>8238</v>
      </c>
      <c r="F2745" s="6" t="str">
        <f>IFERROR(__xludf.DUMMYFUNCTION("GOOGLETRANSLATE(D2745,""en"",""it"")"),"Non mi piacciono i cani, preferisco i passeri.")</f>
        <v>Non mi piacciono i cani, preferisco i passeri.</v>
      </c>
      <c r="G2745" s="6" t="str">
        <f>IFERROR(__xludf.DUMMYFUNCTION("GOOGLETRANSLATE(E2745,""fr"",""it"")"),"Non mi piacciono i cani, preferisco i passeri.")</f>
        <v>Non mi piacciono i cani, preferisco i passeri.</v>
      </c>
    </row>
    <row r="2746">
      <c r="A2746" s="4">
        <v>2744.0</v>
      </c>
      <c r="B2746" s="5" t="s">
        <v>8239</v>
      </c>
      <c r="C2746" s="4">
        <v>1.0</v>
      </c>
      <c r="D2746" s="5" t="s">
        <v>8240</v>
      </c>
      <c r="E2746" s="5" t="s">
        <v>8241</v>
      </c>
      <c r="F2746" s="6" t="str">
        <f>IFERROR(__xludf.DUMMYFUNCTION("GOOGLETRANSLATE(D2746,""en"",""it"")"),"Non mi piace Harley-Davidson, preferisco le navi.")</f>
        <v>Non mi piace Harley-Davidson, preferisco le navi.</v>
      </c>
      <c r="G2746" s="6" t="str">
        <f>IFERROR(__xludf.DUMMYFUNCTION("GOOGLETRANSLATE(E2746,""fr"",""it"")"),"Non mi piace l'Harley-Davidson, preferisco le navi.")</f>
        <v>Non mi piace l'Harley-Davidson, preferisco le navi.</v>
      </c>
    </row>
    <row r="2747">
      <c r="A2747" s="4">
        <v>2745.0</v>
      </c>
      <c r="B2747" s="5" t="s">
        <v>8242</v>
      </c>
      <c r="C2747" s="4">
        <v>1.0</v>
      </c>
      <c r="D2747" s="5" t="s">
        <v>8243</v>
      </c>
      <c r="E2747" s="5" t="s">
        <v>8244</v>
      </c>
      <c r="F2747" s="6" t="str">
        <f>IFERROR(__xludf.DUMMYFUNCTION("GOOGLETRANSLATE(D2747,""en"",""it"")"),"Non mi piacciono le navi, preferisco Harley-Davidson.")</f>
        <v>Non mi piacciono le navi, preferisco Harley-Davidson.</v>
      </c>
      <c r="G2747" s="6" t="str">
        <f>IFERROR(__xludf.DUMMYFUNCTION("GOOGLETRANSLATE(E2747,""fr"",""it"")"),"Non mi piacciono le navi, preferisco la Harley-Davidson.")</f>
        <v>Non mi piacciono le navi, preferisco la Harley-Davidson.</v>
      </c>
    </row>
    <row r="2748">
      <c r="A2748" s="4">
        <v>2746.0</v>
      </c>
      <c r="B2748" s="5" t="s">
        <v>8245</v>
      </c>
      <c r="C2748" s="4">
        <v>0.0</v>
      </c>
      <c r="D2748" s="5" t="s">
        <v>8246</v>
      </c>
      <c r="E2748" s="5" t="s">
        <v>8247</v>
      </c>
      <c r="F2748" s="6" t="str">
        <f>IFERROR(__xludf.DUMMYFUNCTION("GOOGLETRANSLATE(D2748,""en"",""it"")"),"Non mi piace Harley-Davidson, preferisco le motociclette.")</f>
        <v>Non mi piace Harley-Davidson, preferisco le motociclette.</v>
      </c>
      <c r="G2748" s="6" t="str">
        <f>IFERROR(__xludf.DUMMYFUNCTION("GOOGLETRANSLATE(E2748,""fr"",""it"")"),"Non mi piace l'Harley-Davidson, preferisco i motocicli.")</f>
        <v>Non mi piace l'Harley-Davidson, preferisco i motocicli.</v>
      </c>
    </row>
    <row r="2749">
      <c r="A2749" s="4">
        <v>2747.0</v>
      </c>
      <c r="B2749" s="5" t="s">
        <v>8248</v>
      </c>
      <c r="C2749" s="4">
        <v>0.0</v>
      </c>
      <c r="D2749" s="5" t="s">
        <v>8249</v>
      </c>
      <c r="E2749" s="5" t="s">
        <v>8250</v>
      </c>
      <c r="F2749" s="6" t="str">
        <f>IFERROR(__xludf.DUMMYFUNCTION("GOOGLETRANSLATE(D2749,""en"",""it"")"),"Non mi piacciono le motociclette, preferisco Harley-Davidson.")</f>
        <v>Non mi piacciono le motociclette, preferisco Harley-Davidson.</v>
      </c>
      <c r="G2749" s="6" t="str">
        <f>IFERROR(__xludf.DUMMYFUNCTION("GOOGLETRANSLATE(E2749,""fr"",""it"")"),"Non mi piacciono le motociclette, preferisco la Harley-Davidson.")</f>
        <v>Non mi piacciono le motociclette, preferisco la Harley-Davidson.</v>
      </c>
    </row>
    <row r="2750">
      <c r="A2750" s="4">
        <v>2748.0</v>
      </c>
      <c r="B2750" s="5" t="s">
        <v>8251</v>
      </c>
      <c r="C2750" s="4">
        <v>1.0</v>
      </c>
      <c r="D2750" s="5" t="s">
        <v>8252</v>
      </c>
      <c r="E2750" s="5" t="s">
        <v>8253</v>
      </c>
      <c r="F2750" s="6" t="str">
        <f>IFERROR(__xludf.DUMMYFUNCTION("GOOGLETRANSLATE(D2750,""en"",""it"")"),"Non mi piacciono le motociclette, preferisco le navi.")</f>
        <v>Non mi piacciono le motociclette, preferisco le navi.</v>
      </c>
      <c r="G2750" s="6" t="str">
        <f>IFERROR(__xludf.DUMMYFUNCTION("GOOGLETRANSLATE(E2750,""fr"",""it"")"),"Non mi piacciono le motociclette, preferisco le navi.")</f>
        <v>Non mi piacciono le motociclette, preferisco le navi.</v>
      </c>
    </row>
    <row r="2751">
      <c r="A2751" s="4">
        <v>2749.0</v>
      </c>
      <c r="B2751" s="5" t="s">
        <v>8254</v>
      </c>
      <c r="C2751" s="4">
        <v>1.0</v>
      </c>
      <c r="D2751" s="5" t="s">
        <v>8255</v>
      </c>
      <c r="E2751" s="5" t="s">
        <v>8256</v>
      </c>
      <c r="F2751" s="6" t="str">
        <f>IFERROR(__xludf.DUMMYFUNCTION("GOOGLETRANSLATE(D2751,""en"",""it"")"),"Non mi piace Harley-Davidson, preferisco le biciclette.")</f>
        <v>Non mi piace Harley-Davidson, preferisco le biciclette.</v>
      </c>
      <c r="G2751" s="6" t="str">
        <f>IFERROR(__xludf.DUMMYFUNCTION("GOOGLETRANSLATE(E2751,""fr"",""it"")"),"Non mi piace l'Harley-Davidson, preferisco le biciclette.")</f>
        <v>Non mi piace l'Harley-Davidson, preferisco le biciclette.</v>
      </c>
    </row>
    <row r="2752">
      <c r="A2752" s="4">
        <v>2750.0</v>
      </c>
      <c r="B2752" s="5" t="s">
        <v>8257</v>
      </c>
      <c r="C2752" s="4">
        <v>1.0</v>
      </c>
      <c r="D2752" s="5" t="s">
        <v>8258</v>
      </c>
      <c r="E2752" s="5" t="s">
        <v>8259</v>
      </c>
      <c r="F2752" s="6" t="str">
        <f>IFERROR(__xludf.DUMMYFUNCTION("GOOGLETRANSLATE(D2752,""en"",""it"")"),"Non mi piacciono le biciclette, preferisco Harley-Davidson.")</f>
        <v>Non mi piacciono le biciclette, preferisco Harley-Davidson.</v>
      </c>
      <c r="G2752" s="6" t="str">
        <f>IFERROR(__xludf.DUMMYFUNCTION("GOOGLETRANSLATE(E2752,""fr"",""it"")"),"Non mi piacciono le biciclette, preferisco la Harley-Davidson.")</f>
        <v>Non mi piacciono le biciclette, preferisco la Harley-Davidson.</v>
      </c>
    </row>
    <row r="2753">
      <c r="A2753" s="4">
        <v>2751.0</v>
      </c>
      <c r="B2753" s="5" t="s">
        <v>8260</v>
      </c>
      <c r="C2753" s="4">
        <v>1.0</v>
      </c>
      <c r="D2753" s="5" t="s">
        <v>8261</v>
      </c>
      <c r="E2753" s="5" t="s">
        <v>8262</v>
      </c>
      <c r="F2753" s="6" t="str">
        <f>IFERROR(__xludf.DUMMYFUNCTION("GOOGLETRANSLATE(D2753,""en"",""it"")"),"Non mi piacciono le motociclette, preferisco le biciclette.")</f>
        <v>Non mi piacciono le motociclette, preferisco le biciclette.</v>
      </c>
      <c r="G2753" s="6" t="str">
        <f>IFERROR(__xludf.DUMMYFUNCTION("GOOGLETRANSLATE(E2753,""fr"",""it"")"),"Non mi piacciono le motociclette, preferisco le biciclette.")</f>
        <v>Non mi piacciono le motociclette, preferisco le biciclette.</v>
      </c>
    </row>
    <row r="2754">
      <c r="A2754" s="4">
        <v>2752.0</v>
      </c>
      <c r="B2754" s="5" t="s">
        <v>8263</v>
      </c>
      <c r="C2754" s="4">
        <v>1.0</v>
      </c>
      <c r="D2754" s="5" t="s">
        <v>8264</v>
      </c>
      <c r="E2754" s="5" t="s">
        <v>8265</v>
      </c>
      <c r="F2754" s="6" t="str">
        <f>IFERROR(__xludf.DUMMYFUNCTION("GOOGLETRANSLATE(D2754,""en"",""it"")"),"Non mi piace Harley-Davidson, preferisco i treni.")</f>
        <v>Non mi piace Harley-Davidson, preferisco i treni.</v>
      </c>
      <c r="G2754" s="6" t="str">
        <f>IFERROR(__xludf.DUMMYFUNCTION("GOOGLETRANSLATE(E2754,""fr"",""it"")"),"Non mi piace l'Harley-Davidson, preferisco i treni.")</f>
        <v>Non mi piace l'Harley-Davidson, preferisco i treni.</v>
      </c>
    </row>
    <row r="2755">
      <c r="A2755" s="4">
        <v>2753.0</v>
      </c>
      <c r="B2755" s="5" t="s">
        <v>8266</v>
      </c>
      <c r="C2755" s="4">
        <v>1.0</v>
      </c>
      <c r="D2755" s="5" t="s">
        <v>8267</v>
      </c>
      <c r="E2755" s="5" t="s">
        <v>8268</v>
      </c>
      <c r="F2755" s="6" t="str">
        <f>IFERROR(__xludf.DUMMYFUNCTION("GOOGLETRANSLATE(D2755,""en"",""it"")"),"Non mi piacciono i treni, preferisco Harley-Davidson.")</f>
        <v>Non mi piacciono i treni, preferisco Harley-Davidson.</v>
      </c>
      <c r="G2755" s="6" t="str">
        <f>IFERROR(__xludf.DUMMYFUNCTION("GOOGLETRANSLATE(E2755,""fr"",""it"")"),"Non mi piacciono i treni, preferisco la Harley-Davidson.")</f>
        <v>Non mi piacciono i treni, preferisco la Harley-Davidson.</v>
      </c>
    </row>
    <row r="2756">
      <c r="A2756" s="4">
        <v>2754.0</v>
      </c>
      <c r="B2756" s="5" t="s">
        <v>8269</v>
      </c>
      <c r="C2756" s="4">
        <v>1.0</v>
      </c>
      <c r="D2756" s="5" t="s">
        <v>8270</v>
      </c>
      <c r="E2756" s="5" t="s">
        <v>8271</v>
      </c>
      <c r="F2756" s="6" t="str">
        <f>IFERROR(__xludf.DUMMYFUNCTION("GOOGLETRANSLATE(D2756,""en"",""it"")"),"Non mi piacciono le motociclette, preferisco i treni.")</f>
        <v>Non mi piacciono le motociclette, preferisco i treni.</v>
      </c>
      <c r="G2756" s="6" t="str">
        <f>IFERROR(__xludf.DUMMYFUNCTION("GOOGLETRANSLATE(E2756,""fr"",""it"")"),"Non mi piacciono le motociclette, preferisco i treni.")</f>
        <v>Non mi piacciono le motociclette, preferisco i treni.</v>
      </c>
    </row>
    <row r="2757">
      <c r="A2757" s="4">
        <v>2755.0</v>
      </c>
      <c r="B2757" s="5" t="s">
        <v>8272</v>
      </c>
      <c r="C2757" s="4">
        <v>1.0</v>
      </c>
      <c r="D2757" s="5" t="s">
        <v>8273</v>
      </c>
      <c r="E2757" s="5" t="s">
        <v>8274</v>
      </c>
      <c r="F2757" s="6" t="str">
        <f>IFERROR(__xludf.DUMMYFUNCTION("GOOGLETRANSLATE(D2757,""en"",""it"")"),"Non mi piace Harley-Davidson, preferisco gli aeroplani.")</f>
        <v>Non mi piace Harley-Davidson, preferisco gli aeroplani.</v>
      </c>
      <c r="G2757" s="6" t="str">
        <f>IFERROR(__xludf.DUMMYFUNCTION("GOOGLETRANSLATE(E2757,""fr"",""it"")"),"Non mi piace Harley-Davidson, preferisco gli aerei.")</f>
        <v>Non mi piace Harley-Davidson, preferisco gli aerei.</v>
      </c>
    </row>
    <row r="2758">
      <c r="A2758" s="4">
        <v>2756.0</v>
      </c>
      <c r="B2758" s="5" t="s">
        <v>8275</v>
      </c>
      <c r="C2758" s="4">
        <v>1.0</v>
      </c>
      <c r="D2758" s="5" t="s">
        <v>8276</v>
      </c>
      <c r="E2758" s="5" t="s">
        <v>8277</v>
      </c>
      <c r="F2758" s="6" t="str">
        <f>IFERROR(__xludf.DUMMYFUNCTION("GOOGLETRANSLATE(D2758,""en"",""it"")"),"Non mi piacciono gli aerei, preferisco Harley-Davidson.")</f>
        <v>Non mi piacciono gli aerei, preferisco Harley-Davidson.</v>
      </c>
      <c r="G2758" s="6" t="str">
        <f>IFERROR(__xludf.DUMMYFUNCTION("GOOGLETRANSLATE(E2758,""fr"",""it"")"),"Non mi piacciono gli aerei, preferisco la Harley-Davidson.")</f>
        <v>Non mi piacciono gli aerei, preferisco la Harley-Davidson.</v>
      </c>
    </row>
    <row r="2759">
      <c r="A2759" s="4">
        <v>2757.0</v>
      </c>
      <c r="B2759" s="5" t="s">
        <v>8278</v>
      </c>
      <c r="C2759" s="4">
        <v>1.0</v>
      </c>
      <c r="D2759" s="5" t="s">
        <v>8279</v>
      </c>
      <c r="E2759" s="5" t="s">
        <v>8280</v>
      </c>
      <c r="F2759" s="6" t="str">
        <f>IFERROR(__xludf.DUMMYFUNCTION("GOOGLETRANSLATE(D2759,""en"",""it"")"),"Non mi piacciono le motociclette, preferisco gli aeroplani.")</f>
        <v>Non mi piacciono le motociclette, preferisco gli aeroplani.</v>
      </c>
      <c r="G2759" s="6" t="str">
        <f>IFERROR(__xludf.DUMMYFUNCTION("GOOGLETRANSLATE(E2759,""fr"",""it"")"),"Non mi piacciono le motociclette, preferisco gli aerei.")</f>
        <v>Non mi piacciono le motociclette, preferisco gli aerei.</v>
      </c>
    </row>
    <row r="2760">
      <c r="A2760" s="4">
        <v>2758.0</v>
      </c>
      <c r="B2760" s="5" t="s">
        <v>8281</v>
      </c>
      <c r="C2760" s="4">
        <v>1.0</v>
      </c>
      <c r="D2760" s="5" t="s">
        <v>8282</v>
      </c>
      <c r="E2760" s="5" t="s">
        <v>8283</v>
      </c>
      <c r="F2760" s="6" t="str">
        <f>IFERROR(__xludf.DUMMYFUNCTION("GOOGLETRANSLATE(D2760,""en"",""it"")"),"Non mi piace Suzukis, preferisco le navi.")</f>
        <v>Non mi piace Suzukis, preferisco le navi.</v>
      </c>
      <c r="G2760" s="6" t="str">
        <f>IFERROR(__xludf.DUMMYFUNCTION("GOOGLETRANSLATE(E2760,""fr"",""it"")"),"Non mi piace Suzukis, preferisco le navi.")</f>
        <v>Non mi piace Suzukis, preferisco le navi.</v>
      </c>
    </row>
    <row r="2761">
      <c r="A2761" s="4">
        <v>2759.0</v>
      </c>
      <c r="B2761" s="5" t="s">
        <v>8284</v>
      </c>
      <c r="C2761" s="4">
        <v>1.0</v>
      </c>
      <c r="D2761" s="5" t="s">
        <v>8285</v>
      </c>
      <c r="E2761" s="5" t="s">
        <v>8286</v>
      </c>
      <c r="F2761" s="6" t="str">
        <f>IFERROR(__xludf.DUMMYFUNCTION("GOOGLETRANSLATE(D2761,""en"",""it"")"),"Non mi piacciono le navi, preferisco Suzukis.")</f>
        <v>Non mi piacciono le navi, preferisco Suzukis.</v>
      </c>
      <c r="G2761" s="6" t="str">
        <f>IFERROR(__xludf.DUMMYFUNCTION("GOOGLETRANSLATE(E2761,""fr"",""it"")"),"Non mi piacciono le navi, preferisco il Suzukis.")</f>
        <v>Non mi piacciono le navi, preferisco il Suzukis.</v>
      </c>
    </row>
    <row r="2762">
      <c r="A2762" s="4">
        <v>2760.0</v>
      </c>
      <c r="B2762" s="5" t="s">
        <v>8287</v>
      </c>
      <c r="C2762" s="4">
        <v>0.0</v>
      </c>
      <c r="D2762" s="5" t="s">
        <v>8288</v>
      </c>
      <c r="E2762" s="5" t="s">
        <v>8289</v>
      </c>
      <c r="F2762" s="6" t="str">
        <f>IFERROR(__xludf.DUMMYFUNCTION("GOOGLETRANSLATE(D2762,""en"",""it"")"),"Non mi piace Suzukis, preferisco le motociclette.")</f>
        <v>Non mi piace Suzukis, preferisco le motociclette.</v>
      </c>
      <c r="G2762" s="6" t="str">
        <f>IFERROR(__xludf.DUMMYFUNCTION("GOOGLETRANSLATE(E2762,""fr"",""it"")"),"Non mi piace Suzukis, preferisco le motociclette.")</f>
        <v>Non mi piace Suzukis, preferisco le motociclette.</v>
      </c>
    </row>
    <row r="2763">
      <c r="A2763" s="4">
        <v>2761.0</v>
      </c>
      <c r="B2763" s="5" t="s">
        <v>8290</v>
      </c>
      <c r="C2763" s="4">
        <v>0.0</v>
      </c>
      <c r="D2763" s="5" t="s">
        <v>8291</v>
      </c>
      <c r="E2763" s="5" t="s">
        <v>8292</v>
      </c>
      <c r="F2763" s="6" t="str">
        <f>IFERROR(__xludf.DUMMYFUNCTION("GOOGLETRANSLATE(D2763,""en"",""it"")"),"Non mi piacciono le motociclette, preferisco Suzukis.")</f>
        <v>Non mi piacciono le motociclette, preferisco Suzukis.</v>
      </c>
      <c r="G2763" s="6" t="str">
        <f>IFERROR(__xludf.DUMMYFUNCTION("GOOGLETRANSLATE(E2763,""fr"",""it"")"),"Non mi piacciono le motociclette, preferisco il Suzukis.")</f>
        <v>Non mi piacciono le motociclette, preferisco il Suzukis.</v>
      </c>
    </row>
    <row r="2764">
      <c r="A2764" s="4">
        <v>2762.0</v>
      </c>
      <c r="B2764" s="5" t="s">
        <v>8293</v>
      </c>
      <c r="C2764" s="4">
        <v>1.0</v>
      </c>
      <c r="D2764" s="5" t="s">
        <v>8294</v>
      </c>
      <c r="E2764" s="5" t="s">
        <v>8295</v>
      </c>
      <c r="F2764" s="6" t="str">
        <f>IFERROR(__xludf.DUMMYFUNCTION("GOOGLETRANSLATE(D2764,""en"",""it"")"),"Non mi piace Suzukis, preferisco le biciclette.")</f>
        <v>Non mi piace Suzukis, preferisco le biciclette.</v>
      </c>
      <c r="G2764" s="6" t="str">
        <f>IFERROR(__xludf.DUMMYFUNCTION("GOOGLETRANSLATE(E2764,""fr"",""it"")"),"Non mi piace Suzukis, preferisco le biciclette.")</f>
        <v>Non mi piace Suzukis, preferisco le biciclette.</v>
      </c>
    </row>
    <row r="2765">
      <c r="A2765" s="4">
        <v>2763.0</v>
      </c>
      <c r="B2765" s="5" t="s">
        <v>8296</v>
      </c>
      <c r="C2765" s="4">
        <v>1.0</v>
      </c>
      <c r="D2765" s="5" t="s">
        <v>8297</v>
      </c>
      <c r="E2765" s="5" t="s">
        <v>8298</v>
      </c>
      <c r="F2765" s="6" t="str">
        <f>IFERROR(__xludf.DUMMYFUNCTION("GOOGLETRANSLATE(D2765,""en"",""it"")"),"Non mi piacciono le biciclette, preferisco Suzukis.")</f>
        <v>Non mi piacciono le biciclette, preferisco Suzukis.</v>
      </c>
      <c r="G2765" s="6" t="str">
        <f>IFERROR(__xludf.DUMMYFUNCTION("GOOGLETRANSLATE(E2765,""fr"",""it"")"),"Non mi piacciono le biciclette, preferisco il Suzukis.")</f>
        <v>Non mi piacciono le biciclette, preferisco il Suzukis.</v>
      </c>
    </row>
    <row r="2766">
      <c r="A2766" s="4">
        <v>2764.0</v>
      </c>
      <c r="B2766" s="5" t="s">
        <v>8299</v>
      </c>
      <c r="C2766" s="4">
        <v>1.0</v>
      </c>
      <c r="D2766" s="5" t="s">
        <v>8300</v>
      </c>
      <c r="E2766" s="5" t="s">
        <v>8301</v>
      </c>
      <c r="F2766" s="6" t="str">
        <f>IFERROR(__xludf.DUMMYFUNCTION("GOOGLETRANSLATE(D2766,""en"",""it"")"),"Non mi piace Suzukis, preferisco i treni.")</f>
        <v>Non mi piace Suzukis, preferisco i treni.</v>
      </c>
      <c r="G2766" s="6" t="str">
        <f>IFERROR(__xludf.DUMMYFUNCTION("GOOGLETRANSLATE(E2766,""fr"",""it"")"),"Non mi piace Suzukis, preferisco i treni.")</f>
        <v>Non mi piace Suzukis, preferisco i treni.</v>
      </c>
    </row>
    <row r="2767">
      <c r="A2767" s="4">
        <v>2765.0</v>
      </c>
      <c r="B2767" s="5" t="s">
        <v>8302</v>
      </c>
      <c r="C2767" s="4">
        <v>1.0</v>
      </c>
      <c r="D2767" s="5" t="s">
        <v>8303</v>
      </c>
      <c r="E2767" s="5" t="s">
        <v>8304</v>
      </c>
      <c r="F2767" s="6" t="str">
        <f>IFERROR(__xludf.DUMMYFUNCTION("GOOGLETRANSLATE(D2767,""en"",""it"")"),"Non mi piacciono i treni, preferisco Suzukis.")</f>
        <v>Non mi piacciono i treni, preferisco Suzukis.</v>
      </c>
      <c r="G2767" s="6" t="str">
        <f>IFERROR(__xludf.DUMMYFUNCTION("GOOGLETRANSLATE(E2767,""fr"",""it"")"),"Non mi piacciono i treni, preferisco il Suzukis.")</f>
        <v>Non mi piacciono i treni, preferisco il Suzukis.</v>
      </c>
    </row>
    <row r="2768">
      <c r="A2768" s="4">
        <v>2766.0</v>
      </c>
      <c r="B2768" s="5" t="s">
        <v>8305</v>
      </c>
      <c r="C2768" s="4">
        <v>1.0</v>
      </c>
      <c r="D2768" s="5" t="s">
        <v>8306</v>
      </c>
      <c r="E2768" s="5" t="s">
        <v>8307</v>
      </c>
      <c r="F2768" s="6" t="str">
        <f>IFERROR(__xludf.DUMMYFUNCTION("GOOGLETRANSLATE(D2768,""en"",""it"")"),"Non mi piace Suzukis, preferisco gli aeroplani.")</f>
        <v>Non mi piace Suzukis, preferisco gli aeroplani.</v>
      </c>
      <c r="G2768" s="6" t="str">
        <f>IFERROR(__xludf.DUMMYFUNCTION("GOOGLETRANSLATE(E2768,""fr"",""it"")"),"Non mi piace Suzukis, preferisco gli aerei.")</f>
        <v>Non mi piace Suzukis, preferisco gli aerei.</v>
      </c>
    </row>
    <row r="2769">
      <c r="A2769" s="4">
        <v>2767.0</v>
      </c>
      <c r="B2769" s="5" t="s">
        <v>8308</v>
      </c>
      <c r="C2769" s="4">
        <v>1.0</v>
      </c>
      <c r="D2769" s="5" t="s">
        <v>8309</v>
      </c>
      <c r="E2769" s="5" t="s">
        <v>8310</v>
      </c>
      <c r="F2769" s="6" t="str">
        <f>IFERROR(__xludf.DUMMYFUNCTION("GOOGLETRANSLATE(D2769,""en"",""it"")"),"Non mi piacciono gli aerei, preferisco Suzukis.")</f>
        <v>Non mi piacciono gli aerei, preferisco Suzukis.</v>
      </c>
      <c r="G2769" s="6" t="str">
        <f>IFERROR(__xludf.DUMMYFUNCTION("GOOGLETRANSLATE(E2769,""fr"",""it"")"),"Non mi piacciono gli aerei, preferisco Suzukis.")</f>
        <v>Non mi piacciono gli aerei, preferisco Suzukis.</v>
      </c>
    </row>
    <row r="2770">
      <c r="A2770" s="4">
        <v>2768.0</v>
      </c>
      <c r="B2770" s="5" t="s">
        <v>8311</v>
      </c>
      <c r="C2770" s="4">
        <v>1.0</v>
      </c>
      <c r="D2770" s="5" t="s">
        <v>8312</v>
      </c>
      <c r="E2770" s="5" t="s">
        <v>8313</v>
      </c>
      <c r="F2770" s="6" t="str">
        <f>IFERROR(__xludf.DUMMYFUNCTION("GOOGLETRANSLATE(D2770,""en"",""it"")"),"Non mi piace Enduros, preferisco le navi.")</f>
        <v>Non mi piace Enduros, preferisco le navi.</v>
      </c>
      <c r="G2770" s="6" t="str">
        <f>IFERROR(__xludf.DUMMYFUNCTION("GOOGLETRANSLATE(E2770,""fr"",""it"")"),"Non mi piace Enduros, preferisco le navi.")</f>
        <v>Non mi piace Enduros, preferisco le navi.</v>
      </c>
    </row>
    <row r="2771">
      <c r="A2771" s="4">
        <v>2769.0</v>
      </c>
      <c r="B2771" s="5" t="s">
        <v>8314</v>
      </c>
      <c r="C2771" s="4">
        <v>1.0</v>
      </c>
      <c r="D2771" s="5" t="s">
        <v>8315</v>
      </c>
      <c r="E2771" s="5" t="s">
        <v>8316</v>
      </c>
      <c r="F2771" s="6" t="str">
        <f>IFERROR(__xludf.DUMMYFUNCTION("GOOGLETRANSLATE(D2771,""en"",""it"")"),"Non mi piacciono le navi, preferisco Enduros.")</f>
        <v>Non mi piacciono le navi, preferisco Enduros.</v>
      </c>
      <c r="G2771" s="6" t="str">
        <f>IFERROR(__xludf.DUMMYFUNCTION("GOOGLETRANSLATE(E2771,""fr"",""it"")"),"Non mi piacciono le navi, preferisco Enduros.")</f>
        <v>Non mi piacciono le navi, preferisco Enduros.</v>
      </c>
    </row>
    <row r="2772">
      <c r="A2772" s="4">
        <v>2770.0</v>
      </c>
      <c r="B2772" s="5" t="s">
        <v>8317</v>
      </c>
      <c r="C2772" s="4">
        <v>0.0</v>
      </c>
      <c r="D2772" s="5" t="s">
        <v>8318</v>
      </c>
      <c r="E2772" s="5" t="s">
        <v>8319</v>
      </c>
      <c r="F2772" s="6" t="str">
        <f>IFERROR(__xludf.DUMMYFUNCTION("GOOGLETRANSLATE(D2772,""en"",""it"")"),"Non mi piace Enduros, preferisco le motociclette.")</f>
        <v>Non mi piace Enduros, preferisco le motociclette.</v>
      </c>
      <c r="G2772" s="6" t="str">
        <f>IFERROR(__xludf.DUMMYFUNCTION("GOOGLETRANSLATE(E2772,""fr"",""it"")"),"Non mi piace Enduros, preferisco le motociclette.")</f>
        <v>Non mi piace Enduros, preferisco le motociclette.</v>
      </c>
    </row>
    <row r="2773">
      <c r="A2773" s="4">
        <v>2771.0</v>
      </c>
      <c r="B2773" s="5" t="s">
        <v>8320</v>
      </c>
      <c r="C2773" s="4">
        <v>0.0</v>
      </c>
      <c r="D2773" s="5" t="s">
        <v>8321</v>
      </c>
      <c r="E2773" s="5" t="s">
        <v>8322</v>
      </c>
      <c r="F2773" s="6" t="str">
        <f>IFERROR(__xludf.DUMMYFUNCTION("GOOGLETRANSLATE(D2773,""en"",""it"")"),"Non mi piacciono le motociclette, preferisco Enduros.")</f>
        <v>Non mi piacciono le motociclette, preferisco Enduros.</v>
      </c>
      <c r="G2773" s="6" t="str">
        <f>IFERROR(__xludf.DUMMYFUNCTION("GOOGLETRANSLATE(E2773,""fr"",""it"")"),"Non mi piacciono le motociclette, preferisco Enduros.")</f>
        <v>Non mi piacciono le motociclette, preferisco Enduros.</v>
      </c>
    </row>
    <row r="2774">
      <c r="A2774" s="4">
        <v>2772.0</v>
      </c>
      <c r="B2774" s="5" t="s">
        <v>8323</v>
      </c>
      <c r="C2774" s="4">
        <v>1.0</v>
      </c>
      <c r="D2774" s="5" t="s">
        <v>8324</v>
      </c>
      <c r="E2774" s="5" t="s">
        <v>8325</v>
      </c>
      <c r="F2774" s="6" t="str">
        <f>IFERROR(__xludf.DUMMYFUNCTION("GOOGLETRANSLATE(D2774,""en"",""it"")"),"Non mi piace Enduros, preferisco le biciclette.")</f>
        <v>Non mi piace Enduros, preferisco le biciclette.</v>
      </c>
      <c r="G2774" s="6" t="str">
        <f>IFERROR(__xludf.DUMMYFUNCTION("GOOGLETRANSLATE(E2774,""fr"",""it"")"),"Non mi piace Enduros, preferisco le biciclette.")</f>
        <v>Non mi piace Enduros, preferisco le biciclette.</v>
      </c>
    </row>
    <row r="2775">
      <c r="A2775" s="4">
        <v>2773.0</v>
      </c>
      <c r="B2775" s="5" t="s">
        <v>8326</v>
      </c>
      <c r="C2775" s="4">
        <v>1.0</v>
      </c>
      <c r="D2775" s="5" t="s">
        <v>8327</v>
      </c>
      <c r="E2775" s="5" t="s">
        <v>8328</v>
      </c>
      <c r="F2775" s="6" t="str">
        <f>IFERROR(__xludf.DUMMYFUNCTION("GOOGLETRANSLATE(D2775,""en"",""it"")"),"Non mi piacciono le biciclette, preferisco Enduros.")</f>
        <v>Non mi piacciono le biciclette, preferisco Enduros.</v>
      </c>
      <c r="G2775" s="6" t="str">
        <f>IFERROR(__xludf.DUMMYFUNCTION("GOOGLETRANSLATE(E2775,""fr"",""it"")"),"Non mi piacciono le biciclette, preferisco Enduros.")</f>
        <v>Non mi piacciono le biciclette, preferisco Enduros.</v>
      </c>
    </row>
    <row r="2776">
      <c r="A2776" s="4">
        <v>2774.0</v>
      </c>
      <c r="B2776" s="5" t="s">
        <v>8329</v>
      </c>
      <c r="C2776" s="4">
        <v>1.0</v>
      </c>
      <c r="D2776" s="5" t="s">
        <v>8330</v>
      </c>
      <c r="E2776" s="5" t="s">
        <v>8331</v>
      </c>
      <c r="F2776" s="6" t="str">
        <f>IFERROR(__xludf.DUMMYFUNCTION("GOOGLETRANSLATE(D2776,""en"",""it"")"),"Non mi piace Enduros, preferisco i treni.")</f>
        <v>Non mi piace Enduros, preferisco i treni.</v>
      </c>
      <c r="G2776" s="6" t="str">
        <f>IFERROR(__xludf.DUMMYFUNCTION("GOOGLETRANSLATE(E2776,""fr"",""it"")"),"Non mi piace Enduros, preferisco i treni.")</f>
        <v>Non mi piace Enduros, preferisco i treni.</v>
      </c>
    </row>
    <row r="2777">
      <c r="A2777" s="4">
        <v>2775.0</v>
      </c>
      <c r="B2777" s="5" t="s">
        <v>8332</v>
      </c>
      <c r="C2777" s="4">
        <v>1.0</v>
      </c>
      <c r="D2777" s="5" t="s">
        <v>8333</v>
      </c>
      <c r="E2777" s="5" t="s">
        <v>8334</v>
      </c>
      <c r="F2777" s="6" t="str">
        <f>IFERROR(__xludf.DUMMYFUNCTION("GOOGLETRANSLATE(D2777,""en"",""it"")"),"Non mi piacciono i treni, preferisco Enduros.")</f>
        <v>Non mi piacciono i treni, preferisco Enduros.</v>
      </c>
      <c r="G2777" s="6" t="str">
        <f>IFERROR(__xludf.DUMMYFUNCTION("GOOGLETRANSLATE(E2777,""fr"",""it"")"),"Non mi piacciono i treni, preferisco Enduros.")</f>
        <v>Non mi piacciono i treni, preferisco Enduros.</v>
      </c>
    </row>
    <row r="2778">
      <c r="A2778" s="4">
        <v>2776.0</v>
      </c>
      <c r="B2778" s="5" t="s">
        <v>8335</v>
      </c>
      <c r="C2778" s="4">
        <v>1.0</v>
      </c>
      <c r="D2778" s="5" t="s">
        <v>8336</v>
      </c>
      <c r="E2778" s="5" t="s">
        <v>8337</v>
      </c>
      <c r="F2778" s="6" t="str">
        <f>IFERROR(__xludf.DUMMYFUNCTION("GOOGLETRANSLATE(D2778,""en"",""it"")"),"Non mi piace Enduros, preferisco gli aeroplani.")</f>
        <v>Non mi piace Enduros, preferisco gli aeroplani.</v>
      </c>
      <c r="G2778" s="6" t="str">
        <f>IFERROR(__xludf.DUMMYFUNCTION("GOOGLETRANSLATE(E2778,""fr"",""it"")"),"Non mi piace Enduros, preferisco gli aerei.")</f>
        <v>Non mi piace Enduros, preferisco gli aerei.</v>
      </c>
    </row>
    <row r="2779">
      <c r="A2779" s="4">
        <v>2777.0</v>
      </c>
      <c r="B2779" s="5" t="s">
        <v>8338</v>
      </c>
      <c r="C2779" s="4">
        <v>1.0</v>
      </c>
      <c r="D2779" s="5" t="s">
        <v>8339</v>
      </c>
      <c r="E2779" s="5" t="s">
        <v>8340</v>
      </c>
      <c r="F2779" s="6" t="str">
        <f>IFERROR(__xludf.DUMMYFUNCTION("GOOGLETRANSLATE(D2779,""en"",""it"")"),"Non mi piacciono gli aerei, preferisco Enduros.")</f>
        <v>Non mi piacciono gli aerei, preferisco Enduros.</v>
      </c>
      <c r="G2779" s="6" t="str">
        <f>IFERROR(__xludf.DUMMYFUNCTION("GOOGLETRANSLATE(E2779,""fr"",""it"")"),"Non mi piacciono gli aerei, preferisco Enduros.")</f>
        <v>Non mi piacciono gli aerei, preferisco Enduros.</v>
      </c>
    </row>
    <row r="2780">
      <c r="A2780" s="4">
        <v>2778.0</v>
      </c>
      <c r="B2780" s="5" t="s">
        <v>8341</v>
      </c>
      <c r="C2780" s="4">
        <v>1.0</v>
      </c>
      <c r="D2780" s="5" t="s">
        <v>8342</v>
      </c>
      <c r="E2780" s="5" t="s">
        <v>8343</v>
      </c>
      <c r="F2780" s="6" t="str">
        <f>IFERROR(__xludf.DUMMYFUNCTION("GOOGLETRANSLATE(D2780,""en"",""it"")"),"Non mi piace Kawasakis, preferisco le navi.")</f>
        <v>Non mi piace Kawasakis, preferisco le navi.</v>
      </c>
      <c r="G2780" s="6" t="str">
        <f>IFERROR(__xludf.DUMMYFUNCTION("GOOGLETRANSLATE(E2780,""fr"",""it"")"),"Non mi piace Kawasakis, preferisco le navi.")</f>
        <v>Non mi piace Kawasakis, preferisco le navi.</v>
      </c>
    </row>
    <row r="2781">
      <c r="A2781" s="4">
        <v>2779.0</v>
      </c>
      <c r="B2781" s="5" t="s">
        <v>8344</v>
      </c>
      <c r="C2781" s="4">
        <v>1.0</v>
      </c>
      <c r="D2781" s="5" t="s">
        <v>8345</v>
      </c>
      <c r="E2781" s="5" t="s">
        <v>8346</v>
      </c>
      <c r="F2781" s="6" t="str">
        <f>IFERROR(__xludf.DUMMYFUNCTION("GOOGLETRANSLATE(D2781,""en"",""it"")"),"Non mi piacciono le navi, preferisco Kawasakis.")</f>
        <v>Non mi piacciono le navi, preferisco Kawasakis.</v>
      </c>
      <c r="G2781" s="6" t="str">
        <f>IFERROR(__xludf.DUMMYFUNCTION("GOOGLETRANSLATE(E2781,""fr"",""it"")"),"Non mi piacciono le navi, preferisco Kawasakis.")</f>
        <v>Non mi piacciono le navi, preferisco Kawasakis.</v>
      </c>
    </row>
    <row r="2782">
      <c r="A2782" s="4">
        <v>2780.0</v>
      </c>
      <c r="B2782" s="5" t="s">
        <v>8347</v>
      </c>
      <c r="C2782" s="4">
        <v>0.0</v>
      </c>
      <c r="D2782" s="5" t="s">
        <v>8348</v>
      </c>
      <c r="E2782" s="5" t="s">
        <v>8349</v>
      </c>
      <c r="F2782" s="6" t="str">
        <f>IFERROR(__xludf.DUMMYFUNCTION("GOOGLETRANSLATE(D2782,""en"",""it"")"),"Non mi piace Kawasakis, preferisco le motociclette.")</f>
        <v>Non mi piace Kawasakis, preferisco le motociclette.</v>
      </c>
      <c r="G2782" s="6" t="str">
        <f>IFERROR(__xludf.DUMMYFUNCTION("GOOGLETRANSLATE(E2782,""fr"",""it"")"),"Non mi piace Kawasakis, preferisco le motociclette.")</f>
        <v>Non mi piace Kawasakis, preferisco le motociclette.</v>
      </c>
    </row>
    <row r="2783">
      <c r="A2783" s="4">
        <v>2781.0</v>
      </c>
      <c r="B2783" s="5" t="s">
        <v>8350</v>
      </c>
      <c r="C2783" s="4">
        <v>0.0</v>
      </c>
      <c r="D2783" s="5" t="s">
        <v>8351</v>
      </c>
      <c r="E2783" s="5" t="s">
        <v>8352</v>
      </c>
      <c r="F2783" s="6" t="str">
        <f>IFERROR(__xludf.DUMMYFUNCTION("GOOGLETRANSLATE(D2783,""en"",""it"")"),"Non mi piacciono le motociclette, preferisco Kawasakis.")</f>
        <v>Non mi piacciono le motociclette, preferisco Kawasakis.</v>
      </c>
      <c r="G2783" s="6" t="str">
        <f>IFERROR(__xludf.DUMMYFUNCTION("GOOGLETRANSLATE(E2783,""fr"",""it"")"),"Non mi piacciono le motociclette, preferisco Kawasakis.")</f>
        <v>Non mi piacciono le motociclette, preferisco Kawasakis.</v>
      </c>
    </row>
    <row r="2784">
      <c r="A2784" s="4">
        <v>2782.0</v>
      </c>
      <c r="B2784" s="5" t="s">
        <v>8353</v>
      </c>
      <c r="C2784" s="4">
        <v>1.0</v>
      </c>
      <c r="D2784" s="5" t="s">
        <v>8354</v>
      </c>
      <c r="E2784" s="5" t="s">
        <v>8355</v>
      </c>
      <c r="F2784" s="6" t="str">
        <f>IFERROR(__xludf.DUMMYFUNCTION("GOOGLETRANSLATE(D2784,""en"",""it"")"),"Non mi piace Kawasakis, preferisco le biciclette.")</f>
        <v>Non mi piace Kawasakis, preferisco le biciclette.</v>
      </c>
      <c r="G2784" s="6" t="str">
        <f>IFERROR(__xludf.DUMMYFUNCTION("GOOGLETRANSLATE(E2784,""fr"",""it"")"),"Non mi piace Kawasakis, preferisco le biciclette.")</f>
        <v>Non mi piace Kawasakis, preferisco le biciclette.</v>
      </c>
    </row>
    <row r="2785">
      <c r="A2785" s="4">
        <v>2783.0</v>
      </c>
      <c r="B2785" s="5" t="s">
        <v>8356</v>
      </c>
      <c r="C2785" s="4">
        <v>1.0</v>
      </c>
      <c r="D2785" s="5" t="s">
        <v>8357</v>
      </c>
      <c r="E2785" s="5" t="s">
        <v>8358</v>
      </c>
      <c r="F2785" s="6" t="str">
        <f>IFERROR(__xludf.DUMMYFUNCTION("GOOGLETRANSLATE(D2785,""en"",""it"")"),"Non mi piacciono le biciclette, preferisco Kawasakis.")</f>
        <v>Non mi piacciono le biciclette, preferisco Kawasakis.</v>
      </c>
      <c r="G2785" s="6" t="str">
        <f>IFERROR(__xludf.DUMMYFUNCTION("GOOGLETRANSLATE(E2785,""fr"",""it"")"),"Non mi piacciono le biciclette, preferisco Kawasakis.")</f>
        <v>Non mi piacciono le biciclette, preferisco Kawasakis.</v>
      </c>
    </row>
    <row r="2786">
      <c r="A2786" s="4">
        <v>2784.0</v>
      </c>
      <c r="B2786" s="5" t="s">
        <v>8359</v>
      </c>
      <c r="C2786" s="4">
        <v>1.0</v>
      </c>
      <c r="D2786" s="5" t="s">
        <v>8360</v>
      </c>
      <c r="E2786" s="5" t="s">
        <v>8361</v>
      </c>
      <c r="F2786" s="6" t="str">
        <f>IFERROR(__xludf.DUMMYFUNCTION("GOOGLETRANSLATE(D2786,""en"",""it"")"),"Non mi piace Kawasakis, preferisco i treni.")</f>
        <v>Non mi piace Kawasakis, preferisco i treni.</v>
      </c>
      <c r="G2786" s="6" t="str">
        <f>IFERROR(__xludf.DUMMYFUNCTION("GOOGLETRANSLATE(E2786,""fr"",""it"")"),"Non mi piace Kawasakis, preferisco i treni.")</f>
        <v>Non mi piace Kawasakis, preferisco i treni.</v>
      </c>
    </row>
    <row r="2787">
      <c r="A2787" s="4">
        <v>2785.0</v>
      </c>
      <c r="B2787" s="5" t="s">
        <v>8362</v>
      </c>
      <c r="C2787" s="4">
        <v>1.0</v>
      </c>
      <c r="D2787" s="5" t="s">
        <v>8363</v>
      </c>
      <c r="E2787" s="5" t="s">
        <v>8364</v>
      </c>
      <c r="F2787" s="6" t="str">
        <f>IFERROR(__xludf.DUMMYFUNCTION("GOOGLETRANSLATE(D2787,""en"",""it"")"),"Non mi piacciono i treni, preferisco Kawasakis.")</f>
        <v>Non mi piacciono i treni, preferisco Kawasakis.</v>
      </c>
      <c r="G2787" s="6" t="str">
        <f>IFERROR(__xludf.DUMMYFUNCTION("GOOGLETRANSLATE(E2787,""fr"",""it"")"),"Non mi piacciono i treni, preferisco Kawasakis.")</f>
        <v>Non mi piacciono i treni, preferisco Kawasakis.</v>
      </c>
    </row>
    <row r="2788">
      <c r="A2788" s="4">
        <v>2786.0</v>
      </c>
      <c r="B2788" s="5" t="s">
        <v>8365</v>
      </c>
      <c r="C2788" s="4">
        <v>1.0</v>
      </c>
      <c r="D2788" s="5" t="s">
        <v>8366</v>
      </c>
      <c r="E2788" s="5" t="s">
        <v>8367</v>
      </c>
      <c r="F2788" s="6" t="str">
        <f>IFERROR(__xludf.DUMMYFUNCTION("GOOGLETRANSLATE(D2788,""en"",""it"")"),"Non mi piace Kawasakis, preferisco gli aeroplani.")</f>
        <v>Non mi piace Kawasakis, preferisco gli aeroplani.</v>
      </c>
      <c r="G2788" s="6" t="str">
        <f>IFERROR(__xludf.DUMMYFUNCTION("GOOGLETRANSLATE(E2788,""fr"",""it"")"),"Non mi piace Kawasakis, preferisco gli aerei.")</f>
        <v>Non mi piace Kawasakis, preferisco gli aerei.</v>
      </c>
    </row>
    <row r="2789">
      <c r="A2789" s="4">
        <v>2787.0</v>
      </c>
      <c r="B2789" s="5" t="s">
        <v>8368</v>
      </c>
      <c r="C2789" s="4">
        <v>1.0</v>
      </c>
      <c r="D2789" s="5" t="s">
        <v>8369</v>
      </c>
      <c r="E2789" s="5" t="s">
        <v>8370</v>
      </c>
      <c r="F2789" s="6" t="str">
        <f>IFERROR(__xludf.DUMMYFUNCTION("GOOGLETRANSLATE(D2789,""en"",""it"")"),"Non mi piacciono gli aerei, preferisco Kawasakis.")</f>
        <v>Non mi piacciono gli aerei, preferisco Kawasakis.</v>
      </c>
      <c r="G2789" s="6" t="str">
        <f>IFERROR(__xludf.DUMMYFUNCTION("GOOGLETRANSLATE(E2789,""fr"",""it"")"),"Non mi piacciono gli aerei, preferisco Kawasakis.")</f>
        <v>Non mi piacciono gli aerei, preferisco Kawasakis.</v>
      </c>
    </row>
    <row r="2790">
      <c r="A2790" s="4">
        <v>2788.0</v>
      </c>
      <c r="B2790" s="5" t="s">
        <v>8371</v>
      </c>
      <c r="C2790" s="4">
        <v>0.0</v>
      </c>
      <c r="D2790" s="5" t="s">
        <v>8372</v>
      </c>
      <c r="E2790" s="5" t="s">
        <v>8373</v>
      </c>
      <c r="F2790" s="6" t="str">
        <f>IFERROR(__xludf.DUMMYFUNCTION("GOOGLETRANSLATE(D2790,""en"",""it"")"),"Mi piacciono i passeri, tranne i maiali.")</f>
        <v>Mi piacciono i passeri, tranne i maiali.</v>
      </c>
      <c r="G2790" s="6" t="str">
        <f>IFERROR(__xludf.DUMMYFUNCTION("GOOGLETRANSLATE(E2790,""fr"",""it"")"),"Amo i passeri tranne i maiali.")</f>
        <v>Amo i passeri tranne i maiali.</v>
      </c>
    </row>
    <row r="2791">
      <c r="A2791" s="4">
        <v>2789.0</v>
      </c>
      <c r="B2791" s="5" t="s">
        <v>8374</v>
      </c>
      <c r="C2791" s="4">
        <v>1.0</v>
      </c>
      <c r="D2791" s="5" t="s">
        <v>8375</v>
      </c>
      <c r="E2791" s="5" t="s">
        <v>8376</v>
      </c>
      <c r="F2791" s="6" t="str">
        <f>IFERROR(__xludf.DUMMYFUNCTION("GOOGLETRANSLATE(D2791,""en"",""it"")"),"Non mi piacciono le camicie, preferisco gli animali domestici.")</f>
        <v>Non mi piacciono le camicie, preferisco gli animali domestici.</v>
      </c>
      <c r="G2791" s="6" t="str">
        <f>IFERROR(__xludf.DUMMYFUNCTION("GOOGLETRANSLATE(E2791,""fr"",""it"")"),"Non mi piacciono le camicie, preferisco gli animali domestici.")</f>
        <v>Non mi piacciono le camicie, preferisco gli animali domestici.</v>
      </c>
    </row>
    <row r="2792">
      <c r="A2792" s="4">
        <v>2790.0</v>
      </c>
      <c r="B2792" s="5" t="s">
        <v>8377</v>
      </c>
      <c r="C2792" s="4">
        <v>1.0</v>
      </c>
      <c r="D2792" s="5" t="s">
        <v>8378</v>
      </c>
      <c r="E2792" s="5" t="s">
        <v>8379</v>
      </c>
      <c r="F2792" s="6" t="str">
        <f>IFERROR(__xludf.DUMMYFUNCTION("GOOGLETRANSLATE(D2792,""en"",""it"")"),"Non mi piacciono gli animali domestici, preferisco le camicie.")</f>
        <v>Non mi piacciono gli animali domestici, preferisco le camicie.</v>
      </c>
      <c r="G2792" s="6" t="str">
        <f>IFERROR(__xludf.DUMMYFUNCTION("GOOGLETRANSLATE(E2792,""fr"",""it"")"),"Non mi piacciono gli animali domestici, preferisco le camicie.")</f>
        <v>Non mi piacciono gli animali domestici, preferisco le camicie.</v>
      </c>
    </row>
    <row r="2793">
      <c r="A2793" s="4">
        <v>2791.0</v>
      </c>
      <c r="B2793" s="5" t="s">
        <v>8380</v>
      </c>
      <c r="C2793" s="4">
        <v>0.0</v>
      </c>
      <c r="D2793" s="5" t="s">
        <v>8381</v>
      </c>
      <c r="E2793" s="5" t="s">
        <v>8382</v>
      </c>
      <c r="F2793" s="6" t="str">
        <f>IFERROR(__xludf.DUMMYFUNCTION("GOOGLETRANSLATE(D2793,""en"",""it"")"),"Non mi piacciono le camicie, preferisco i vestiti.")</f>
        <v>Non mi piacciono le camicie, preferisco i vestiti.</v>
      </c>
      <c r="G2793" s="6" t="str">
        <f>IFERROR(__xludf.DUMMYFUNCTION("GOOGLETRANSLATE(E2793,""fr"",""it"")"),"Non mi piacciono le camicie, preferisco i vestiti.")</f>
        <v>Non mi piacciono le camicie, preferisco i vestiti.</v>
      </c>
    </row>
    <row r="2794">
      <c r="A2794" s="4">
        <v>2792.0</v>
      </c>
      <c r="B2794" s="5" t="s">
        <v>8383</v>
      </c>
      <c r="C2794" s="4">
        <v>0.0</v>
      </c>
      <c r="D2794" s="5" t="s">
        <v>8384</v>
      </c>
      <c r="E2794" s="5" t="s">
        <v>8385</v>
      </c>
      <c r="F2794" s="6" t="str">
        <f>IFERROR(__xludf.DUMMYFUNCTION("GOOGLETRANSLATE(D2794,""en"",""it"")"),"Non mi piacciono i vestiti, preferisco le camicie.")</f>
        <v>Non mi piacciono i vestiti, preferisco le camicie.</v>
      </c>
      <c r="G2794" s="6" t="str">
        <f>IFERROR(__xludf.DUMMYFUNCTION("GOOGLETRANSLATE(E2794,""fr"",""it"")"),"Non mi piacciono i vestiti, preferisco le camicie.")</f>
        <v>Non mi piacciono i vestiti, preferisco le camicie.</v>
      </c>
    </row>
    <row r="2795">
      <c r="A2795" s="4">
        <v>2793.0</v>
      </c>
      <c r="B2795" s="5" t="s">
        <v>8386</v>
      </c>
      <c r="C2795" s="4">
        <v>1.0</v>
      </c>
      <c r="D2795" s="5" t="s">
        <v>8387</v>
      </c>
      <c r="E2795" s="5" t="s">
        <v>8388</v>
      </c>
      <c r="F2795" s="6" t="str">
        <f>IFERROR(__xludf.DUMMYFUNCTION("GOOGLETRANSLATE(D2795,""en"",""it"")"),"Non mi piacciono i vestiti, preferisco gli animali domestici.")</f>
        <v>Non mi piacciono i vestiti, preferisco gli animali domestici.</v>
      </c>
      <c r="G2795" s="6" t="str">
        <f>IFERROR(__xludf.DUMMYFUNCTION("GOOGLETRANSLATE(E2795,""fr"",""it"")"),"Non mi piacciono i vestiti, preferisco gli animali domestici.")</f>
        <v>Non mi piacciono i vestiti, preferisco gli animali domestici.</v>
      </c>
    </row>
    <row r="2796">
      <c r="A2796" s="4">
        <v>2794.0</v>
      </c>
      <c r="B2796" s="5" t="s">
        <v>8389</v>
      </c>
      <c r="C2796" s="4">
        <v>1.0</v>
      </c>
      <c r="D2796" s="5" t="s">
        <v>8390</v>
      </c>
      <c r="E2796" s="5" t="s">
        <v>8391</v>
      </c>
      <c r="F2796" s="6" t="str">
        <f>IFERROR(__xludf.DUMMYFUNCTION("GOOGLETRANSLATE(D2796,""en"",""it"")"),"Non mi piacciono le camicie, preferisco i gioielli.")</f>
        <v>Non mi piacciono le camicie, preferisco i gioielli.</v>
      </c>
      <c r="G2796" s="6" t="str">
        <f>IFERROR(__xludf.DUMMYFUNCTION("GOOGLETRANSLATE(E2796,""fr"",""it"")"),"Non mi piacciono le camicie, preferisco i gioielli.")</f>
        <v>Non mi piacciono le camicie, preferisco i gioielli.</v>
      </c>
    </row>
    <row r="2797">
      <c r="A2797" s="4">
        <v>2795.0</v>
      </c>
      <c r="B2797" s="5" t="s">
        <v>8392</v>
      </c>
      <c r="C2797" s="4">
        <v>1.0</v>
      </c>
      <c r="D2797" s="5" t="s">
        <v>8393</v>
      </c>
      <c r="E2797" s="5" t="s">
        <v>8394</v>
      </c>
      <c r="F2797" s="6" t="str">
        <f>IFERROR(__xludf.DUMMYFUNCTION("GOOGLETRANSLATE(D2797,""en"",""it"")"),"Non mi piacciono i gioielli, preferisco le camicie.")</f>
        <v>Non mi piacciono i gioielli, preferisco le camicie.</v>
      </c>
      <c r="G2797" s="6" t="str">
        <f>IFERROR(__xludf.DUMMYFUNCTION("GOOGLETRANSLATE(E2797,""fr"",""it"")"),"Non mi piacciono i gioielli, preferisco le camicie.")</f>
        <v>Non mi piacciono i gioielli, preferisco le camicie.</v>
      </c>
    </row>
    <row r="2798">
      <c r="A2798" s="4">
        <v>2796.0</v>
      </c>
      <c r="B2798" s="5" t="s">
        <v>8395</v>
      </c>
      <c r="C2798" s="4">
        <v>1.0</v>
      </c>
      <c r="D2798" s="5" t="s">
        <v>8396</v>
      </c>
      <c r="E2798" s="5" t="s">
        <v>8397</v>
      </c>
      <c r="F2798" s="6" t="str">
        <f>IFERROR(__xludf.DUMMYFUNCTION("GOOGLETRANSLATE(D2798,""en"",""it"")"),"Non mi piacciono i vestiti, preferisco i gioielli.")</f>
        <v>Non mi piacciono i vestiti, preferisco i gioielli.</v>
      </c>
      <c r="G2798" s="6" t="str">
        <f>IFERROR(__xludf.DUMMYFUNCTION("GOOGLETRANSLATE(E2798,""fr"",""it"")"),"Non mi piacciono i vestiti, preferisco i gioielli.")</f>
        <v>Non mi piacciono i vestiti, preferisco i gioielli.</v>
      </c>
    </row>
    <row r="2799">
      <c r="A2799" s="4">
        <v>2797.0</v>
      </c>
      <c r="B2799" s="5" t="s">
        <v>8398</v>
      </c>
      <c r="C2799" s="4">
        <v>1.0</v>
      </c>
      <c r="D2799" s="5" t="s">
        <v>8399</v>
      </c>
      <c r="E2799" s="5" t="s">
        <v>8400</v>
      </c>
      <c r="F2799" s="6" t="str">
        <f>IFERROR(__xludf.DUMMYFUNCTION("GOOGLETRANSLATE(D2799,""en"",""it"")"),"Non mi piacciono le camicie, preferisco gli occhiali.")</f>
        <v>Non mi piacciono le camicie, preferisco gli occhiali.</v>
      </c>
      <c r="G2799" s="6" t="str">
        <f>IFERROR(__xludf.DUMMYFUNCTION("GOOGLETRANSLATE(E2799,""fr"",""it"")"),"Non mi piacciono le camicie, preferisco gli occhiali.")</f>
        <v>Non mi piacciono le camicie, preferisco gli occhiali.</v>
      </c>
    </row>
    <row r="2800">
      <c r="A2800" s="4">
        <v>2798.0</v>
      </c>
      <c r="B2800" s="5" t="s">
        <v>8401</v>
      </c>
      <c r="C2800" s="4">
        <v>1.0</v>
      </c>
      <c r="D2800" s="5" t="s">
        <v>8402</v>
      </c>
      <c r="E2800" s="5" t="s">
        <v>8403</v>
      </c>
      <c r="F2800" s="6" t="str">
        <f>IFERROR(__xludf.DUMMYFUNCTION("GOOGLETRANSLATE(D2800,""en"",""it"")"),"Non mi piacciono gli occhiali, preferisco le camicie.")</f>
        <v>Non mi piacciono gli occhiali, preferisco le camicie.</v>
      </c>
      <c r="G2800" s="6" t="str">
        <f>IFERROR(__xludf.DUMMYFUNCTION("GOOGLETRANSLATE(E2800,""fr"",""it"")"),"Non mi piacciono gli occhiali, preferisco le camicie.")</f>
        <v>Non mi piacciono gli occhiali, preferisco le camicie.</v>
      </c>
    </row>
    <row r="2801">
      <c r="A2801" s="4">
        <v>2799.0</v>
      </c>
      <c r="B2801" s="5" t="s">
        <v>8404</v>
      </c>
      <c r="C2801" s="4">
        <v>1.0</v>
      </c>
      <c r="D2801" s="5" t="s">
        <v>8405</v>
      </c>
      <c r="E2801" s="5" t="s">
        <v>8406</v>
      </c>
      <c r="F2801" s="6" t="str">
        <f>IFERROR(__xludf.DUMMYFUNCTION("GOOGLETRANSLATE(D2801,""en"",""it"")"),"Non mi piacciono i vestiti, preferisco gli occhiali.")</f>
        <v>Non mi piacciono i vestiti, preferisco gli occhiali.</v>
      </c>
      <c r="G2801" s="6" t="str">
        <f>IFERROR(__xludf.DUMMYFUNCTION("GOOGLETRANSLATE(E2801,""fr"",""it"")"),"Non mi piacciono i vestiti, preferisco gli occhiali.")</f>
        <v>Non mi piacciono i vestiti, preferisco gli occhiali.</v>
      </c>
    </row>
    <row r="2802">
      <c r="A2802" s="4">
        <v>2800.0</v>
      </c>
      <c r="B2802" s="5" t="s">
        <v>8407</v>
      </c>
      <c r="C2802" s="4">
        <v>1.0</v>
      </c>
      <c r="D2802" s="5" t="s">
        <v>8408</v>
      </c>
      <c r="E2802" s="5" t="s">
        <v>8409</v>
      </c>
      <c r="F2802" s="6" t="str">
        <f>IFERROR(__xludf.DUMMYFUNCTION("GOOGLETRANSLATE(D2802,""en"",""it"")"),"Non mi piacciono le camicie, preferisco gli orecchini.")</f>
        <v>Non mi piacciono le camicie, preferisco gli orecchini.</v>
      </c>
      <c r="G2802" s="6" t="str">
        <f>IFERROR(__xludf.DUMMYFUNCTION("GOOGLETRANSLATE(E2802,""fr"",""it"")"),"Non mi piacciono le camicie, preferisco gli orecchini.")</f>
        <v>Non mi piacciono le camicie, preferisco gli orecchini.</v>
      </c>
    </row>
    <row r="2803">
      <c r="A2803" s="4">
        <v>2801.0</v>
      </c>
      <c r="B2803" s="5" t="s">
        <v>8410</v>
      </c>
      <c r="C2803" s="4">
        <v>1.0</v>
      </c>
      <c r="D2803" s="5" t="s">
        <v>8411</v>
      </c>
      <c r="E2803" s="5" t="s">
        <v>8412</v>
      </c>
      <c r="F2803" s="6" t="str">
        <f>IFERROR(__xludf.DUMMYFUNCTION("GOOGLETRANSLATE(D2803,""en"",""it"")"),"Non mi piacciono gli orecchini, preferisco le camicie.")</f>
        <v>Non mi piacciono gli orecchini, preferisco le camicie.</v>
      </c>
      <c r="G2803" s="6" t="str">
        <f>IFERROR(__xludf.DUMMYFUNCTION("GOOGLETRANSLATE(E2803,""fr"",""it"")"),"Non mi piacciono gli orecchini, preferisco le camicie.")</f>
        <v>Non mi piacciono gli orecchini, preferisco le camicie.</v>
      </c>
    </row>
    <row r="2804">
      <c r="A2804" s="4">
        <v>2802.0</v>
      </c>
      <c r="B2804" s="5" t="s">
        <v>8413</v>
      </c>
      <c r="C2804" s="4">
        <v>0.0</v>
      </c>
      <c r="D2804" s="5" t="s">
        <v>8414</v>
      </c>
      <c r="E2804" s="5" t="s">
        <v>8415</v>
      </c>
      <c r="F2804" s="6" t="str">
        <f>IFERROR(__xludf.DUMMYFUNCTION("GOOGLETRANSLATE(D2804,""en"",""it"")"),"Mi piacciono i maiali, tranne i passeri.")</f>
        <v>Mi piacciono i maiali, tranne i passeri.</v>
      </c>
      <c r="G2804" s="6" t="str">
        <f>IFERROR(__xludf.DUMMYFUNCTION("GOOGLETRANSLATE(E2804,""fr"",""it"")"),"Mi piacciono i maiali, tranne i passeri.")</f>
        <v>Mi piacciono i maiali, tranne i passeri.</v>
      </c>
    </row>
    <row r="2805">
      <c r="A2805" s="4">
        <v>2803.0</v>
      </c>
      <c r="B2805" s="5" t="s">
        <v>8416</v>
      </c>
      <c r="C2805" s="4">
        <v>1.0</v>
      </c>
      <c r="D2805" s="5" t="s">
        <v>8417</v>
      </c>
      <c r="E2805" s="5" t="s">
        <v>8418</v>
      </c>
      <c r="F2805" s="6" t="str">
        <f>IFERROR(__xludf.DUMMYFUNCTION("GOOGLETRANSLATE(D2805,""en"",""it"")"),"Non mi piacciono i vestiti, preferisco gli orecchini.")</f>
        <v>Non mi piacciono i vestiti, preferisco gli orecchini.</v>
      </c>
      <c r="G2805" s="6" t="str">
        <f>IFERROR(__xludf.DUMMYFUNCTION("GOOGLETRANSLATE(E2805,""fr"",""it"")"),"Non mi piacciono i vestiti, preferisco gli orecchini.")</f>
        <v>Non mi piacciono i vestiti, preferisco gli orecchini.</v>
      </c>
    </row>
    <row r="2806">
      <c r="A2806" s="4">
        <v>2804.0</v>
      </c>
      <c r="B2806" s="5" t="s">
        <v>8419</v>
      </c>
      <c r="C2806" s="4">
        <v>1.0</v>
      </c>
      <c r="D2806" s="5" t="s">
        <v>8420</v>
      </c>
      <c r="E2806" s="5" t="s">
        <v>8421</v>
      </c>
      <c r="F2806" s="6" t="str">
        <f>IFERROR(__xludf.DUMMYFUNCTION("GOOGLETRANSLATE(D2806,""en"",""it"")"),"Non mi piacciono i pantaloni, preferisco gli animali domestici.")</f>
        <v>Non mi piacciono i pantaloni, preferisco gli animali domestici.</v>
      </c>
      <c r="G2806" s="6" t="str">
        <f>IFERROR(__xludf.DUMMYFUNCTION("GOOGLETRANSLATE(E2806,""fr"",""it"")"),"Non mi piacciono i pantaloni, preferisco gli animali domestici.")</f>
        <v>Non mi piacciono i pantaloni, preferisco gli animali domestici.</v>
      </c>
    </row>
    <row r="2807">
      <c r="A2807" s="4">
        <v>2805.0</v>
      </c>
      <c r="B2807" s="5" t="s">
        <v>8422</v>
      </c>
      <c r="C2807" s="4">
        <v>1.0</v>
      </c>
      <c r="D2807" s="5" t="s">
        <v>8423</v>
      </c>
      <c r="E2807" s="5" t="s">
        <v>8424</v>
      </c>
      <c r="F2807" s="6" t="str">
        <f>IFERROR(__xludf.DUMMYFUNCTION("GOOGLETRANSLATE(D2807,""en"",""it"")"),"Non mi piacciono gli animali domestici, preferisco i pantaloni.")</f>
        <v>Non mi piacciono gli animali domestici, preferisco i pantaloni.</v>
      </c>
      <c r="G2807" s="6" t="str">
        <f>IFERROR(__xludf.DUMMYFUNCTION("GOOGLETRANSLATE(E2807,""fr"",""it"")"),"Non mi piacciono gli animali domestici, preferisco i pantaloni.")</f>
        <v>Non mi piacciono gli animali domestici, preferisco i pantaloni.</v>
      </c>
    </row>
    <row r="2808">
      <c r="A2808" s="4">
        <v>2806.0</v>
      </c>
      <c r="B2808" s="5" t="s">
        <v>8425</v>
      </c>
      <c r="C2808" s="4">
        <v>0.0</v>
      </c>
      <c r="D2808" s="5" t="s">
        <v>8426</v>
      </c>
      <c r="E2808" s="5" t="s">
        <v>8427</v>
      </c>
      <c r="F2808" s="6" t="str">
        <f>IFERROR(__xludf.DUMMYFUNCTION("GOOGLETRANSLATE(D2808,""en"",""it"")"),"Non mi piacciono i pantaloni, preferisco i vestiti.")</f>
        <v>Non mi piacciono i pantaloni, preferisco i vestiti.</v>
      </c>
      <c r="G2808" s="6" t="str">
        <f>IFERROR(__xludf.DUMMYFUNCTION("GOOGLETRANSLATE(E2808,""fr"",""it"")"),"Non mi piacciono i pantaloni, preferisco i vestiti.")</f>
        <v>Non mi piacciono i pantaloni, preferisco i vestiti.</v>
      </c>
    </row>
    <row r="2809">
      <c r="A2809" s="4">
        <v>2807.0</v>
      </c>
      <c r="B2809" s="5" t="s">
        <v>8428</v>
      </c>
      <c r="C2809" s="4">
        <v>0.0</v>
      </c>
      <c r="D2809" s="5" t="s">
        <v>8429</v>
      </c>
      <c r="E2809" s="5" t="s">
        <v>8430</v>
      </c>
      <c r="F2809" s="6" t="str">
        <f>IFERROR(__xludf.DUMMYFUNCTION("GOOGLETRANSLATE(D2809,""en"",""it"")"),"Non mi piacciono i vestiti, preferisco i pantaloni.")</f>
        <v>Non mi piacciono i vestiti, preferisco i pantaloni.</v>
      </c>
      <c r="G2809" s="6" t="str">
        <f>IFERROR(__xludf.DUMMYFUNCTION("GOOGLETRANSLATE(E2809,""fr"",""it"")"),"Non mi piacciono i vestiti, preferisco i pantaloni.")</f>
        <v>Non mi piacciono i vestiti, preferisco i pantaloni.</v>
      </c>
    </row>
    <row r="2810">
      <c r="A2810" s="4">
        <v>2808.0</v>
      </c>
      <c r="B2810" s="5" t="s">
        <v>8431</v>
      </c>
      <c r="C2810" s="4">
        <v>1.0</v>
      </c>
      <c r="D2810" s="5" t="s">
        <v>8432</v>
      </c>
      <c r="E2810" s="5" t="s">
        <v>8433</v>
      </c>
      <c r="F2810" s="6" t="str">
        <f>IFERROR(__xludf.DUMMYFUNCTION("GOOGLETRANSLATE(D2810,""en"",""it"")"),"Non mi piacciono i pantaloni, preferisco i gioielli.")</f>
        <v>Non mi piacciono i pantaloni, preferisco i gioielli.</v>
      </c>
      <c r="G2810" s="6" t="str">
        <f>IFERROR(__xludf.DUMMYFUNCTION("GOOGLETRANSLATE(E2810,""fr"",""it"")"),"Non mi piacciono i pantaloni, preferisco i gioielli.")</f>
        <v>Non mi piacciono i pantaloni, preferisco i gioielli.</v>
      </c>
    </row>
    <row r="2811">
      <c r="A2811" s="4">
        <v>2809.0</v>
      </c>
      <c r="B2811" s="5" t="s">
        <v>8434</v>
      </c>
      <c r="C2811" s="4">
        <v>1.0</v>
      </c>
      <c r="D2811" s="5" t="s">
        <v>8435</v>
      </c>
      <c r="E2811" s="5" t="s">
        <v>8436</v>
      </c>
      <c r="F2811" s="6" t="str">
        <f>IFERROR(__xludf.DUMMYFUNCTION("GOOGLETRANSLATE(D2811,""en"",""it"")"),"Non mi piacciono i gioielli, preferisco i pantaloni.")</f>
        <v>Non mi piacciono i gioielli, preferisco i pantaloni.</v>
      </c>
      <c r="G2811" s="6" t="str">
        <f>IFERROR(__xludf.DUMMYFUNCTION("GOOGLETRANSLATE(E2811,""fr"",""it"")"),"Non mi piacciono i gioielli, preferisco i pantaloni.")</f>
        <v>Non mi piacciono i gioielli, preferisco i pantaloni.</v>
      </c>
    </row>
    <row r="2812">
      <c r="A2812" s="4">
        <v>2810.0</v>
      </c>
      <c r="B2812" s="5" t="s">
        <v>8437</v>
      </c>
      <c r="C2812" s="4">
        <v>1.0</v>
      </c>
      <c r="D2812" s="5" t="s">
        <v>8438</v>
      </c>
      <c r="E2812" s="5" t="s">
        <v>8439</v>
      </c>
      <c r="F2812" s="6" t="str">
        <f>IFERROR(__xludf.DUMMYFUNCTION("GOOGLETRANSLATE(D2812,""en"",""it"")"),"Non mi piacciono i pantaloni, preferisco gli occhiali.")</f>
        <v>Non mi piacciono i pantaloni, preferisco gli occhiali.</v>
      </c>
      <c r="G2812" s="6" t="str">
        <f>IFERROR(__xludf.DUMMYFUNCTION("GOOGLETRANSLATE(E2812,""fr"",""it"")"),"Non mi piacciono i pantaloni, preferisco gli occhiali.")</f>
        <v>Non mi piacciono i pantaloni, preferisco gli occhiali.</v>
      </c>
    </row>
    <row r="2813">
      <c r="A2813" s="4">
        <v>2811.0</v>
      </c>
      <c r="B2813" s="5" t="s">
        <v>8440</v>
      </c>
      <c r="C2813" s="4">
        <v>1.0</v>
      </c>
      <c r="D2813" s="5" t="s">
        <v>8441</v>
      </c>
      <c r="E2813" s="5" t="s">
        <v>8442</v>
      </c>
      <c r="F2813" s="6" t="str">
        <f>IFERROR(__xludf.DUMMYFUNCTION("GOOGLETRANSLATE(D2813,""en"",""it"")"),"Non mi piacciono gli occhiali, preferisco i pantaloni.")</f>
        <v>Non mi piacciono gli occhiali, preferisco i pantaloni.</v>
      </c>
      <c r="G2813" s="6" t="str">
        <f>IFERROR(__xludf.DUMMYFUNCTION("GOOGLETRANSLATE(E2813,""fr"",""it"")"),"Non mi piacciono gli occhiali, preferisco i pantaloni.")</f>
        <v>Non mi piacciono gli occhiali, preferisco i pantaloni.</v>
      </c>
    </row>
    <row r="2814">
      <c r="A2814" s="4">
        <v>2812.0</v>
      </c>
      <c r="B2814" s="5" t="s">
        <v>8443</v>
      </c>
      <c r="C2814" s="4">
        <v>1.0</v>
      </c>
      <c r="D2814" s="5" t="s">
        <v>8444</v>
      </c>
      <c r="E2814" s="5" t="s">
        <v>8445</v>
      </c>
      <c r="F2814" s="6" t="str">
        <f>IFERROR(__xludf.DUMMYFUNCTION("GOOGLETRANSLATE(D2814,""en"",""it"")"),"Non mi piacciono i pantaloni, preferisco gli orecchini.")</f>
        <v>Non mi piacciono i pantaloni, preferisco gli orecchini.</v>
      </c>
      <c r="G2814" s="6" t="str">
        <f>IFERROR(__xludf.DUMMYFUNCTION("GOOGLETRANSLATE(E2814,""fr"",""it"")"),"Non mi piacciono i pantaloni, preferisco gli orecchini.")</f>
        <v>Non mi piacciono i pantaloni, preferisco gli orecchini.</v>
      </c>
    </row>
    <row r="2815">
      <c r="A2815" s="4">
        <v>2813.0</v>
      </c>
      <c r="B2815" s="5" t="s">
        <v>8446</v>
      </c>
      <c r="C2815" s="4">
        <v>1.0</v>
      </c>
      <c r="D2815" s="5" t="s">
        <v>8447</v>
      </c>
      <c r="E2815" s="5" t="s">
        <v>8448</v>
      </c>
      <c r="F2815" s="6" t="str">
        <f>IFERROR(__xludf.DUMMYFUNCTION("GOOGLETRANSLATE(D2815,""en"",""it"")"),"Non mi piacciono gli orecchini, preferisco i pantaloni.")</f>
        <v>Non mi piacciono gli orecchini, preferisco i pantaloni.</v>
      </c>
      <c r="G2815" s="6" t="str">
        <f>IFERROR(__xludf.DUMMYFUNCTION("GOOGLETRANSLATE(E2815,""fr"",""it"")"),"Non mi piacciono gli orecchini, preferisco i pantaloni.")</f>
        <v>Non mi piacciono gli orecchini, preferisco i pantaloni.</v>
      </c>
    </row>
    <row r="2816">
      <c r="A2816" s="4">
        <v>2814.0</v>
      </c>
      <c r="B2816" s="5" t="s">
        <v>8449</v>
      </c>
      <c r="C2816" s="4">
        <v>1.0</v>
      </c>
      <c r="D2816" s="5" t="s">
        <v>8450</v>
      </c>
      <c r="E2816" s="5" t="s">
        <v>8451</v>
      </c>
      <c r="F2816" s="6" t="str">
        <f>IFERROR(__xludf.DUMMYFUNCTION("GOOGLETRANSLATE(D2816,""en"",""it"")"),"Non mi piacciono i calzini, preferisco gli animali domestici.")</f>
        <v>Non mi piacciono i calzini, preferisco gli animali domestici.</v>
      </c>
      <c r="G2816" s="6" t="str">
        <f>IFERROR(__xludf.DUMMYFUNCTION("GOOGLETRANSLATE(E2816,""fr"",""it"")"),"Non mi piacciono le scarpe, preferisco gli animali domestici.")</f>
        <v>Non mi piacciono le scarpe, preferisco gli animali domestici.</v>
      </c>
    </row>
    <row r="2817">
      <c r="A2817" s="4">
        <v>2815.0</v>
      </c>
      <c r="B2817" s="5" t="s">
        <v>8452</v>
      </c>
      <c r="C2817" s="4">
        <v>1.0</v>
      </c>
      <c r="D2817" s="5" t="s">
        <v>8453</v>
      </c>
      <c r="E2817" s="5" t="s">
        <v>8454</v>
      </c>
      <c r="F2817" s="6" t="str">
        <f>IFERROR(__xludf.DUMMYFUNCTION("GOOGLETRANSLATE(D2817,""en"",""it"")"),"Non mi piacciono gli animali domestici, preferisco i calzini.")</f>
        <v>Non mi piacciono gli animali domestici, preferisco i calzini.</v>
      </c>
      <c r="G2817" s="6" t="str">
        <f>IFERROR(__xludf.DUMMYFUNCTION("GOOGLETRANSLATE(E2817,""fr"",""it"")"),"Non mi piacciono gli animali domestici, preferisco le scarpe.")</f>
        <v>Non mi piacciono gli animali domestici, preferisco le scarpe.</v>
      </c>
    </row>
    <row r="2818">
      <c r="A2818" s="4">
        <v>2816.0</v>
      </c>
      <c r="B2818" s="5" t="s">
        <v>8455</v>
      </c>
      <c r="C2818" s="4">
        <v>0.0</v>
      </c>
      <c r="D2818" s="5" t="s">
        <v>8456</v>
      </c>
      <c r="E2818" s="5" t="s">
        <v>8457</v>
      </c>
      <c r="F2818" s="6" t="str">
        <f>IFERROR(__xludf.DUMMYFUNCTION("GOOGLETRANSLATE(D2818,""en"",""it"")"),"Non mi piacciono i calzini, preferisco i vestiti.")</f>
        <v>Non mi piacciono i calzini, preferisco i vestiti.</v>
      </c>
      <c r="G2818" s="6" t="str">
        <f>IFERROR(__xludf.DUMMYFUNCTION("GOOGLETRANSLATE(E2818,""fr"",""it"")"),"Non mi piacciono le scarpe, preferisco i vestiti.")</f>
        <v>Non mi piacciono le scarpe, preferisco i vestiti.</v>
      </c>
    </row>
    <row r="2819">
      <c r="A2819" s="4">
        <v>2817.0</v>
      </c>
      <c r="B2819" s="5" t="s">
        <v>8458</v>
      </c>
      <c r="C2819" s="4">
        <v>0.0</v>
      </c>
      <c r="D2819" s="5" t="s">
        <v>8459</v>
      </c>
      <c r="E2819" s="5" t="s">
        <v>8460</v>
      </c>
      <c r="F2819" s="6" t="str">
        <f>IFERROR(__xludf.DUMMYFUNCTION("GOOGLETRANSLATE(D2819,""en"",""it"")"),"Non mi piacciono i vestiti, preferisco i calzini.")</f>
        <v>Non mi piacciono i vestiti, preferisco i calzini.</v>
      </c>
      <c r="G2819" s="6" t="str">
        <f>IFERROR(__xludf.DUMMYFUNCTION("GOOGLETRANSLATE(E2819,""fr"",""it"")"),"Non mi piacciono i vestiti, preferisco le scarpe.")</f>
        <v>Non mi piacciono i vestiti, preferisco le scarpe.</v>
      </c>
    </row>
    <row r="2820">
      <c r="A2820" s="4">
        <v>2818.0</v>
      </c>
      <c r="B2820" s="5" t="s">
        <v>8461</v>
      </c>
      <c r="C2820" s="4">
        <v>1.0</v>
      </c>
      <c r="D2820" s="5" t="s">
        <v>8462</v>
      </c>
      <c r="E2820" s="5" t="s">
        <v>8463</v>
      </c>
      <c r="F2820" s="6" t="str">
        <f>IFERROR(__xludf.DUMMYFUNCTION("GOOGLETRANSLATE(D2820,""en"",""it"")"),"Non mi piacciono i calzini, preferisco i gioielli.")</f>
        <v>Non mi piacciono i calzini, preferisco i gioielli.</v>
      </c>
      <c r="G2820" s="6" t="str">
        <f>IFERROR(__xludf.DUMMYFUNCTION("GOOGLETRANSLATE(E2820,""fr"",""it"")"),"Non mi piacciono le scarpe, preferisco i gioielli.")</f>
        <v>Non mi piacciono le scarpe, preferisco i gioielli.</v>
      </c>
    </row>
    <row r="2821">
      <c r="A2821" s="4">
        <v>2819.0</v>
      </c>
      <c r="B2821" s="5" t="s">
        <v>8464</v>
      </c>
      <c r="C2821" s="4">
        <v>1.0</v>
      </c>
      <c r="D2821" s="5" t="s">
        <v>8465</v>
      </c>
      <c r="E2821" s="5" t="s">
        <v>8466</v>
      </c>
      <c r="F2821" s="6" t="str">
        <f>IFERROR(__xludf.DUMMYFUNCTION("GOOGLETRANSLATE(D2821,""en"",""it"")"),"Non mi piacciono i gioielli, preferisco i calzini.")</f>
        <v>Non mi piacciono i gioielli, preferisco i calzini.</v>
      </c>
      <c r="G2821" s="6" t="str">
        <f>IFERROR(__xludf.DUMMYFUNCTION("GOOGLETRANSLATE(E2821,""fr"",""it"")"),"Non mi piacciono i gioielli, preferisco le scarpe.")</f>
        <v>Non mi piacciono i gioielli, preferisco le scarpe.</v>
      </c>
    </row>
    <row r="2822">
      <c r="A2822" s="4">
        <v>2820.0</v>
      </c>
      <c r="B2822" s="5" t="s">
        <v>8467</v>
      </c>
      <c r="C2822" s="4">
        <v>1.0</v>
      </c>
      <c r="D2822" s="5" t="s">
        <v>8468</v>
      </c>
      <c r="E2822" s="5" t="s">
        <v>8469</v>
      </c>
      <c r="F2822" s="6" t="str">
        <f>IFERROR(__xludf.DUMMYFUNCTION("GOOGLETRANSLATE(D2822,""en"",""it"")"),"Non mi piacciono i calzini, preferisco gli occhiali.")</f>
        <v>Non mi piacciono i calzini, preferisco gli occhiali.</v>
      </c>
      <c r="G2822" s="6" t="str">
        <f>IFERROR(__xludf.DUMMYFUNCTION("GOOGLETRANSLATE(E2822,""fr"",""it"")"),"Non mi piacciono le scarpe, preferisco gli occhiali.")</f>
        <v>Non mi piacciono le scarpe, preferisco gli occhiali.</v>
      </c>
    </row>
    <row r="2823">
      <c r="A2823" s="4">
        <v>2821.0</v>
      </c>
      <c r="B2823" s="5" t="s">
        <v>8470</v>
      </c>
      <c r="C2823" s="4">
        <v>1.0</v>
      </c>
      <c r="D2823" s="5" t="s">
        <v>8471</v>
      </c>
      <c r="E2823" s="5" t="s">
        <v>8472</v>
      </c>
      <c r="F2823" s="6" t="str">
        <f>IFERROR(__xludf.DUMMYFUNCTION("GOOGLETRANSLATE(D2823,""en"",""it"")"),"Non mi piacciono gli occhiali, preferisco i calzini.")</f>
        <v>Non mi piacciono gli occhiali, preferisco i calzini.</v>
      </c>
      <c r="G2823" s="6" t="str">
        <f>IFERROR(__xludf.DUMMYFUNCTION("GOOGLETRANSLATE(E2823,""fr"",""it"")"),"Non mi piacciono gli occhiali, preferisco le scarpe.")</f>
        <v>Non mi piacciono gli occhiali, preferisco le scarpe.</v>
      </c>
    </row>
    <row r="2824">
      <c r="A2824" s="4">
        <v>2822.0</v>
      </c>
      <c r="B2824" s="5" t="s">
        <v>8473</v>
      </c>
      <c r="C2824" s="4">
        <v>1.0</v>
      </c>
      <c r="D2824" s="5" t="s">
        <v>8474</v>
      </c>
      <c r="E2824" s="5" t="s">
        <v>8475</v>
      </c>
      <c r="F2824" s="6" t="str">
        <f>IFERROR(__xludf.DUMMYFUNCTION("GOOGLETRANSLATE(D2824,""en"",""it"")"),"Non mi piacciono i calzini, preferisco gli orecchini.")</f>
        <v>Non mi piacciono i calzini, preferisco gli orecchini.</v>
      </c>
      <c r="G2824" s="6" t="str">
        <f>IFERROR(__xludf.DUMMYFUNCTION("GOOGLETRANSLATE(E2824,""fr"",""it"")"),"Non mi piacciono le scarpe, preferisco gli orecchini.")</f>
        <v>Non mi piacciono le scarpe, preferisco gli orecchini.</v>
      </c>
    </row>
    <row r="2825">
      <c r="A2825" s="4">
        <v>2823.0</v>
      </c>
      <c r="B2825" s="5" t="s">
        <v>8476</v>
      </c>
      <c r="C2825" s="4">
        <v>1.0</v>
      </c>
      <c r="D2825" s="5" t="s">
        <v>8477</v>
      </c>
      <c r="E2825" s="5" t="s">
        <v>8478</v>
      </c>
      <c r="F2825" s="6" t="str">
        <f>IFERROR(__xludf.DUMMYFUNCTION("GOOGLETRANSLATE(D2825,""en"",""it"")"),"Non mi piacciono gli orecchini, preferisco i calzini.")</f>
        <v>Non mi piacciono gli orecchini, preferisco i calzini.</v>
      </c>
      <c r="G2825" s="6" t="str">
        <f>IFERROR(__xludf.DUMMYFUNCTION("GOOGLETRANSLATE(E2825,""fr"",""it"")"),"Non mi piacciono gli orecchini, preferisco le scarpe.")</f>
        <v>Non mi piacciono gli orecchini, preferisco le scarpe.</v>
      </c>
    </row>
    <row r="2826">
      <c r="A2826" s="4">
        <v>2824.0</v>
      </c>
      <c r="B2826" s="5" t="s">
        <v>8479</v>
      </c>
      <c r="C2826" s="4">
        <v>1.0</v>
      </c>
      <c r="D2826" s="5" t="s">
        <v>8480</v>
      </c>
      <c r="E2826" s="5" t="s">
        <v>8481</v>
      </c>
      <c r="F2826" s="6" t="str">
        <f>IFERROR(__xludf.DUMMYFUNCTION("GOOGLETRANSLATE(D2826,""en"",""it"")"),"Non mi piacciono le gonne, preferisco gli animali domestici.")</f>
        <v>Non mi piacciono le gonne, preferisco gli animali domestici.</v>
      </c>
      <c r="G2826" s="6" t="str">
        <f>IFERROR(__xludf.DUMMYFUNCTION("GOOGLETRANSLATE(E2826,""fr"",""it"")"),"Non mi piacciono le gonne, preferisco gli animali domestici.")</f>
        <v>Non mi piacciono le gonne, preferisco gli animali domestici.</v>
      </c>
    </row>
    <row r="2827">
      <c r="A2827" s="4">
        <v>2825.0</v>
      </c>
      <c r="B2827" s="5" t="s">
        <v>8482</v>
      </c>
      <c r="C2827" s="4">
        <v>1.0</v>
      </c>
      <c r="D2827" s="5" t="s">
        <v>8483</v>
      </c>
      <c r="E2827" s="5" t="s">
        <v>8484</v>
      </c>
      <c r="F2827" s="6" t="str">
        <f>IFERROR(__xludf.DUMMYFUNCTION("GOOGLETRANSLATE(D2827,""en"",""it"")"),"Non mi piacciono gli animali domestici, preferisco le gonne.")</f>
        <v>Non mi piacciono gli animali domestici, preferisco le gonne.</v>
      </c>
      <c r="G2827" s="6" t="str">
        <f>IFERROR(__xludf.DUMMYFUNCTION("GOOGLETRANSLATE(E2827,""fr"",""it"")"),"Non mi piacciono gli animali domestici, preferisco le gonne.")</f>
        <v>Non mi piacciono gli animali domestici, preferisco le gonne.</v>
      </c>
    </row>
    <row r="2828">
      <c r="A2828" s="4">
        <v>2826.0</v>
      </c>
      <c r="B2828" s="5" t="s">
        <v>8485</v>
      </c>
      <c r="C2828" s="4">
        <v>0.0</v>
      </c>
      <c r="D2828" s="5" t="s">
        <v>8486</v>
      </c>
      <c r="E2828" s="5" t="s">
        <v>8487</v>
      </c>
      <c r="F2828" s="6" t="str">
        <f>IFERROR(__xludf.DUMMYFUNCTION("GOOGLETRANSLATE(D2828,""en"",""it"")"),"Non mi piacciono le gonne, preferisco i vestiti.")</f>
        <v>Non mi piacciono le gonne, preferisco i vestiti.</v>
      </c>
      <c r="G2828" s="6" t="str">
        <f>IFERROR(__xludf.DUMMYFUNCTION("GOOGLETRANSLATE(E2828,""fr"",""it"")"),"Non mi piacciono le gonne, preferisco i vestiti.")</f>
        <v>Non mi piacciono le gonne, preferisco i vestiti.</v>
      </c>
    </row>
    <row r="2829">
      <c r="A2829" s="4">
        <v>2827.0</v>
      </c>
      <c r="B2829" s="5" t="s">
        <v>8488</v>
      </c>
      <c r="C2829" s="4">
        <v>0.0</v>
      </c>
      <c r="D2829" s="5" t="s">
        <v>8489</v>
      </c>
      <c r="E2829" s="5" t="s">
        <v>8490</v>
      </c>
      <c r="F2829" s="6" t="str">
        <f>IFERROR(__xludf.DUMMYFUNCTION("GOOGLETRANSLATE(D2829,""en"",""it"")"),"Non mi piacciono i vestiti, preferisco le gonne.")</f>
        <v>Non mi piacciono i vestiti, preferisco le gonne.</v>
      </c>
      <c r="G2829" s="6" t="str">
        <f>IFERROR(__xludf.DUMMYFUNCTION("GOOGLETRANSLATE(E2829,""fr"",""it"")"),"Non mi piacciono i vestiti, preferisco le gonne.")</f>
        <v>Non mi piacciono i vestiti, preferisco le gonne.</v>
      </c>
    </row>
    <row r="2830">
      <c r="A2830" s="4">
        <v>2828.0</v>
      </c>
      <c r="B2830" s="5" t="s">
        <v>8491</v>
      </c>
      <c r="C2830" s="4">
        <v>1.0</v>
      </c>
      <c r="D2830" s="5" t="s">
        <v>8492</v>
      </c>
      <c r="E2830" s="5" t="s">
        <v>8493</v>
      </c>
      <c r="F2830" s="6" t="str">
        <f>IFERROR(__xludf.DUMMYFUNCTION("GOOGLETRANSLATE(D2830,""en"",""it"")"),"Non mi piacciono le gonne, preferisco i gioielli.")</f>
        <v>Non mi piacciono le gonne, preferisco i gioielli.</v>
      </c>
      <c r="G2830" s="6" t="str">
        <f>IFERROR(__xludf.DUMMYFUNCTION("GOOGLETRANSLATE(E2830,""fr"",""it"")"),"Non mi piacciono le gonne, preferisco i gioielli.")</f>
        <v>Non mi piacciono le gonne, preferisco i gioielli.</v>
      </c>
    </row>
    <row r="2831">
      <c r="A2831" s="4">
        <v>2829.0</v>
      </c>
      <c r="B2831" s="5" t="s">
        <v>8494</v>
      </c>
      <c r="C2831" s="4">
        <v>1.0</v>
      </c>
      <c r="D2831" s="5" t="s">
        <v>8495</v>
      </c>
      <c r="E2831" s="5" t="s">
        <v>8496</v>
      </c>
      <c r="F2831" s="6" t="str">
        <f>IFERROR(__xludf.DUMMYFUNCTION("GOOGLETRANSLATE(D2831,""en"",""it"")"),"Non mi piacciono i gioielli, preferisco le gonne.")</f>
        <v>Non mi piacciono i gioielli, preferisco le gonne.</v>
      </c>
      <c r="G2831" s="6" t="str">
        <f>IFERROR(__xludf.DUMMYFUNCTION("GOOGLETRANSLATE(E2831,""fr"",""it"")"),"Non mi piacciono i gioielli, preferisco le gonne.")</f>
        <v>Non mi piacciono i gioielli, preferisco le gonne.</v>
      </c>
    </row>
    <row r="2832">
      <c r="A2832" s="4">
        <v>2830.0</v>
      </c>
      <c r="B2832" s="5" t="s">
        <v>8497</v>
      </c>
      <c r="C2832" s="4">
        <v>1.0</v>
      </c>
      <c r="D2832" s="5" t="s">
        <v>8498</v>
      </c>
      <c r="E2832" s="5" t="s">
        <v>8499</v>
      </c>
      <c r="F2832" s="6" t="str">
        <f>IFERROR(__xludf.DUMMYFUNCTION("GOOGLETRANSLATE(D2832,""en"",""it"")"),"Non mi piacciono le gonne, preferisco gli occhiali.")</f>
        <v>Non mi piacciono le gonne, preferisco gli occhiali.</v>
      </c>
      <c r="G2832" s="6" t="str">
        <f>IFERROR(__xludf.DUMMYFUNCTION("GOOGLETRANSLATE(E2832,""fr"",""it"")"),"Non mi piacciono le gonne, preferisco gli occhiali.")</f>
        <v>Non mi piacciono le gonne, preferisco gli occhiali.</v>
      </c>
    </row>
    <row r="2833">
      <c r="A2833" s="4">
        <v>2831.0</v>
      </c>
      <c r="B2833" s="5" t="s">
        <v>8500</v>
      </c>
      <c r="C2833" s="4">
        <v>1.0</v>
      </c>
      <c r="D2833" s="5" t="s">
        <v>8501</v>
      </c>
      <c r="E2833" s="5" t="s">
        <v>8502</v>
      </c>
      <c r="F2833" s="6" t="str">
        <f>IFERROR(__xludf.DUMMYFUNCTION("GOOGLETRANSLATE(D2833,""en"",""it"")"),"Non mi piacciono gli occhiali, preferisco le gonne.")</f>
        <v>Non mi piacciono gli occhiali, preferisco le gonne.</v>
      </c>
      <c r="G2833" s="6" t="str">
        <f>IFERROR(__xludf.DUMMYFUNCTION("GOOGLETRANSLATE(E2833,""fr"",""it"")"),"Non mi piacciono gli occhiali, preferisco le gonne.")</f>
        <v>Non mi piacciono gli occhiali, preferisco le gonne.</v>
      </c>
    </row>
    <row r="2834">
      <c r="A2834" s="4">
        <v>2832.0</v>
      </c>
      <c r="B2834" s="5" t="s">
        <v>8503</v>
      </c>
      <c r="C2834" s="4">
        <v>1.0</v>
      </c>
      <c r="D2834" s="5" t="s">
        <v>8504</v>
      </c>
      <c r="E2834" s="5" t="s">
        <v>8505</v>
      </c>
      <c r="F2834" s="6" t="str">
        <f>IFERROR(__xludf.DUMMYFUNCTION("GOOGLETRANSLATE(D2834,""en"",""it"")"),"Non mi piacciono le gonne, preferisco gli orecchini.")</f>
        <v>Non mi piacciono le gonne, preferisco gli orecchini.</v>
      </c>
      <c r="G2834" s="6" t="str">
        <f>IFERROR(__xludf.DUMMYFUNCTION("GOOGLETRANSLATE(E2834,""fr"",""it"")"),"Non mi piacciono le gonne, preferisco gli orecchini.")</f>
        <v>Non mi piacciono le gonne, preferisco gli orecchini.</v>
      </c>
    </row>
    <row r="2835">
      <c r="A2835" s="4">
        <v>2833.0</v>
      </c>
      <c r="B2835" s="5" t="s">
        <v>8506</v>
      </c>
      <c r="C2835" s="4">
        <v>1.0</v>
      </c>
      <c r="D2835" s="5" t="s">
        <v>8507</v>
      </c>
      <c r="E2835" s="5" t="s">
        <v>8508</v>
      </c>
      <c r="F2835" s="6" t="str">
        <f>IFERROR(__xludf.DUMMYFUNCTION("GOOGLETRANSLATE(D2835,""en"",""it"")"),"Non mi piacciono gli orecchini, preferisco le gonne.")</f>
        <v>Non mi piacciono gli orecchini, preferisco le gonne.</v>
      </c>
      <c r="G2835" s="6" t="str">
        <f>IFERROR(__xludf.DUMMYFUNCTION("GOOGLETRANSLATE(E2835,""fr"",""it"")"),"Non mi piacciono gli orecchini, preferisco le gonne.")</f>
        <v>Non mi piacciono gli orecchini, preferisco le gonne.</v>
      </c>
    </row>
    <row r="2836">
      <c r="A2836" s="4">
        <v>2834.0</v>
      </c>
      <c r="B2836" s="5" t="s">
        <v>8509</v>
      </c>
      <c r="C2836" s="4">
        <v>1.0</v>
      </c>
      <c r="D2836" s="5" t="s">
        <v>8510</v>
      </c>
      <c r="E2836" s="5" t="s">
        <v>8511</v>
      </c>
      <c r="F2836" s="6" t="str">
        <f>IFERROR(__xludf.DUMMYFUNCTION("GOOGLETRANSLATE(D2836,""en"",""it"")"),"Non mi piacciono le querce, preferisco l'erba.")</f>
        <v>Non mi piacciono le querce, preferisco l'erba.</v>
      </c>
      <c r="G2836" s="6" t="str">
        <f>IFERROR(__xludf.DUMMYFUNCTION("GOOGLETRANSLATE(E2836,""fr"",""it"")"),"Non mi piacciono le querce, preferisco il prato.")</f>
        <v>Non mi piacciono le querce, preferisco il prato.</v>
      </c>
    </row>
    <row r="2837">
      <c r="A2837" s="4">
        <v>2835.0</v>
      </c>
      <c r="B2837" s="5" t="s">
        <v>8512</v>
      </c>
      <c r="C2837" s="4">
        <v>1.0</v>
      </c>
      <c r="D2837" s="5" t="s">
        <v>8513</v>
      </c>
      <c r="E2837" s="5" t="s">
        <v>8514</v>
      </c>
      <c r="F2837" s="6" t="str">
        <f>IFERROR(__xludf.DUMMYFUNCTION("GOOGLETRANSLATE(D2837,""en"",""it"")"),"Non mi piace l'erba, preferisco le querce.")</f>
        <v>Non mi piace l'erba, preferisco le querce.</v>
      </c>
      <c r="G2837" s="6" t="str">
        <f>IFERROR(__xludf.DUMMYFUNCTION("GOOGLETRANSLATE(E2837,""fr"",""it"")"),"Non mi piace il prato, preferisco le querce.")</f>
        <v>Non mi piace il prato, preferisco le querce.</v>
      </c>
    </row>
    <row r="2838">
      <c r="A2838" s="4">
        <v>2836.0</v>
      </c>
      <c r="B2838" s="5" t="s">
        <v>8515</v>
      </c>
      <c r="C2838" s="4">
        <v>0.0</v>
      </c>
      <c r="D2838" s="5" t="s">
        <v>8516</v>
      </c>
      <c r="E2838" s="5" t="s">
        <v>8517</v>
      </c>
      <c r="F2838" s="6" t="str">
        <f>IFERROR(__xludf.DUMMYFUNCTION("GOOGLETRANSLATE(D2838,""en"",""it"")"),"Non mi piacciono le querce, preferisco gli alberi.")</f>
        <v>Non mi piacciono le querce, preferisco gli alberi.</v>
      </c>
      <c r="G2838" s="6" t="str">
        <f>IFERROR(__xludf.DUMMYFUNCTION("GOOGLETRANSLATE(E2838,""fr"",""it"")"),"Non mi piacciono le querce, preferisco gli alberi.")</f>
        <v>Non mi piacciono le querce, preferisco gli alberi.</v>
      </c>
    </row>
    <row r="2839">
      <c r="A2839" s="4">
        <v>2837.0</v>
      </c>
      <c r="B2839" s="5" t="s">
        <v>8518</v>
      </c>
      <c r="C2839" s="4">
        <v>0.0</v>
      </c>
      <c r="D2839" s="5" t="s">
        <v>8519</v>
      </c>
      <c r="E2839" s="5" t="s">
        <v>8520</v>
      </c>
      <c r="F2839" s="6" t="str">
        <f>IFERROR(__xludf.DUMMYFUNCTION("GOOGLETRANSLATE(D2839,""en"",""it"")"),"Non mi piacciono gli alberi, preferisco le querce.")</f>
        <v>Non mi piacciono gli alberi, preferisco le querce.</v>
      </c>
      <c r="G2839" s="6" t="str">
        <f>IFERROR(__xludf.DUMMYFUNCTION("GOOGLETRANSLATE(E2839,""fr"",""it"")"),"Non mi piacciono gli alberi, preferisco le querce.")</f>
        <v>Non mi piacciono gli alberi, preferisco le querce.</v>
      </c>
    </row>
    <row r="2840">
      <c r="A2840" s="4">
        <v>2838.0</v>
      </c>
      <c r="B2840" s="5" t="s">
        <v>8521</v>
      </c>
      <c r="C2840" s="4">
        <v>1.0</v>
      </c>
      <c r="D2840" s="5" t="s">
        <v>8522</v>
      </c>
      <c r="E2840" s="5" t="s">
        <v>8523</v>
      </c>
      <c r="F2840" s="6" t="str">
        <f>IFERROR(__xludf.DUMMYFUNCTION("GOOGLETRANSLATE(D2840,""en"",""it"")"),"Non mi piacciono gli alberi, preferisco l'erba.")</f>
        <v>Non mi piacciono gli alberi, preferisco l'erba.</v>
      </c>
      <c r="G2840" s="6" t="str">
        <f>IFERROR(__xludf.DUMMYFUNCTION("GOOGLETRANSLATE(E2840,""fr"",""it"")"),"Non mi piacciono gli alberi, preferisco il prato.")</f>
        <v>Non mi piacciono gli alberi, preferisco il prato.</v>
      </c>
    </row>
    <row r="2841">
      <c r="A2841" s="4">
        <v>2839.0</v>
      </c>
      <c r="B2841" s="5" t="s">
        <v>8524</v>
      </c>
      <c r="C2841" s="4">
        <v>1.0</v>
      </c>
      <c r="D2841" s="5" t="s">
        <v>8525</v>
      </c>
      <c r="E2841" s="5" t="s">
        <v>8526</v>
      </c>
      <c r="F2841" s="6" t="str">
        <f>IFERROR(__xludf.DUMMYFUNCTION("GOOGLETRANSLATE(D2841,""en"",""it"")"),"Non mi piacciono le querce, preferisco gli animali.")</f>
        <v>Non mi piacciono le querce, preferisco gli animali.</v>
      </c>
      <c r="G2841" s="6" t="str">
        <f>IFERROR(__xludf.DUMMYFUNCTION("GOOGLETRANSLATE(E2841,""fr"",""it"")"),"Non mi piacciono le querce, preferisco gli animali.")</f>
        <v>Non mi piacciono le querce, preferisco gli animali.</v>
      </c>
    </row>
    <row r="2842">
      <c r="A2842" s="4">
        <v>2840.0</v>
      </c>
      <c r="B2842" s="5" t="s">
        <v>8527</v>
      </c>
      <c r="C2842" s="4">
        <v>1.0</v>
      </c>
      <c r="D2842" s="5" t="s">
        <v>8528</v>
      </c>
      <c r="E2842" s="5" t="s">
        <v>8529</v>
      </c>
      <c r="F2842" s="6" t="str">
        <f>IFERROR(__xludf.DUMMYFUNCTION("GOOGLETRANSLATE(D2842,""en"",""it"")"),"Non mi piacciono gli animali, preferisco le querce.")</f>
        <v>Non mi piacciono gli animali, preferisco le querce.</v>
      </c>
      <c r="G2842" s="6" t="str">
        <f>IFERROR(__xludf.DUMMYFUNCTION("GOOGLETRANSLATE(E2842,""fr"",""it"")"),"Non mi piacciono gli animali, preferisco le querce.")</f>
        <v>Non mi piacciono gli animali, preferisco le querce.</v>
      </c>
    </row>
    <row r="2843">
      <c r="A2843" s="4">
        <v>2841.0</v>
      </c>
      <c r="B2843" s="5" t="s">
        <v>8530</v>
      </c>
      <c r="C2843" s="4">
        <v>1.0</v>
      </c>
      <c r="D2843" s="5" t="s">
        <v>8531</v>
      </c>
      <c r="E2843" s="5" t="s">
        <v>8532</v>
      </c>
      <c r="F2843" s="6" t="str">
        <f>IFERROR(__xludf.DUMMYFUNCTION("GOOGLETRANSLATE(D2843,""en"",""it"")"),"Non mi piacciono gli alberi, preferisco gli animali.")</f>
        <v>Non mi piacciono gli alberi, preferisco gli animali.</v>
      </c>
      <c r="G2843" s="6" t="str">
        <f>IFERROR(__xludf.DUMMYFUNCTION("GOOGLETRANSLATE(E2843,""fr"",""it"")"),"Non mi piacciono gli alberi, preferisco gli animali.")</f>
        <v>Non mi piacciono gli alberi, preferisco gli animali.</v>
      </c>
    </row>
    <row r="2844">
      <c r="A2844" s="4">
        <v>2842.0</v>
      </c>
      <c r="B2844" s="5" t="s">
        <v>8533</v>
      </c>
      <c r="C2844" s="4">
        <v>1.0</v>
      </c>
      <c r="D2844" s="5" t="s">
        <v>8534</v>
      </c>
      <c r="E2844" s="5" t="s">
        <v>8535</v>
      </c>
      <c r="F2844" s="6" t="str">
        <f>IFERROR(__xludf.DUMMYFUNCTION("GOOGLETRANSLATE(D2844,""en"",""it"")"),"Non mi piacciono le querce, preferisco i cespugli.")</f>
        <v>Non mi piacciono le querce, preferisco i cespugli.</v>
      </c>
      <c r="G2844" s="6" t="str">
        <f>IFERROR(__xludf.DUMMYFUNCTION("GOOGLETRANSLATE(E2844,""fr"",""it"")"),"Non mi piacciono le querce, preferisco i cespugli.")</f>
        <v>Non mi piacciono le querce, preferisco i cespugli.</v>
      </c>
    </row>
    <row r="2845">
      <c r="A2845" s="4">
        <v>2843.0</v>
      </c>
      <c r="B2845" s="5" t="s">
        <v>8536</v>
      </c>
      <c r="C2845" s="4">
        <v>1.0</v>
      </c>
      <c r="D2845" s="5" t="s">
        <v>8537</v>
      </c>
      <c r="E2845" s="5" t="s">
        <v>8538</v>
      </c>
      <c r="F2845" s="6" t="str">
        <f>IFERROR(__xludf.DUMMYFUNCTION("GOOGLETRANSLATE(D2845,""en"",""it"")"),"Non mi piacciono i cespugli, preferisco le querce.")</f>
        <v>Non mi piacciono i cespugli, preferisco le querce.</v>
      </c>
      <c r="G2845" s="6" t="str">
        <f>IFERROR(__xludf.DUMMYFUNCTION("GOOGLETRANSLATE(E2845,""fr"",""it"")"),"Non mi piacciono i cespugli, preferisco le querce.")</f>
        <v>Non mi piacciono i cespugli, preferisco le querce.</v>
      </c>
    </row>
    <row r="2846">
      <c r="A2846" s="4">
        <v>2844.0</v>
      </c>
      <c r="B2846" s="5" t="s">
        <v>8539</v>
      </c>
      <c r="C2846" s="4">
        <v>1.0</v>
      </c>
      <c r="D2846" s="5" t="s">
        <v>8540</v>
      </c>
      <c r="E2846" s="5" t="s">
        <v>8541</v>
      </c>
      <c r="F2846" s="6" t="str">
        <f>IFERROR(__xludf.DUMMYFUNCTION("GOOGLETRANSLATE(D2846,""en"",""it"")"),"Non mi piacciono gli alberi, preferisco i cespugli.")</f>
        <v>Non mi piacciono gli alberi, preferisco i cespugli.</v>
      </c>
      <c r="G2846" s="6" t="str">
        <f>IFERROR(__xludf.DUMMYFUNCTION("GOOGLETRANSLATE(E2846,""fr"",""it"")"),"Non mi piacciono gli alberi, preferisco i cespugli.")</f>
        <v>Non mi piacciono gli alberi, preferisco i cespugli.</v>
      </c>
    </row>
    <row r="2847">
      <c r="A2847" s="4">
        <v>2845.0</v>
      </c>
      <c r="B2847" s="5" t="s">
        <v>8542</v>
      </c>
      <c r="C2847" s="4">
        <v>1.0</v>
      </c>
      <c r="D2847" s="5" t="s">
        <v>8543</v>
      </c>
      <c r="E2847" s="5" t="s">
        <v>8544</v>
      </c>
      <c r="F2847" s="6" t="str">
        <f>IFERROR(__xludf.DUMMYFUNCTION("GOOGLETRANSLATE(D2847,""en"",""it"")"),"Non mi piacciono le querce, preferisco gli arbusti.")</f>
        <v>Non mi piacciono le querce, preferisco gli arbusti.</v>
      </c>
      <c r="G2847" s="6" t="str">
        <f>IFERROR(__xludf.DUMMYFUNCTION("GOOGLETRANSLATE(E2847,""fr"",""it"")"),"Non mi piacciono le querce, preferisco gli arbusti.")</f>
        <v>Non mi piacciono le querce, preferisco gli arbusti.</v>
      </c>
    </row>
    <row r="2848">
      <c r="A2848" s="4">
        <v>2846.0</v>
      </c>
      <c r="B2848" s="5" t="s">
        <v>8545</v>
      </c>
      <c r="C2848" s="4">
        <v>1.0</v>
      </c>
      <c r="D2848" s="5" t="s">
        <v>8546</v>
      </c>
      <c r="E2848" s="5" t="s">
        <v>8547</v>
      </c>
      <c r="F2848" s="6" t="str">
        <f>IFERROR(__xludf.DUMMYFUNCTION("GOOGLETRANSLATE(D2848,""en"",""it"")"),"Non mi piacciono gli arbusti, preferisco le querce.")</f>
        <v>Non mi piacciono gli arbusti, preferisco le querce.</v>
      </c>
      <c r="G2848" s="6" t="str">
        <f>IFERROR(__xludf.DUMMYFUNCTION("GOOGLETRANSLATE(E2848,""fr"",""it"")"),"Non mi piacciono gli arbusti, preferisco le querce.")</f>
        <v>Non mi piacciono gli arbusti, preferisco le querce.</v>
      </c>
    </row>
    <row r="2849">
      <c r="A2849" s="4">
        <v>2847.0</v>
      </c>
      <c r="B2849" s="5" t="s">
        <v>8548</v>
      </c>
      <c r="C2849" s="4">
        <v>1.0</v>
      </c>
      <c r="D2849" s="5" t="s">
        <v>8549</v>
      </c>
      <c r="E2849" s="5" t="s">
        <v>8550</v>
      </c>
      <c r="F2849" s="6" t="str">
        <f>IFERROR(__xludf.DUMMYFUNCTION("GOOGLETRANSLATE(D2849,""en"",""it"")"),"Non mi piacciono gli alberi, preferisco gli arbusti.")</f>
        <v>Non mi piacciono gli alberi, preferisco gli arbusti.</v>
      </c>
      <c r="G2849" s="6" t="str">
        <f>IFERROR(__xludf.DUMMYFUNCTION("GOOGLETRANSLATE(E2849,""fr"",""it"")"),"Non mi piacciono gli alberi, preferisco gli arbusti.")</f>
        <v>Non mi piacciono gli alberi, preferisco gli arbusti.</v>
      </c>
    </row>
    <row r="2850">
      <c r="A2850" s="4">
        <v>2848.0</v>
      </c>
      <c r="B2850" s="5" t="s">
        <v>8551</v>
      </c>
      <c r="C2850" s="4">
        <v>1.0</v>
      </c>
      <c r="D2850" s="5" t="s">
        <v>8552</v>
      </c>
      <c r="E2850" s="5" t="s">
        <v>8553</v>
      </c>
      <c r="F2850" s="6" t="str">
        <f>IFERROR(__xludf.DUMMYFUNCTION("GOOGLETRANSLATE(D2850,""en"",""it"")"),"Non mi piacciono le betulle, preferisco l'erba.")</f>
        <v>Non mi piacciono le betulle, preferisco l'erba.</v>
      </c>
      <c r="G2850" s="6" t="str">
        <f>IFERROR(__xludf.DUMMYFUNCTION("GOOGLETRANSLATE(E2850,""fr"",""it"")"),"Non mi piace Birch, preferisco il prato.")</f>
        <v>Non mi piace Birch, preferisco il prato.</v>
      </c>
    </row>
    <row r="2851">
      <c r="A2851" s="4">
        <v>2849.0</v>
      </c>
      <c r="B2851" s="5" t="s">
        <v>8554</v>
      </c>
      <c r="C2851" s="4">
        <v>1.0</v>
      </c>
      <c r="D2851" s="5" t="s">
        <v>8555</v>
      </c>
      <c r="E2851" s="5" t="s">
        <v>8556</v>
      </c>
      <c r="F2851" s="6" t="str">
        <f>IFERROR(__xludf.DUMMYFUNCTION("GOOGLETRANSLATE(D2851,""en"",""it"")"),"Non mi piace l'erba, preferisco betulle.")</f>
        <v>Non mi piace l'erba, preferisco betulle.</v>
      </c>
      <c r="G2851" s="6" t="str">
        <f>IFERROR(__xludf.DUMMYFUNCTION("GOOGLETRANSLATE(E2851,""fr"",""it"")"),"Non mi piace il prato, preferisco le betulle.")</f>
        <v>Non mi piace il prato, preferisco le betulle.</v>
      </c>
    </row>
    <row r="2852">
      <c r="A2852" s="4">
        <v>2850.0</v>
      </c>
      <c r="B2852" s="5" t="s">
        <v>8557</v>
      </c>
      <c r="C2852" s="4">
        <v>0.0</v>
      </c>
      <c r="D2852" s="5" t="s">
        <v>8558</v>
      </c>
      <c r="E2852" s="5" t="s">
        <v>8559</v>
      </c>
      <c r="F2852" s="6" t="str">
        <f>IFERROR(__xludf.DUMMYFUNCTION("GOOGLETRANSLATE(D2852,""en"",""it"")"),"Non mi piacciono le betulle, preferisco gli alberi.")</f>
        <v>Non mi piacciono le betulle, preferisco gli alberi.</v>
      </c>
      <c r="G2852" s="6" t="str">
        <f>IFERROR(__xludf.DUMMYFUNCTION("GOOGLETRANSLATE(E2852,""fr"",""it"")"),"Non mi piace Birch, preferisco gli alberi.")</f>
        <v>Non mi piace Birch, preferisco gli alberi.</v>
      </c>
    </row>
    <row r="2853">
      <c r="A2853" s="4">
        <v>2851.0</v>
      </c>
      <c r="B2853" s="5" t="s">
        <v>8560</v>
      </c>
      <c r="C2853" s="4">
        <v>0.0</v>
      </c>
      <c r="D2853" s="5" t="s">
        <v>8561</v>
      </c>
      <c r="E2853" s="5" t="s">
        <v>8562</v>
      </c>
      <c r="F2853" s="6" t="str">
        <f>IFERROR(__xludf.DUMMYFUNCTION("GOOGLETRANSLATE(D2853,""en"",""it"")"),"Non mi piacciono gli alberi, preferisco betulle.")</f>
        <v>Non mi piacciono gli alberi, preferisco betulle.</v>
      </c>
      <c r="G2853" s="6" t="str">
        <f>IFERROR(__xludf.DUMMYFUNCTION("GOOGLETRANSLATE(E2853,""fr"",""it"")"),"Non mi piacciono gli alberi, preferisco beille.")</f>
        <v>Non mi piacciono gli alberi, preferisco beille.</v>
      </c>
    </row>
    <row r="2854">
      <c r="A2854" s="4">
        <v>2852.0</v>
      </c>
      <c r="B2854" s="5" t="s">
        <v>8563</v>
      </c>
      <c r="C2854" s="4">
        <v>1.0</v>
      </c>
      <c r="D2854" s="5" t="s">
        <v>8564</v>
      </c>
      <c r="E2854" s="5" t="s">
        <v>8565</v>
      </c>
      <c r="F2854" s="6" t="str">
        <f>IFERROR(__xludf.DUMMYFUNCTION("GOOGLETRANSLATE(D2854,""en"",""it"")"),"Non mi piacciono le betulle, preferisco gli animali.")</f>
        <v>Non mi piacciono le betulle, preferisco gli animali.</v>
      </c>
      <c r="G2854" s="6" t="str">
        <f>IFERROR(__xludf.DUMMYFUNCTION("GOOGLETRANSLATE(E2854,""fr"",""it"")"),"Non mi piace Birch, preferisco gli animali.")</f>
        <v>Non mi piace Birch, preferisco gli animali.</v>
      </c>
    </row>
    <row r="2855">
      <c r="A2855" s="4">
        <v>2853.0</v>
      </c>
      <c r="B2855" s="5" t="s">
        <v>8566</v>
      </c>
      <c r="C2855" s="4">
        <v>1.0</v>
      </c>
      <c r="D2855" s="5" t="s">
        <v>8567</v>
      </c>
      <c r="E2855" s="5" t="s">
        <v>8568</v>
      </c>
      <c r="F2855" s="6" t="str">
        <f>IFERROR(__xludf.DUMMYFUNCTION("GOOGLETRANSLATE(D2855,""en"",""it"")"),"Non mi piacciono gli animali, preferisco betulle.")</f>
        <v>Non mi piacciono gli animali, preferisco betulle.</v>
      </c>
      <c r="G2855" s="6" t="str">
        <f>IFERROR(__xludf.DUMMYFUNCTION("GOOGLETRANSLATE(E2855,""fr"",""it"")"),"Non mi piacciono gli animali, preferisco la betulla.")</f>
        <v>Non mi piacciono gli animali, preferisco la betulla.</v>
      </c>
    </row>
    <row r="2856">
      <c r="A2856" s="4">
        <v>2854.0</v>
      </c>
      <c r="B2856" s="5" t="s">
        <v>8569</v>
      </c>
      <c r="C2856" s="4">
        <v>1.0</v>
      </c>
      <c r="D2856" s="5" t="s">
        <v>8570</v>
      </c>
      <c r="E2856" s="5" t="s">
        <v>8571</v>
      </c>
      <c r="F2856" s="6" t="str">
        <f>IFERROR(__xludf.DUMMYFUNCTION("GOOGLETRANSLATE(D2856,""en"",""it"")"),"Non mi piacciono le betulle, preferisco i cespugli.")</f>
        <v>Non mi piacciono le betulle, preferisco i cespugli.</v>
      </c>
      <c r="G2856" s="6" t="str">
        <f>IFERROR(__xludf.DUMMYFUNCTION("GOOGLETRANSLATE(E2856,""fr"",""it"")"),"Non mi piace Birch, preferisco i cespugli.")</f>
        <v>Non mi piace Birch, preferisco i cespugli.</v>
      </c>
    </row>
    <row r="2857">
      <c r="A2857" s="4">
        <v>2855.0</v>
      </c>
      <c r="B2857" s="5" t="s">
        <v>8572</v>
      </c>
      <c r="C2857" s="4">
        <v>1.0</v>
      </c>
      <c r="D2857" s="5" t="s">
        <v>8573</v>
      </c>
      <c r="E2857" s="5" t="s">
        <v>8574</v>
      </c>
      <c r="F2857" s="6" t="str">
        <f>IFERROR(__xludf.DUMMYFUNCTION("GOOGLETRANSLATE(D2857,""en"",""it"")"),"Non mi piacciono i cespugli, preferisco betulle.")</f>
        <v>Non mi piacciono i cespugli, preferisco betulle.</v>
      </c>
      <c r="G2857" s="6" t="str">
        <f>IFERROR(__xludf.DUMMYFUNCTION("GOOGLETRANSLATE(E2857,""fr"",""it"")"),"Non mi piacciono i cespugli, preferisco beille.")</f>
        <v>Non mi piacciono i cespugli, preferisco beille.</v>
      </c>
    </row>
    <row r="2858">
      <c r="A2858" s="4">
        <v>2856.0</v>
      </c>
      <c r="B2858" s="5" t="s">
        <v>8575</v>
      </c>
      <c r="C2858" s="4">
        <v>1.0</v>
      </c>
      <c r="D2858" s="5" t="s">
        <v>8576</v>
      </c>
      <c r="E2858" s="5" t="s">
        <v>8577</v>
      </c>
      <c r="F2858" s="6" t="str">
        <f>IFERROR(__xludf.DUMMYFUNCTION("GOOGLETRANSLATE(D2858,""en"",""it"")"),"Non mi piacciono le betulle, preferisco gli arbusti.")</f>
        <v>Non mi piacciono le betulle, preferisco gli arbusti.</v>
      </c>
      <c r="G2858" s="6" t="str">
        <f>IFERROR(__xludf.DUMMYFUNCTION("GOOGLETRANSLATE(E2858,""fr"",""it"")"),"Non mi piace Birch, preferisco gli arbusti.")</f>
        <v>Non mi piace Birch, preferisco gli arbusti.</v>
      </c>
    </row>
    <row r="2859">
      <c r="A2859" s="4">
        <v>2857.0</v>
      </c>
      <c r="B2859" s="5" t="s">
        <v>8578</v>
      </c>
      <c r="C2859" s="4">
        <v>1.0</v>
      </c>
      <c r="D2859" s="5" t="s">
        <v>8579</v>
      </c>
      <c r="E2859" s="5" t="s">
        <v>8580</v>
      </c>
      <c r="F2859" s="6" t="str">
        <f>IFERROR(__xludf.DUMMYFUNCTION("GOOGLETRANSLATE(D2859,""en"",""it"")"),"Non mi piacciono gli arbusti, preferisco betulle.")</f>
        <v>Non mi piacciono gli arbusti, preferisco betulle.</v>
      </c>
      <c r="G2859" s="6" t="str">
        <f>IFERROR(__xludf.DUMMYFUNCTION("GOOGLETRANSLATE(E2859,""fr"",""it"")"),"Non mi piacciono gli arbusti, preferisco le betulle.")</f>
        <v>Non mi piacciono gli arbusti, preferisco le betulle.</v>
      </c>
    </row>
    <row r="2860">
      <c r="A2860" s="4">
        <v>2858.0</v>
      </c>
      <c r="B2860" s="5" t="s">
        <v>8581</v>
      </c>
      <c r="C2860" s="4">
        <v>1.0</v>
      </c>
      <c r="D2860" s="5" t="s">
        <v>8582</v>
      </c>
      <c r="E2860" s="5" t="s">
        <v>8583</v>
      </c>
      <c r="F2860" s="6" t="str">
        <f>IFERROR(__xludf.DUMMYFUNCTION("GOOGLETRANSLATE(D2860,""en"",""it"")"),"Non mi piacciono gli abeti, preferisco l'erba.")</f>
        <v>Non mi piacciono gli abeti, preferisco l'erba.</v>
      </c>
      <c r="G2860" s="6" t="str">
        <f>IFERROR(__xludf.DUMMYFUNCTION("GOOGLETRANSLATE(E2860,""fr"",""it"")"),"Non mi piacciono gli abeti, preferisco il prato.")</f>
        <v>Non mi piacciono gli abeti, preferisco il prato.</v>
      </c>
    </row>
    <row r="2861">
      <c r="A2861" s="4">
        <v>2859.0</v>
      </c>
      <c r="B2861" s="5" t="s">
        <v>8584</v>
      </c>
      <c r="C2861" s="4">
        <v>1.0</v>
      </c>
      <c r="D2861" s="5" t="s">
        <v>8585</v>
      </c>
      <c r="E2861" s="5" t="s">
        <v>8586</v>
      </c>
      <c r="F2861" s="6" t="str">
        <f>IFERROR(__xludf.DUMMYFUNCTION("GOOGLETRANSLATE(D2861,""en"",""it"")"),"Non mi piace l'erba, preferisco gli abeti.")</f>
        <v>Non mi piace l'erba, preferisco gli abeti.</v>
      </c>
      <c r="G2861" s="6" t="str">
        <f>IFERROR(__xludf.DUMMYFUNCTION("GOOGLETRANSLATE(E2861,""fr"",""it"")"),"Non mi piace il prato, preferisco gli abeti.")</f>
        <v>Non mi piace il prato, preferisco gli abeti.</v>
      </c>
    </row>
    <row r="2862">
      <c r="A2862" s="4">
        <v>2860.0</v>
      </c>
      <c r="B2862" s="5" t="s">
        <v>8587</v>
      </c>
      <c r="C2862" s="4">
        <v>0.0</v>
      </c>
      <c r="D2862" s="5" t="s">
        <v>8588</v>
      </c>
      <c r="E2862" s="5" t="s">
        <v>8589</v>
      </c>
      <c r="F2862" s="6" t="str">
        <f>IFERROR(__xludf.DUMMYFUNCTION("GOOGLETRANSLATE(D2862,""en"",""it"")"),"Non mi piacciono gli abeti, preferisco gli alberi.")</f>
        <v>Non mi piacciono gli abeti, preferisco gli alberi.</v>
      </c>
      <c r="G2862" s="6" t="str">
        <f>IFERROR(__xludf.DUMMYFUNCTION("GOOGLETRANSLATE(E2862,""fr"",""it"")"),"Non mi piacciono gli abeti, preferisco gli alberi.")</f>
        <v>Non mi piacciono gli abeti, preferisco gli alberi.</v>
      </c>
    </row>
    <row r="2863">
      <c r="A2863" s="4">
        <v>2861.0</v>
      </c>
      <c r="B2863" s="5" t="s">
        <v>8590</v>
      </c>
      <c r="C2863" s="4">
        <v>0.0</v>
      </c>
      <c r="D2863" s="5" t="s">
        <v>8591</v>
      </c>
      <c r="E2863" s="5" t="s">
        <v>8592</v>
      </c>
      <c r="F2863" s="6" t="str">
        <f>IFERROR(__xludf.DUMMYFUNCTION("GOOGLETRANSLATE(D2863,""en"",""it"")"),"Non mi piacciono gli alberi, preferisco gli abeti.")</f>
        <v>Non mi piacciono gli alberi, preferisco gli abeti.</v>
      </c>
      <c r="G2863" s="6" t="str">
        <f>IFERROR(__xludf.DUMMYFUNCTION("GOOGLETRANSLATE(E2863,""fr"",""it"")"),"Non mi piacciono gli alberi, preferisco gli abeti.")</f>
        <v>Non mi piacciono gli alberi, preferisco gli abeti.</v>
      </c>
    </row>
    <row r="2864">
      <c r="A2864" s="4">
        <v>2862.0</v>
      </c>
      <c r="B2864" s="5" t="s">
        <v>8593</v>
      </c>
      <c r="C2864" s="4">
        <v>1.0</v>
      </c>
      <c r="D2864" s="5" t="s">
        <v>8594</v>
      </c>
      <c r="E2864" s="5" t="s">
        <v>8595</v>
      </c>
      <c r="F2864" s="6" t="str">
        <f>IFERROR(__xludf.DUMMYFUNCTION("GOOGLETRANSLATE(D2864,""en"",""it"")"),"Non mi piacciono gli abeti, preferisco gli animali.")</f>
        <v>Non mi piacciono gli abeti, preferisco gli animali.</v>
      </c>
      <c r="G2864" s="6" t="str">
        <f>IFERROR(__xludf.DUMMYFUNCTION("GOOGLETRANSLATE(E2864,""fr"",""it"")"),"Non mi piace l'abete, preferisco gli animali.")</f>
        <v>Non mi piace l'abete, preferisco gli animali.</v>
      </c>
    </row>
    <row r="2865">
      <c r="A2865" s="4">
        <v>2863.0</v>
      </c>
      <c r="B2865" s="5" t="s">
        <v>8596</v>
      </c>
      <c r="C2865" s="4">
        <v>1.0</v>
      </c>
      <c r="D2865" s="5" t="s">
        <v>8597</v>
      </c>
      <c r="E2865" s="5" t="s">
        <v>8598</v>
      </c>
      <c r="F2865" s="6" t="str">
        <f>IFERROR(__xludf.DUMMYFUNCTION("GOOGLETRANSLATE(D2865,""en"",""it"")"),"Non mi piacciono gli animali, preferisco gli abeti.")</f>
        <v>Non mi piacciono gli animali, preferisco gli abeti.</v>
      </c>
      <c r="G2865" s="6" t="str">
        <f>IFERROR(__xludf.DUMMYFUNCTION("GOOGLETRANSLATE(E2865,""fr"",""it"")"),"Non mi piacciono gli animali, preferisco gli abeti.")</f>
        <v>Non mi piacciono gli animali, preferisco gli abeti.</v>
      </c>
    </row>
    <row r="2866">
      <c r="A2866" s="4">
        <v>2864.0</v>
      </c>
      <c r="B2866" s="5" t="s">
        <v>8599</v>
      </c>
      <c r="C2866" s="4">
        <v>1.0</v>
      </c>
      <c r="D2866" s="5" t="s">
        <v>8600</v>
      </c>
      <c r="E2866" s="5" t="s">
        <v>8601</v>
      </c>
      <c r="F2866" s="6" t="str">
        <f>IFERROR(__xludf.DUMMYFUNCTION("GOOGLETRANSLATE(D2866,""en"",""it"")"),"Non mi piacciono gli abeti, preferisco i cespugli.")</f>
        <v>Non mi piacciono gli abeti, preferisco i cespugli.</v>
      </c>
      <c r="G2866" s="6" t="str">
        <f>IFERROR(__xludf.DUMMYFUNCTION("GOOGLETRANSLATE(E2866,""fr"",""it"")"),"Non mi piacciono gli abeti, preferisco i cespugli.")</f>
        <v>Non mi piacciono gli abeti, preferisco i cespugli.</v>
      </c>
    </row>
    <row r="2867">
      <c r="A2867" s="4">
        <v>2865.0</v>
      </c>
      <c r="B2867" s="5" t="s">
        <v>8602</v>
      </c>
      <c r="C2867" s="4">
        <v>1.0</v>
      </c>
      <c r="D2867" s="5" t="s">
        <v>8603</v>
      </c>
      <c r="E2867" s="5" t="s">
        <v>8604</v>
      </c>
      <c r="F2867" s="6" t="str">
        <f>IFERROR(__xludf.DUMMYFUNCTION("GOOGLETRANSLATE(D2867,""en"",""it"")"),"Non mi piacciono i cespugli, preferisco gli abeti.")</f>
        <v>Non mi piacciono i cespugli, preferisco gli abeti.</v>
      </c>
      <c r="G2867" s="6" t="str">
        <f>IFERROR(__xludf.DUMMYFUNCTION("GOOGLETRANSLATE(E2867,""fr"",""it"")"),"Non mi piacciono i cespugli, preferisco gli abeti.")</f>
        <v>Non mi piacciono i cespugli, preferisco gli abeti.</v>
      </c>
    </row>
    <row r="2868">
      <c r="A2868" s="4">
        <v>2866.0</v>
      </c>
      <c r="B2868" s="5" t="s">
        <v>8605</v>
      </c>
      <c r="C2868" s="4">
        <v>1.0</v>
      </c>
      <c r="D2868" s="5" t="s">
        <v>8606</v>
      </c>
      <c r="E2868" s="5" t="s">
        <v>8607</v>
      </c>
      <c r="F2868" s="6" t="str">
        <f>IFERROR(__xludf.DUMMYFUNCTION("GOOGLETRANSLATE(D2868,""en"",""it"")"),"Non mi piacciono gli abeti, preferisco gli arbusti.")</f>
        <v>Non mi piacciono gli abeti, preferisco gli arbusti.</v>
      </c>
      <c r="G2868" s="6" t="str">
        <f>IFERROR(__xludf.DUMMYFUNCTION("GOOGLETRANSLATE(E2868,""fr"",""it"")"),"Non mi piacciono gli abeti, preferisco gli arbusti.")</f>
        <v>Non mi piacciono gli abeti, preferisco gli arbusti.</v>
      </c>
    </row>
    <row r="2869">
      <c r="A2869" s="4">
        <v>2867.0</v>
      </c>
      <c r="B2869" s="5" t="s">
        <v>8608</v>
      </c>
      <c r="C2869" s="4">
        <v>1.0</v>
      </c>
      <c r="D2869" s="5" t="s">
        <v>8609</v>
      </c>
      <c r="E2869" s="5" t="s">
        <v>8610</v>
      </c>
      <c r="F2869" s="6" t="str">
        <f>IFERROR(__xludf.DUMMYFUNCTION("GOOGLETRANSLATE(D2869,""en"",""it"")"),"Non mi piacciono gli arbusti, preferisco gli abeti.")</f>
        <v>Non mi piacciono gli arbusti, preferisco gli abeti.</v>
      </c>
      <c r="G2869" s="6" t="str">
        <f>IFERROR(__xludf.DUMMYFUNCTION("GOOGLETRANSLATE(E2869,""fr"",""it"")"),"Non mi piacciono gli arbusti, preferisco gli abeti.")</f>
        <v>Non mi piacciono gli arbusti, preferisco gli abeti.</v>
      </c>
    </row>
    <row r="2870">
      <c r="A2870" s="4">
        <v>2868.0</v>
      </c>
      <c r="B2870" s="5" t="s">
        <v>8611</v>
      </c>
      <c r="C2870" s="4">
        <v>1.0</v>
      </c>
      <c r="D2870" s="5" t="s">
        <v>8612</v>
      </c>
      <c r="E2870" s="5" t="s">
        <v>8613</v>
      </c>
      <c r="F2870" s="6" t="str">
        <f>IFERROR(__xludf.DUMMYFUNCTION("GOOGLETRANSLATE(D2870,""en"",""it"")"),"Non mi piacciono i pini, preferisco l'erba.")</f>
        <v>Non mi piacciono i pini, preferisco l'erba.</v>
      </c>
      <c r="G2870" s="6" t="str">
        <f>IFERROR(__xludf.DUMMYFUNCTION("GOOGLETRANSLATE(E2870,""fr"",""it"")"),"Non mi piacciono i pini, preferisco il prato.")</f>
        <v>Non mi piacciono i pini, preferisco il prato.</v>
      </c>
    </row>
    <row r="2871">
      <c r="A2871" s="4">
        <v>2869.0</v>
      </c>
      <c r="B2871" s="5" t="s">
        <v>8614</v>
      </c>
      <c r="C2871" s="4">
        <v>1.0</v>
      </c>
      <c r="D2871" s="5" t="s">
        <v>8615</v>
      </c>
      <c r="E2871" s="5" t="s">
        <v>8616</v>
      </c>
      <c r="F2871" s="6" t="str">
        <f>IFERROR(__xludf.DUMMYFUNCTION("GOOGLETRANSLATE(D2871,""en"",""it"")"),"Non mi piace l'erba, preferisco i pini.")</f>
        <v>Non mi piace l'erba, preferisco i pini.</v>
      </c>
      <c r="G2871" s="6" t="str">
        <f>IFERROR(__xludf.DUMMYFUNCTION("GOOGLETRANSLATE(E2871,""fr"",""it"")"),"Non mi piace il prato, preferisco i pini.")</f>
        <v>Non mi piace il prato, preferisco i pini.</v>
      </c>
    </row>
    <row r="2872">
      <c r="A2872" s="4">
        <v>2870.0</v>
      </c>
      <c r="B2872" s="5" t="s">
        <v>8617</v>
      </c>
      <c r="C2872" s="4">
        <v>0.0</v>
      </c>
      <c r="D2872" s="5" t="s">
        <v>8618</v>
      </c>
      <c r="E2872" s="5" t="s">
        <v>8619</v>
      </c>
      <c r="F2872" s="6" t="str">
        <f>IFERROR(__xludf.DUMMYFUNCTION("GOOGLETRANSLATE(D2872,""en"",""it"")"),"Non mi piacciono i pini, preferisco gli alberi.")</f>
        <v>Non mi piacciono i pini, preferisco gli alberi.</v>
      </c>
      <c r="G2872" s="6" t="str">
        <f>IFERROR(__xludf.DUMMYFUNCTION("GOOGLETRANSLATE(E2872,""fr"",""it"")"),"Non mi piacciono i pini, preferisco gli alberi.")</f>
        <v>Non mi piacciono i pini, preferisco gli alberi.</v>
      </c>
    </row>
    <row r="2873">
      <c r="A2873" s="4">
        <v>2871.0</v>
      </c>
      <c r="B2873" s="5" t="s">
        <v>8620</v>
      </c>
      <c r="C2873" s="4">
        <v>0.0</v>
      </c>
      <c r="D2873" s="5" t="s">
        <v>8621</v>
      </c>
      <c r="E2873" s="5" t="s">
        <v>8622</v>
      </c>
      <c r="F2873" s="6" t="str">
        <f>IFERROR(__xludf.DUMMYFUNCTION("GOOGLETRANSLATE(D2873,""en"",""it"")"),"Non mi piacciono gli alberi, preferisco i pini.")</f>
        <v>Non mi piacciono gli alberi, preferisco i pini.</v>
      </c>
      <c r="G2873" s="6" t="str">
        <f>IFERROR(__xludf.DUMMYFUNCTION("GOOGLETRANSLATE(E2873,""fr"",""it"")"),"Non mi piacciono gli alberi, preferisco i pini.")</f>
        <v>Non mi piacciono gli alberi, preferisco i pini.</v>
      </c>
    </row>
    <row r="2874">
      <c r="A2874" s="4">
        <v>2872.0</v>
      </c>
      <c r="B2874" s="5" t="s">
        <v>8623</v>
      </c>
      <c r="C2874" s="4">
        <v>1.0</v>
      </c>
      <c r="D2874" s="5" t="s">
        <v>8624</v>
      </c>
      <c r="E2874" s="5" t="s">
        <v>8625</v>
      </c>
      <c r="F2874" s="6" t="str">
        <f>IFERROR(__xludf.DUMMYFUNCTION("GOOGLETRANSLATE(D2874,""en"",""it"")"),"Non mi piacciono i pini, preferisco gli animali.")</f>
        <v>Non mi piacciono i pini, preferisco gli animali.</v>
      </c>
      <c r="G2874" s="6" t="str">
        <f>IFERROR(__xludf.DUMMYFUNCTION("GOOGLETRANSLATE(E2874,""fr"",""it"")"),"Non mi piacciono i pini, preferisco gli animali.")</f>
        <v>Non mi piacciono i pini, preferisco gli animali.</v>
      </c>
    </row>
    <row r="2875">
      <c r="A2875" s="4">
        <v>2873.0</v>
      </c>
      <c r="B2875" s="5" t="s">
        <v>8626</v>
      </c>
      <c r="C2875" s="4">
        <v>1.0</v>
      </c>
      <c r="D2875" s="5" t="s">
        <v>8627</v>
      </c>
      <c r="E2875" s="5" t="s">
        <v>8628</v>
      </c>
      <c r="F2875" s="6" t="str">
        <f>IFERROR(__xludf.DUMMYFUNCTION("GOOGLETRANSLATE(D2875,""en"",""it"")"),"Non mi piacciono gli animali, preferisco i pini.")</f>
        <v>Non mi piacciono gli animali, preferisco i pini.</v>
      </c>
      <c r="G2875" s="6" t="str">
        <f>IFERROR(__xludf.DUMMYFUNCTION("GOOGLETRANSLATE(E2875,""fr"",""it"")"),"Non mi piacciono gli animali, preferisco i pini.")</f>
        <v>Non mi piacciono gli animali, preferisco i pini.</v>
      </c>
    </row>
    <row r="2876">
      <c r="A2876" s="4">
        <v>2874.0</v>
      </c>
      <c r="B2876" s="5" t="s">
        <v>8629</v>
      </c>
      <c r="C2876" s="4">
        <v>1.0</v>
      </c>
      <c r="D2876" s="5" t="s">
        <v>8630</v>
      </c>
      <c r="E2876" s="5" t="s">
        <v>8631</v>
      </c>
      <c r="F2876" s="6" t="str">
        <f>IFERROR(__xludf.DUMMYFUNCTION("GOOGLETRANSLATE(D2876,""en"",""it"")"),"Non mi piacciono i pini, preferisco i cespugli.")</f>
        <v>Non mi piacciono i pini, preferisco i cespugli.</v>
      </c>
      <c r="G2876" s="6" t="str">
        <f>IFERROR(__xludf.DUMMYFUNCTION("GOOGLETRANSLATE(E2876,""fr"",""it"")"),"Non mi piacciono i pini, preferisco i cespugli.")</f>
        <v>Non mi piacciono i pini, preferisco i cespugli.</v>
      </c>
    </row>
    <row r="2877">
      <c r="A2877" s="4">
        <v>2875.0</v>
      </c>
      <c r="B2877" s="5" t="s">
        <v>8632</v>
      </c>
      <c r="C2877" s="4">
        <v>1.0</v>
      </c>
      <c r="D2877" s="5" t="s">
        <v>8633</v>
      </c>
      <c r="E2877" s="5" t="s">
        <v>8634</v>
      </c>
      <c r="F2877" s="6" t="str">
        <f>IFERROR(__xludf.DUMMYFUNCTION("GOOGLETRANSLATE(D2877,""en"",""it"")"),"Non mi piacciono i cespugli, preferisco i pini.")</f>
        <v>Non mi piacciono i cespugli, preferisco i pini.</v>
      </c>
      <c r="G2877" s="6" t="str">
        <f>IFERROR(__xludf.DUMMYFUNCTION("GOOGLETRANSLATE(E2877,""fr"",""it"")"),"Non mi piacciono i cespugli, preferisco i pini.")</f>
        <v>Non mi piacciono i cespugli, preferisco i pini.</v>
      </c>
    </row>
    <row r="2878">
      <c r="A2878" s="4">
        <v>2876.0</v>
      </c>
      <c r="B2878" s="5" t="s">
        <v>8635</v>
      </c>
      <c r="C2878" s="4">
        <v>1.0</v>
      </c>
      <c r="D2878" s="5" t="s">
        <v>8636</v>
      </c>
      <c r="E2878" s="5" t="s">
        <v>8637</v>
      </c>
      <c r="F2878" s="6" t="str">
        <f>IFERROR(__xludf.DUMMYFUNCTION("GOOGLETRANSLATE(D2878,""en"",""it"")"),"Non mi piacciono i pini, preferisco gli arbusti.")</f>
        <v>Non mi piacciono i pini, preferisco gli arbusti.</v>
      </c>
      <c r="G2878" s="6" t="str">
        <f>IFERROR(__xludf.DUMMYFUNCTION("GOOGLETRANSLATE(E2878,""fr"",""it"")"),"Non mi piacciono i pini, preferisco gli arbusti.")</f>
        <v>Non mi piacciono i pini, preferisco gli arbusti.</v>
      </c>
    </row>
    <row r="2879">
      <c r="A2879" s="4">
        <v>2877.0</v>
      </c>
      <c r="B2879" s="5" t="s">
        <v>8638</v>
      </c>
      <c r="C2879" s="4">
        <v>1.0</v>
      </c>
      <c r="D2879" s="5" t="s">
        <v>8639</v>
      </c>
      <c r="E2879" s="5" t="s">
        <v>8640</v>
      </c>
      <c r="F2879" s="6" t="str">
        <f>IFERROR(__xludf.DUMMYFUNCTION("GOOGLETRANSLATE(D2879,""en"",""it"")"),"Non mi piacciono gli arbusti, preferisco i pini.")</f>
        <v>Non mi piacciono gli arbusti, preferisco i pini.</v>
      </c>
      <c r="G2879" s="6" t="str">
        <f>IFERROR(__xludf.DUMMYFUNCTION("GOOGLETRANSLATE(E2879,""fr"",""it"")"),"Non mi piacciono gli arbusti, preferisco i pini.")</f>
        <v>Non mi piacciono gli arbusti, preferisco i pini.</v>
      </c>
    </row>
    <row r="2880">
      <c r="A2880" s="4">
        <v>2878.0</v>
      </c>
      <c r="B2880" s="5" t="s">
        <v>8641</v>
      </c>
      <c r="C2880" s="4">
        <v>1.0</v>
      </c>
      <c r="D2880" s="5" t="s">
        <v>8642</v>
      </c>
      <c r="E2880" s="5" t="s">
        <v>8643</v>
      </c>
      <c r="F2880" s="6" t="str">
        <f>IFERROR(__xludf.DUMMYFUNCTION("GOOGLETRANSLATE(D2880,""en"",""it"")"),"Non mi piace il poliestere, preferisco il legno.")</f>
        <v>Non mi piace il poliestere, preferisco il legno.</v>
      </c>
      <c r="G2880" s="6" t="str">
        <f>IFERROR(__xludf.DUMMYFUNCTION("GOOGLETRANSLATE(E2880,""fr"",""it"")"),"Non mi piace il poliestere, preferisco il legno.")</f>
        <v>Non mi piace il poliestere, preferisco il legno.</v>
      </c>
    </row>
    <row r="2881">
      <c r="A2881" s="4">
        <v>2879.0</v>
      </c>
      <c r="B2881" s="5" t="s">
        <v>8644</v>
      </c>
      <c r="C2881" s="4">
        <v>1.0</v>
      </c>
      <c r="D2881" s="5" t="s">
        <v>8645</v>
      </c>
      <c r="E2881" s="5" t="s">
        <v>8646</v>
      </c>
      <c r="F2881" s="6" t="str">
        <f>IFERROR(__xludf.DUMMYFUNCTION("GOOGLETRANSLATE(D2881,""en"",""it"")"),"Non mi piace il legno, preferisco il poliestere.")</f>
        <v>Non mi piace il legno, preferisco il poliestere.</v>
      </c>
      <c r="G2881" s="6" t="str">
        <f>IFERROR(__xludf.DUMMYFUNCTION("GOOGLETRANSLATE(E2881,""fr"",""it"")"),"Non mi piace il legno, preferisco il poliestere.")</f>
        <v>Non mi piace il legno, preferisco il poliestere.</v>
      </c>
    </row>
    <row r="2882">
      <c r="A2882" s="4">
        <v>2880.0</v>
      </c>
      <c r="B2882" s="5" t="s">
        <v>8647</v>
      </c>
      <c r="C2882" s="4">
        <v>0.0</v>
      </c>
      <c r="D2882" s="5" t="s">
        <v>8648</v>
      </c>
      <c r="E2882" s="5" t="s">
        <v>8649</v>
      </c>
      <c r="F2882" s="6" t="str">
        <f>IFERROR(__xludf.DUMMYFUNCTION("GOOGLETRANSLATE(D2882,""en"",""it"")"),"Non mi piace il poliestere, preferisco la plastica.")</f>
        <v>Non mi piace il poliestere, preferisco la plastica.</v>
      </c>
      <c r="G2882" s="6" t="str">
        <f>IFERROR(__xludf.DUMMYFUNCTION("GOOGLETRANSLATE(E2882,""fr"",""it"")"),"Non mi piace il poliestere, preferisco la plastica.")</f>
        <v>Non mi piace il poliestere, preferisco la plastica.</v>
      </c>
    </row>
    <row r="2883">
      <c r="A2883" s="4">
        <v>2881.0</v>
      </c>
      <c r="B2883" s="5" t="s">
        <v>8650</v>
      </c>
      <c r="C2883" s="4">
        <v>0.0</v>
      </c>
      <c r="D2883" s="5" t="s">
        <v>8651</v>
      </c>
      <c r="E2883" s="5" t="s">
        <v>8652</v>
      </c>
      <c r="F2883" s="6" t="str">
        <f>IFERROR(__xludf.DUMMYFUNCTION("GOOGLETRANSLATE(D2883,""en"",""it"")"),"Non mi piace la plastica, preferisco il poliestere.")</f>
        <v>Non mi piace la plastica, preferisco il poliestere.</v>
      </c>
      <c r="G2883" s="6" t="str">
        <f>IFERROR(__xludf.DUMMYFUNCTION("GOOGLETRANSLATE(E2883,""fr"",""it"")"),"Non mi piace la plastica, preferisco il poliestere.")</f>
        <v>Non mi piace la plastica, preferisco il poliestere.</v>
      </c>
    </row>
    <row r="2884">
      <c r="A2884" s="4">
        <v>2882.0</v>
      </c>
      <c r="B2884" s="5" t="s">
        <v>8653</v>
      </c>
      <c r="C2884" s="4">
        <v>1.0</v>
      </c>
      <c r="D2884" s="5" t="s">
        <v>8654</v>
      </c>
      <c r="E2884" s="5" t="s">
        <v>8655</v>
      </c>
      <c r="F2884" s="6" t="str">
        <f>IFERROR(__xludf.DUMMYFUNCTION("GOOGLETRANSLATE(D2884,""en"",""it"")"),"Non mi piace la plastica, preferisco il legno.")</f>
        <v>Non mi piace la plastica, preferisco il legno.</v>
      </c>
      <c r="G2884" s="6" t="str">
        <f>IFERROR(__xludf.DUMMYFUNCTION("GOOGLETRANSLATE(E2884,""fr"",""it"")"),"Non mi piace la plastica, preferisco il legno.")</f>
        <v>Non mi piace la plastica, preferisco il legno.</v>
      </c>
    </row>
    <row r="2885">
      <c r="A2885" s="4">
        <v>2883.0</v>
      </c>
      <c r="B2885" s="5" t="s">
        <v>8656</v>
      </c>
      <c r="C2885" s="4">
        <v>1.0</v>
      </c>
      <c r="D2885" s="5" t="s">
        <v>8657</v>
      </c>
      <c r="E2885" s="5" t="s">
        <v>8658</v>
      </c>
      <c r="F2885" s="6" t="str">
        <f>IFERROR(__xludf.DUMMYFUNCTION("GOOGLETRANSLATE(D2885,""en"",""it"")"),"Non mi piace il poliestere, preferisco il cotone.")</f>
        <v>Non mi piace il poliestere, preferisco il cotone.</v>
      </c>
      <c r="G2885" s="6" t="str">
        <f>IFERROR(__xludf.DUMMYFUNCTION("GOOGLETRANSLATE(E2885,""fr"",""it"")"),"Non mi piace il poliestere, preferisco il cotone.")</f>
        <v>Non mi piace il poliestere, preferisco il cotone.</v>
      </c>
    </row>
    <row r="2886">
      <c r="A2886" s="4">
        <v>2884.0</v>
      </c>
      <c r="B2886" s="5" t="s">
        <v>8659</v>
      </c>
      <c r="C2886" s="4">
        <v>1.0</v>
      </c>
      <c r="D2886" s="5" t="s">
        <v>8660</v>
      </c>
      <c r="E2886" s="5" t="s">
        <v>8661</v>
      </c>
      <c r="F2886" s="6" t="str">
        <f>IFERROR(__xludf.DUMMYFUNCTION("GOOGLETRANSLATE(D2886,""en"",""it"")"),"Non mi piace il cotone, preferisco il poliestere.")</f>
        <v>Non mi piace il cotone, preferisco il poliestere.</v>
      </c>
      <c r="G2886" s="6" t="str">
        <f>IFERROR(__xludf.DUMMYFUNCTION("GOOGLETRANSLATE(E2886,""fr"",""it"")"),"Non mi piace il cotone, preferisco il poliestere.")</f>
        <v>Non mi piace il cotone, preferisco il poliestere.</v>
      </c>
    </row>
    <row r="2887">
      <c r="A2887" s="4">
        <v>2885.0</v>
      </c>
      <c r="B2887" s="5" t="s">
        <v>8662</v>
      </c>
      <c r="C2887" s="4">
        <v>1.0</v>
      </c>
      <c r="D2887" s="5" t="s">
        <v>8663</v>
      </c>
      <c r="E2887" s="5" t="s">
        <v>8664</v>
      </c>
      <c r="F2887" s="6" t="str">
        <f>IFERROR(__xludf.DUMMYFUNCTION("GOOGLETRANSLATE(D2887,""en"",""it"")"),"Non mi piace la plastica, preferisco il cotone.")</f>
        <v>Non mi piace la plastica, preferisco il cotone.</v>
      </c>
      <c r="G2887" s="6" t="str">
        <f>IFERROR(__xludf.DUMMYFUNCTION("GOOGLETRANSLATE(E2887,""fr"",""it"")"),"Non mi piace la plastica, preferisco il cotone.")</f>
        <v>Non mi piace la plastica, preferisco il cotone.</v>
      </c>
    </row>
    <row r="2888">
      <c r="A2888" s="4">
        <v>2886.0</v>
      </c>
      <c r="B2888" s="5" t="s">
        <v>8665</v>
      </c>
      <c r="C2888" s="4">
        <v>1.0</v>
      </c>
      <c r="D2888" s="5" t="s">
        <v>8666</v>
      </c>
      <c r="E2888" s="5" t="s">
        <v>8667</v>
      </c>
      <c r="F2888" s="6" t="str">
        <f>IFERROR(__xludf.DUMMYFUNCTION("GOOGLETRANSLATE(D2888,""en"",""it"")"),"Non mi piace il poliestere, preferisco il vetro.")</f>
        <v>Non mi piace il poliestere, preferisco il vetro.</v>
      </c>
      <c r="G2888" s="6" t="str">
        <f>IFERROR(__xludf.DUMMYFUNCTION("GOOGLETRANSLATE(E2888,""fr"",""it"")"),"Non mi piace il poliestere, preferisco il vetro.")</f>
        <v>Non mi piace il poliestere, preferisco il vetro.</v>
      </c>
    </row>
    <row r="2889">
      <c r="A2889" s="4">
        <v>2887.0</v>
      </c>
      <c r="B2889" s="5" t="s">
        <v>8668</v>
      </c>
      <c r="C2889" s="4">
        <v>1.0</v>
      </c>
      <c r="D2889" s="5" t="s">
        <v>8669</v>
      </c>
      <c r="E2889" s="5" t="s">
        <v>8670</v>
      </c>
      <c r="F2889" s="6" t="str">
        <f>IFERROR(__xludf.DUMMYFUNCTION("GOOGLETRANSLATE(D2889,""en"",""it"")"),"Non mi piace il vetro, preferisco il poliestere.")</f>
        <v>Non mi piace il vetro, preferisco il poliestere.</v>
      </c>
      <c r="G2889" s="6" t="str">
        <f>IFERROR(__xludf.DUMMYFUNCTION("GOOGLETRANSLATE(E2889,""fr"",""it"")"),"Non mi piace il vetro, preferisco il poliestere.")</f>
        <v>Non mi piace il vetro, preferisco il poliestere.</v>
      </c>
    </row>
    <row r="2890">
      <c r="A2890" s="4">
        <v>2888.0</v>
      </c>
      <c r="B2890" s="5" t="s">
        <v>8671</v>
      </c>
      <c r="C2890" s="4">
        <v>1.0</v>
      </c>
      <c r="D2890" s="5" t="s">
        <v>8672</v>
      </c>
      <c r="E2890" s="5" t="s">
        <v>8673</v>
      </c>
      <c r="F2890" s="6" t="str">
        <f>IFERROR(__xludf.DUMMYFUNCTION("GOOGLETRANSLATE(D2890,""en"",""it"")"),"Non mi piace la plastica, preferisco il vetro.")</f>
        <v>Non mi piace la plastica, preferisco il vetro.</v>
      </c>
      <c r="G2890" s="6" t="str">
        <f>IFERROR(__xludf.DUMMYFUNCTION("GOOGLETRANSLATE(E2890,""fr"",""it"")"),"Non mi piace la plastica, preferisco il vetro.")</f>
        <v>Non mi piace la plastica, preferisco il vetro.</v>
      </c>
    </row>
    <row r="2891">
      <c r="A2891" s="4">
        <v>2889.0</v>
      </c>
      <c r="B2891" s="5" t="s">
        <v>8674</v>
      </c>
      <c r="C2891" s="4">
        <v>1.0</v>
      </c>
      <c r="D2891" s="5" t="s">
        <v>8675</v>
      </c>
      <c r="E2891" s="5" t="s">
        <v>8676</v>
      </c>
      <c r="F2891" s="6" t="str">
        <f>IFERROR(__xludf.DUMMYFUNCTION("GOOGLETRANSLATE(D2891,""en"",""it"")"),"Non mi piace il poliestere, preferisco la pelle.")</f>
        <v>Non mi piace il poliestere, preferisco la pelle.</v>
      </c>
      <c r="G2891" s="6" t="str">
        <f>IFERROR(__xludf.DUMMYFUNCTION("GOOGLETRANSLATE(E2891,""fr"",""it"")"),"Non mi piace il poliestere, preferisco la pelle.")</f>
        <v>Non mi piace il poliestere, preferisco la pelle.</v>
      </c>
    </row>
    <row r="2892">
      <c r="A2892" s="4">
        <v>2890.0</v>
      </c>
      <c r="B2892" s="5" t="s">
        <v>8677</v>
      </c>
      <c r="C2892" s="4">
        <v>1.0</v>
      </c>
      <c r="D2892" s="5" t="s">
        <v>8678</v>
      </c>
      <c r="E2892" s="5" t="s">
        <v>8679</v>
      </c>
      <c r="F2892" s="6" t="str">
        <f>IFERROR(__xludf.DUMMYFUNCTION("GOOGLETRANSLATE(D2892,""en"",""it"")"),"Non mi piace la pelle, preferisco il poliestere.")</f>
        <v>Non mi piace la pelle, preferisco il poliestere.</v>
      </c>
      <c r="G2892" s="6" t="str">
        <f>IFERROR(__xludf.DUMMYFUNCTION("GOOGLETRANSLATE(E2892,""fr"",""it"")"),"Non mi piace la pelle, preferisco il poliestere.")</f>
        <v>Non mi piace la pelle, preferisco il poliestere.</v>
      </c>
    </row>
    <row r="2893">
      <c r="A2893" s="4">
        <v>2891.0</v>
      </c>
      <c r="B2893" s="5" t="s">
        <v>8680</v>
      </c>
      <c r="C2893" s="4">
        <v>1.0</v>
      </c>
      <c r="D2893" s="5" t="s">
        <v>8681</v>
      </c>
      <c r="E2893" s="5" t="s">
        <v>8682</v>
      </c>
      <c r="F2893" s="6" t="str">
        <f>IFERROR(__xludf.DUMMYFUNCTION("GOOGLETRANSLATE(D2893,""en"",""it"")"),"Non mi piace la plastica, preferisco la pelle.")</f>
        <v>Non mi piace la plastica, preferisco la pelle.</v>
      </c>
      <c r="G2893" s="6" t="str">
        <f>IFERROR(__xludf.DUMMYFUNCTION("GOOGLETRANSLATE(E2893,""fr"",""it"")"),"Non mi piace la plastica, preferisco la pelle.")</f>
        <v>Non mi piace la plastica, preferisco la pelle.</v>
      </c>
    </row>
    <row r="2894">
      <c r="A2894" s="4">
        <v>2892.0</v>
      </c>
      <c r="B2894" s="5" t="s">
        <v>8683</v>
      </c>
      <c r="C2894" s="4">
        <v>1.0</v>
      </c>
      <c r="D2894" s="5" t="s">
        <v>8684</v>
      </c>
      <c r="E2894" s="5" t="s">
        <v>8685</v>
      </c>
      <c r="F2894" s="6" t="str">
        <f>IFERROR(__xludf.DUMMYFUNCTION("GOOGLETRANSLATE(D2894,""en"",""it"")"),"Non mi piace il nylon, preferisco il legno.")</f>
        <v>Non mi piace il nylon, preferisco il legno.</v>
      </c>
      <c r="G2894" s="6" t="str">
        <f>IFERROR(__xludf.DUMMYFUNCTION("GOOGLETRANSLATE(E2894,""fr"",""it"")"),"Non mi piace il nylon, preferisco il legno.")</f>
        <v>Non mi piace il nylon, preferisco il legno.</v>
      </c>
    </row>
    <row r="2895">
      <c r="A2895" s="4">
        <v>2893.0</v>
      </c>
      <c r="B2895" s="5" t="s">
        <v>8686</v>
      </c>
      <c r="C2895" s="4">
        <v>1.0</v>
      </c>
      <c r="D2895" s="5" t="s">
        <v>8687</v>
      </c>
      <c r="E2895" s="5" t="s">
        <v>8688</v>
      </c>
      <c r="F2895" s="6" t="str">
        <f>IFERROR(__xludf.DUMMYFUNCTION("GOOGLETRANSLATE(D2895,""en"",""it"")"),"Non mi piace il legno, preferisco il nylon.")</f>
        <v>Non mi piace il legno, preferisco il nylon.</v>
      </c>
      <c r="G2895" s="6" t="str">
        <f>IFERROR(__xludf.DUMMYFUNCTION("GOOGLETRANSLATE(E2895,""fr"",""it"")"),"Non mi piace il legno, preferisco il nylon.")</f>
        <v>Non mi piace il legno, preferisco il nylon.</v>
      </c>
    </row>
    <row r="2896">
      <c r="A2896" s="4">
        <v>2894.0</v>
      </c>
      <c r="B2896" s="5" t="s">
        <v>8689</v>
      </c>
      <c r="C2896" s="4">
        <v>0.0</v>
      </c>
      <c r="D2896" s="5" t="s">
        <v>8690</v>
      </c>
      <c r="E2896" s="5" t="s">
        <v>8691</v>
      </c>
      <c r="F2896" s="6" t="str">
        <f>IFERROR(__xludf.DUMMYFUNCTION("GOOGLETRANSLATE(D2896,""en"",""it"")"),"Non mi piace il nylon, preferisco la plastica.")</f>
        <v>Non mi piace il nylon, preferisco la plastica.</v>
      </c>
      <c r="G2896" s="6" t="str">
        <f>IFERROR(__xludf.DUMMYFUNCTION("GOOGLETRANSLATE(E2896,""fr"",""it"")"),"Non mi piace il nylon, preferisco la plastica.")</f>
        <v>Non mi piace il nylon, preferisco la plastica.</v>
      </c>
    </row>
    <row r="2897">
      <c r="A2897" s="4">
        <v>2895.0</v>
      </c>
      <c r="B2897" s="5" t="s">
        <v>8692</v>
      </c>
      <c r="C2897" s="4">
        <v>0.0</v>
      </c>
      <c r="D2897" s="5" t="s">
        <v>8693</v>
      </c>
      <c r="E2897" s="5" t="s">
        <v>8694</v>
      </c>
      <c r="F2897" s="6" t="str">
        <f>IFERROR(__xludf.DUMMYFUNCTION("GOOGLETRANSLATE(D2897,""en"",""it"")"),"Non mi piace la plastica, preferisco il nylon.")</f>
        <v>Non mi piace la plastica, preferisco il nylon.</v>
      </c>
      <c r="G2897" s="6" t="str">
        <f>IFERROR(__xludf.DUMMYFUNCTION("GOOGLETRANSLATE(E2897,""fr"",""it"")"),"Non mi piace la plastica, preferisco il nylon.")</f>
        <v>Non mi piace la plastica, preferisco il nylon.</v>
      </c>
    </row>
    <row r="2898">
      <c r="A2898" s="4">
        <v>2896.0</v>
      </c>
      <c r="B2898" s="5" t="s">
        <v>8695</v>
      </c>
      <c r="C2898" s="4">
        <v>1.0</v>
      </c>
      <c r="D2898" s="5" t="s">
        <v>8696</v>
      </c>
      <c r="E2898" s="5" t="s">
        <v>8697</v>
      </c>
      <c r="F2898" s="6" t="str">
        <f>IFERROR(__xludf.DUMMYFUNCTION("GOOGLETRANSLATE(D2898,""en"",""it"")"),"Non mi piace il nylon, preferisco il cotone.")</f>
        <v>Non mi piace il nylon, preferisco il cotone.</v>
      </c>
      <c r="G2898" s="6" t="str">
        <f>IFERROR(__xludf.DUMMYFUNCTION("GOOGLETRANSLATE(E2898,""fr"",""it"")"),"Non mi piace il nylon, preferisco il cotone.")</f>
        <v>Non mi piace il nylon, preferisco il cotone.</v>
      </c>
    </row>
    <row r="2899">
      <c r="A2899" s="4">
        <v>2897.0</v>
      </c>
      <c r="B2899" s="5" t="s">
        <v>8698</v>
      </c>
      <c r="C2899" s="4">
        <v>1.0</v>
      </c>
      <c r="D2899" s="5" t="s">
        <v>8699</v>
      </c>
      <c r="E2899" s="5" t="s">
        <v>8700</v>
      </c>
      <c r="F2899" s="6" t="str">
        <f>IFERROR(__xludf.DUMMYFUNCTION("GOOGLETRANSLATE(D2899,""en"",""it"")"),"Non mi piace il cotone, preferisco il nylon.")</f>
        <v>Non mi piace il cotone, preferisco il nylon.</v>
      </c>
      <c r="G2899" s="6" t="str">
        <f>IFERROR(__xludf.DUMMYFUNCTION("GOOGLETRANSLATE(E2899,""fr"",""it"")"),"Non mi piace il cotone, preferisco il nylon.")</f>
        <v>Non mi piace il cotone, preferisco il nylon.</v>
      </c>
    </row>
    <row r="2900">
      <c r="A2900" s="4">
        <v>2898.0</v>
      </c>
      <c r="B2900" s="5" t="s">
        <v>8701</v>
      </c>
      <c r="C2900" s="4">
        <v>1.0</v>
      </c>
      <c r="D2900" s="5" t="s">
        <v>8702</v>
      </c>
      <c r="E2900" s="5" t="s">
        <v>8703</v>
      </c>
      <c r="F2900" s="6" t="str">
        <f>IFERROR(__xludf.DUMMYFUNCTION("GOOGLETRANSLATE(D2900,""en"",""it"")"),"Non mi piace il nylon, preferisco il vetro.")</f>
        <v>Non mi piace il nylon, preferisco il vetro.</v>
      </c>
      <c r="G2900" s="6" t="str">
        <f>IFERROR(__xludf.DUMMYFUNCTION("GOOGLETRANSLATE(E2900,""fr"",""it"")"),"Non mi piace il nylon, preferisco il vetro.")</f>
        <v>Non mi piace il nylon, preferisco il vetro.</v>
      </c>
    </row>
    <row r="2901">
      <c r="A2901" s="4">
        <v>2899.0</v>
      </c>
      <c r="B2901" s="5" t="s">
        <v>8704</v>
      </c>
      <c r="C2901" s="4">
        <v>1.0</v>
      </c>
      <c r="D2901" s="5" t="s">
        <v>8705</v>
      </c>
      <c r="E2901" s="5" t="s">
        <v>8706</v>
      </c>
      <c r="F2901" s="6" t="str">
        <f>IFERROR(__xludf.DUMMYFUNCTION("GOOGLETRANSLATE(D2901,""en"",""it"")"),"Non mi piace il vetro, preferisco il nylon.")</f>
        <v>Non mi piace il vetro, preferisco il nylon.</v>
      </c>
      <c r="G2901" s="6" t="str">
        <f>IFERROR(__xludf.DUMMYFUNCTION("GOOGLETRANSLATE(E2901,""fr"",""it"")"),"Non mi piace il vetro, preferisco il nylon.")</f>
        <v>Non mi piace il vetro, preferisco il nylon.</v>
      </c>
    </row>
    <row r="2902">
      <c r="A2902" s="4">
        <v>2900.0</v>
      </c>
      <c r="B2902" s="5" t="s">
        <v>8707</v>
      </c>
      <c r="C2902" s="4">
        <v>1.0</v>
      </c>
      <c r="D2902" s="5" t="s">
        <v>8708</v>
      </c>
      <c r="E2902" s="5" t="s">
        <v>8709</v>
      </c>
      <c r="F2902" s="6" t="str">
        <f>IFERROR(__xludf.DUMMYFUNCTION("GOOGLETRANSLATE(D2902,""en"",""it"")"),"Non mi piace il nylon, preferisco la pelle.")</f>
        <v>Non mi piace il nylon, preferisco la pelle.</v>
      </c>
      <c r="G2902" s="6" t="str">
        <f>IFERROR(__xludf.DUMMYFUNCTION("GOOGLETRANSLATE(E2902,""fr"",""it"")"),"Non mi piace il nylon, preferisco la pelle.")</f>
        <v>Non mi piace il nylon, preferisco la pelle.</v>
      </c>
    </row>
    <row r="2903">
      <c r="A2903" s="4">
        <v>2901.0</v>
      </c>
      <c r="B2903" s="5" t="s">
        <v>8710</v>
      </c>
      <c r="C2903" s="4">
        <v>1.0</v>
      </c>
      <c r="D2903" s="5" t="s">
        <v>8711</v>
      </c>
      <c r="E2903" s="5" t="s">
        <v>8712</v>
      </c>
      <c r="F2903" s="6" t="str">
        <f>IFERROR(__xludf.DUMMYFUNCTION("GOOGLETRANSLATE(D2903,""en"",""it"")"),"Non mi piace la pelle, preferisco il nylon.")</f>
        <v>Non mi piace la pelle, preferisco il nylon.</v>
      </c>
      <c r="G2903" s="6" t="str">
        <f>IFERROR(__xludf.DUMMYFUNCTION("GOOGLETRANSLATE(E2903,""fr"",""it"")"),"Non mi piace la pelle, preferisco il nylon.")</f>
        <v>Non mi piace la pelle, preferisco il nylon.</v>
      </c>
    </row>
    <row r="2904">
      <c r="A2904" s="4">
        <v>2902.0</v>
      </c>
      <c r="B2904" s="5" t="s">
        <v>8713</v>
      </c>
      <c r="C2904" s="4">
        <v>1.0</v>
      </c>
      <c r="D2904" s="5" t="s">
        <v>8714</v>
      </c>
      <c r="E2904" s="5" t="s">
        <v>8715</v>
      </c>
      <c r="F2904" s="6" t="str">
        <f>IFERROR(__xludf.DUMMYFUNCTION("GOOGLETRANSLATE(D2904,""en"",""it"")"),"Non mi piace il vinile, preferisco il legno.")</f>
        <v>Non mi piace il vinile, preferisco il legno.</v>
      </c>
      <c r="G2904" s="6" t="str">
        <f>IFERROR(__xludf.DUMMYFUNCTION("GOOGLETRANSLATE(E2904,""fr"",""it"")"),"Non mi piace il vinile, preferisco il legno.")</f>
        <v>Non mi piace il vinile, preferisco il legno.</v>
      </c>
    </row>
    <row r="2905">
      <c r="A2905" s="4">
        <v>2903.0</v>
      </c>
      <c r="B2905" s="5" t="s">
        <v>8716</v>
      </c>
      <c r="C2905" s="4">
        <v>1.0</v>
      </c>
      <c r="D2905" s="5" t="s">
        <v>8717</v>
      </c>
      <c r="E2905" s="5" t="s">
        <v>8718</v>
      </c>
      <c r="F2905" s="6" t="str">
        <f>IFERROR(__xludf.DUMMYFUNCTION("GOOGLETRANSLATE(D2905,""en"",""it"")"),"Non mi piace il legno, preferisco il vinile.")</f>
        <v>Non mi piace il legno, preferisco il vinile.</v>
      </c>
      <c r="G2905" s="6" t="str">
        <f>IFERROR(__xludf.DUMMYFUNCTION("GOOGLETRANSLATE(E2905,""fr"",""it"")"),"Non mi piace il legno, preferisco il vinile.")</f>
        <v>Non mi piace il legno, preferisco il vinile.</v>
      </c>
    </row>
    <row r="2906">
      <c r="A2906" s="4">
        <v>2904.0</v>
      </c>
      <c r="B2906" s="5" t="s">
        <v>8719</v>
      </c>
      <c r="C2906" s="4">
        <v>0.0</v>
      </c>
      <c r="D2906" s="5" t="s">
        <v>8720</v>
      </c>
      <c r="E2906" s="5" t="s">
        <v>8721</v>
      </c>
      <c r="F2906" s="6" t="str">
        <f>IFERROR(__xludf.DUMMYFUNCTION("GOOGLETRANSLATE(D2906,""en"",""it"")"),"Non mi piace il vinile, preferisco la plastica.")</f>
        <v>Non mi piace il vinile, preferisco la plastica.</v>
      </c>
      <c r="G2906" s="6" t="str">
        <f>IFERROR(__xludf.DUMMYFUNCTION("GOOGLETRANSLATE(E2906,""fr"",""it"")"),"Non mi piace il vinile, preferisco la plastica.")</f>
        <v>Non mi piace il vinile, preferisco la plastica.</v>
      </c>
    </row>
    <row r="2907">
      <c r="A2907" s="4">
        <v>2905.0</v>
      </c>
      <c r="B2907" s="5" t="s">
        <v>8722</v>
      </c>
      <c r="C2907" s="4">
        <v>0.0</v>
      </c>
      <c r="D2907" s="5" t="s">
        <v>8723</v>
      </c>
      <c r="E2907" s="5" t="s">
        <v>8724</v>
      </c>
      <c r="F2907" s="6" t="str">
        <f>IFERROR(__xludf.DUMMYFUNCTION("GOOGLETRANSLATE(D2907,""en"",""it"")"),"Non mi piace la plastica, preferisco il vinile.")</f>
        <v>Non mi piace la plastica, preferisco il vinile.</v>
      </c>
      <c r="G2907" s="6" t="str">
        <f>IFERROR(__xludf.DUMMYFUNCTION("GOOGLETRANSLATE(E2907,""fr"",""it"")"),"Non mi piace la plastica, preferisco il vinile.")</f>
        <v>Non mi piace la plastica, preferisco il vinile.</v>
      </c>
    </row>
    <row r="2908">
      <c r="A2908" s="4">
        <v>2906.0</v>
      </c>
      <c r="B2908" s="5" t="s">
        <v>8725</v>
      </c>
      <c r="C2908" s="4">
        <v>1.0</v>
      </c>
      <c r="D2908" s="5" t="s">
        <v>8726</v>
      </c>
      <c r="E2908" s="5" t="s">
        <v>8727</v>
      </c>
      <c r="F2908" s="6" t="str">
        <f>IFERROR(__xludf.DUMMYFUNCTION("GOOGLETRANSLATE(D2908,""en"",""it"")"),"Non mi piace il vinile, preferisco il cotone.")</f>
        <v>Non mi piace il vinile, preferisco il cotone.</v>
      </c>
      <c r="G2908" s="6" t="str">
        <f>IFERROR(__xludf.DUMMYFUNCTION("GOOGLETRANSLATE(E2908,""fr"",""it"")"),"Non mi piace il vinile, preferisco il cotone.")</f>
        <v>Non mi piace il vinile, preferisco il cotone.</v>
      </c>
    </row>
    <row r="2909">
      <c r="A2909" s="4">
        <v>2907.0</v>
      </c>
      <c r="B2909" s="5" t="s">
        <v>8728</v>
      </c>
      <c r="C2909" s="4">
        <v>1.0</v>
      </c>
      <c r="D2909" s="5" t="s">
        <v>8729</v>
      </c>
      <c r="E2909" s="5" t="s">
        <v>8730</v>
      </c>
      <c r="F2909" s="6" t="str">
        <f>IFERROR(__xludf.DUMMYFUNCTION("GOOGLETRANSLATE(D2909,""en"",""it"")"),"Non mi piace il cotone, preferisco il vinile.")</f>
        <v>Non mi piace il cotone, preferisco il vinile.</v>
      </c>
      <c r="G2909" s="6" t="str">
        <f>IFERROR(__xludf.DUMMYFUNCTION("GOOGLETRANSLATE(E2909,""fr"",""it"")"),"Non mi piace il cotone, preferisco il vinile.")</f>
        <v>Non mi piace il cotone, preferisco il vinile.</v>
      </c>
    </row>
    <row r="2910">
      <c r="A2910" s="4">
        <v>2908.0</v>
      </c>
      <c r="B2910" s="5" t="s">
        <v>8731</v>
      </c>
      <c r="C2910" s="4">
        <v>1.0</v>
      </c>
      <c r="D2910" s="5" t="s">
        <v>8732</v>
      </c>
      <c r="E2910" s="5" t="s">
        <v>8733</v>
      </c>
      <c r="F2910" s="6" t="str">
        <f>IFERROR(__xludf.DUMMYFUNCTION("GOOGLETRANSLATE(D2910,""en"",""it"")"),"Non mi piace il vinile, preferisco il vetro.")</f>
        <v>Non mi piace il vinile, preferisco il vetro.</v>
      </c>
      <c r="G2910" s="6" t="str">
        <f>IFERROR(__xludf.DUMMYFUNCTION("GOOGLETRANSLATE(E2910,""fr"",""it"")"),"Non mi piace il vinile, preferisco il vetro.")</f>
        <v>Non mi piace il vinile, preferisco il vetro.</v>
      </c>
    </row>
    <row r="2911">
      <c r="A2911" s="4">
        <v>2909.0</v>
      </c>
      <c r="B2911" s="5" t="s">
        <v>8734</v>
      </c>
      <c r="C2911" s="4">
        <v>1.0</v>
      </c>
      <c r="D2911" s="5" t="s">
        <v>8735</v>
      </c>
      <c r="E2911" s="5" t="s">
        <v>8736</v>
      </c>
      <c r="F2911" s="6" t="str">
        <f>IFERROR(__xludf.DUMMYFUNCTION("GOOGLETRANSLATE(D2911,""en"",""it"")"),"Non mi piace il vetro, preferisco il vinile.")</f>
        <v>Non mi piace il vetro, preferisco il vinile.</v>
      </c>
      <c r="G2911" s="6" t="str">
        <f>IFERROR(__xludf.DUMMYFUNCTION("GOOGLETRANSLATE(E2911,""fr"",""it"")"),"Non mi piace il vetro, preferisco il vinile.")</f>
        <v>Non mi piace il vetro, preferisco il vinile.</v>
      </c>
    </row>
    <row r="2912">
      <c r="A2912" s="4">
        <v>2910.0</v>
      </c>
      <c r="B2912" s="5" t="s">
        <v>8737</v>
      </c>
      <c r="C2912" s="4">
        <v>1.0</v>
      </c>
      <c r="D2912" s="5" t="s">
        <v>8738</v>
      </c>
      <c r="E2912" s="5" t="s">
        <v>8739</v>
      </c>
      <c r="F2912" s="6" t="str">
        <f>IFERROR(__xludf.DUMMYFUNCTION("GOOGLETRANSLATE(D2912,""en"",""it"")"),"Non mi piace il vinile, preferisco la pelle.")</f>
        <v>Non mi piace il vinile, preferisco la pelle.</v>
      </c>
      <c r="G2912" s="6" t="str">
        <f>IFERROR(__xludf.DUMMYFUNCTION("GOOGLETRANSLATE(E2912,""fr"",""it"")"),"Non mi piace il vinile, preferisco la pelle.")</f>
        <v>Non mi piace il vinile, preferisco la pelle.</v>
      </c>
    </row>
    <row r="2913">
      <c r="A2913" s="4">
        <v>2911.0</v>
      </c>
      <c r="B2913" s="5" t="s">
        <v>8740</v>
      </c>
      <c r="C2913" s="4">
        <v>1.0</v>
      </c>
      <c r="D2913" s="5" t="s">
        <v>8741</v>
      </c>
      <c r="E2913" s="5" t="s">
        <v>8742</v>
      </c>
      <c r="F2913" s="6" t="str">
        <f>IFERROR(__xludf.DUMMYFUNCTION("GOOGLETRANSLATE(D2913,""en"",""it"")"),"Non mi piace la pelle, preferisco il vinile.")</f>
        <v>Non mi piace la pelle, preferisco il vinile.</v>
      </c>
      <c r="G2913" s="6" t="str">
        <f>IFERROR(__xludf.DUMMYFUNCTION("GOOGLETRANSLATE(E2913,""fr"",""it"")"),"Non mi piace la pelle, preferisco il vinile.")</f>
        <v>Non mi piace la pelle, preferisco il vinile.</v>
      </c>
    </row>
    <row r="2914">
      <c r="A2914" s="4">
        <v>2912.0</v>
      </c>
      <c r="B2914" s="5" t="s">
        <v>8743</v>
      </c>
      <c r="C2914" s="4">
        <v>1.0</v>
      </c>
      <c r="D2914" s="5" t="s">
        <v>8744</v>
      </c>
      <c r="E2914" s="5" t="s">
        <v>8745</v>
      </c>
      <c r="F2914" s="6" t="str">
        <f>IFERROR(__xludf.DUMMYFUNCTION("GOOGLETRANSLATE(D2914,""en"",""it"")"),"Non mi piace PVC, preferisco il legno.")</f>
        <v>Non mi piace PVC, preferisco il legno.</v>
      </c>
      <c r="G2914" s="6" t="str">
        <f>IFERROR(__xludf.DUMMYFUNCTION("GOOGLETRANSLATE(E2914,""fr"",""it"")"),"Non mi piace PVC, preferisco il legno.")</f>
        <v>Non mi piace PVC, preferisco il legno.</v>
      </c>
    </row>
    <row r="2915">
      <c r="A2915" s="4">
        <v>2913.0</v>
      </c>
      <c r="B2915" s="5" t="s">
        <v>8746</v>
      </c>
      <c r="C2915" s="4">
        <v>1.0</v>
      </c>
      <c r="D2915" s="5" t="s">
        <v>8747</v>
      </c>
      <c r="E2915" s="5" t="s">
        <v>8748</v>
      </c>
      <c r="F2915" s="6" t="str">
        <f>IFERROR(__xludf.DUMMYFUNCTION("GOOGLETRANSLATE(D2915,""en"",""it"")"),"Non mi piace il legno, preferisco il PVC.")</f>
        <v>Non mi piace il legno, preferisco il PVC.</v>
      </c>
      <c r="G2915" s="6" t="str">
        <f>IFERROR(__xludf.DUMMYFUNCTION("GOOGLETRANSLATE(E2915,""fr"",""it"")"),"Non mi piace il legno, preferisco il PVC.")</f>
        <v>Non mi piace il legno, preferisco il PVC.</v>
      </c>
    </row>
    <row r="2916">
      <c r="A2916" s="4">
        <v>2914.0</v>
      </c>
      <c r="B2916" s="5" t="s">
        <v>8749</v>
      </c>
      <c r="C2916" s="4">
        <v>0.0</v>
      </c>
      <c r="D2916" s="5" t="s">
        <v>8750</v>
      </c>
      <c r="E2916" s="5" t="s">
        <v>8751</v>
      </c>
      <c r="F2916" s="6" t="str">
        <f>IFERROR(__xludf.DUMMYFUNCTION("GOOGLETRANSLATE(D2916,""en"",""it"")"),"Non mi piace PVC, preferisco la plastica.")</f>
        <v>Non mi piace PVC, preferisco la plastica.</v>
      </c>
      <c r="G2916" s="6" t="str">
        <f>IFERROR(__xludf.DUMMYFUNCTION("GOOGLETRANSLATE(E2916,""fr"",""it"")"),"Non mi piace PVC, preferisco la plastica.")</f>
        <v>Non mi piace PVC, preferisco la plastica.</v>
      </c>
    </row>
    <row r="2917">
      <c r="A2917" s="4">
        <v>2915.0</v>
      </c>
      <c r="B2917" s="5" t="s">
        <v>8752</v>
      </c>
      <c r="C2917" s="4">
        <v>0.0</v>
      </c>
      <c r="D2917" s="5" t="s">
        <v>8753</v>
      </c>
      <c r="E2917" s="5" t="s">
        <v>8754</v>
      </c>
      <c r="F2917" s="6" t="str">
        <f>IFERROR(__xludf.DUMMYFUNCTION("GOOGLETRANSLATE(D2917,""en"",""it"")"),"Non mi piace la plastica, preferisco il PVC.")</f>
        <v>Non mi piace la plastica, preferisco il PVC.</v>
      </c>
      <c r="G2917" s="6" t="str">
        <f>IFERROR(__xludf.DUMMYFUNCTION("GOOGLETRANSLATE(E2917,""fr"",""it"")"),"Non mi piace la plastica, preferisco il PVC.")</f>
        <v>Non mi piace la plastica, preferisco il PVC.</v>
      </c>
    </row>
    <row r="2918">
      <c r="A2918" s="4">
        <v>2916.0</v>
      </c>
      <c r="B2918" s="5" t="s">
        <v>8755</v>
      </c>
      <c r="C2918" s="4">
        <v>1.0</v>
      </c>
      <c r="D2918" s="5" t="s">
        <v>8756</v>
      </c>
      <c r="E2918" s="5" t="s">
        <v>8757</v>
      </c>
      <c r="F2918" s="6" t="str">
        <f>IFERROR(__xludf.DUMMYFUNCTION("GOOGLETRANSLATE(D2918,""en"",""it"")"),"Non mi piace PVC, preferisco il cotone.")</f>
        <v>Non mi piace PVC, preferisco il cotone.</v>
      </c>
      <c r="G2918" s="6" t="str">
        <f>IFERROR(__xludf.DUMMYFUNCTION("GOOGLETRANSLATE(E2918,""fr"",""it"")"),"Non mi piace PVC, preferisco il cotone.")</f>
        <v>Non mi piace PVC, preferisco il cotone.</v>
      </c>
    </row>
    <row r="2919">
      <c r="A2919" s="4">
        <v>2917.0</v>
      </c>
      <c r="B2919" s="5" t="s">
        <v>8758</v>
      </c>
      <c r="C2919" s="4">
        <v>1.0</v>
      </c>
      <c r="D2919" s="5" t="s">
        <v>8759</v>
      </c>
      <c r="E2919" s="5" t="s">
        <v>8760</v>
      </c>
      <c r="F2919" s="6" t="str">
        <f>IFERROR(__xludf.DUMMYFUNCTION("GOOGLETRANSLATE(D2919,""en"",""it"")"),"Non mi piace il cotone, preferisco il PVC.")</f>
        <v>Non mi piace il cotone, preferisco il PVC.</v>
      </c>
      <c r="G2919" s="6" t="str">
        <f>IFERROR(__xludf.DUMMYFUNCTION("GOOGLETRANSLATE(E2919,""fr"",""it"")"),"Non mi piace il cotone, preferisco il PVC.")</f>
        <v>Non mi piace il cotone, preferisco il PVC.</v>
      </c>
    </row>
    <row r="2920">
      <c r="A2920" s="4">
        <v>2918.0</v>
      </c>
      <c r="B2920" s="5" t="s">
        <v>8761</v>
      </c>
      <c r="C2920" s="4">
        <v>1.0</v>
      </c>
      <c r="D2920" s="5" t="s">
        <v>8762</v>
      </c>
      <c r="E2920" s="5" t="s">
        <v>8763</v>
      </c>
      <c r="F2920" s="6" t="str">
        <f>IFERROR(__xludf.DUMMYFUNCTION("GOOGLETRANSLATE(D2920,""en"",""it"")"),"Non mi piace PVC, preferisco il vetro.")</f>
        <v>Non mi piace PVC, preferisco il vetro.</v>
      </c>
      <c r="G2920" s="6" t="str">
        <f>IFERROR(__xludf.DUMMYFUNCTION("GOOGLETRANSLATE(E2920,""fr"",""it"")"),"Non mi piace PVC, preferisco il vetro.")</f>
        <v>Non mi piace PVC, preferisco il vetro.</v>
      </c>
    </row>
    <row r="2921">
      <c r="A2921" s="4">
        <v>2919.0</v>
      </c>
      <c r="B2921" s="5" t="s">
        <v>8764</v>
      </c>
      <c r="C2921" s="4">
        <v>1.0</v>
      </c>
      <c r="D2921" s="5" t="s">
        <v>8765</v>
      </c>
      <c r="E2921" s="5" t="s">
        <v>8766</v>
      </c>
      <c r="F2921" s="6" t="str">
        <f>IFERROR(__xludf.DUMMYFUNCTION("GOOGLETRANSLATE(D2921,""en"",""it"")"),"Non mi piace il vetro, preferisco il PVC.")</f>
        <v>Non mi piace il vetro, preferisco il PVC.</v>
      </c>
      <c r="G2921" s="6" t="str">
        <f>IFERROR(__xludf.DUMMYFUNCTION("GOOGLETRANSLATE(E2921,""fr"",""it"")"),"Non mi piace il vetro, preferisco il PVC.")</f>
        <v>Non mi piace il vetro, preferisco il PVC.</v>
      </c>
    </row>
    <row r="2922">
      <c r="A2922" s="4">
        <v>2920.0</v>
      </c>
      <c r="B2922" s="5" t="s">
        <v>8767</v>
      </c>
      <c r="C2922" s="4">
        <v>1.0</v>
      </c>
      <c r="D2922" s="5" t="s">
        <v>8768</v>
      </c>
      <c r="E2922" s="5" t="s">
        <v>8769</v>
      </c>
      <c r="F2922" s="6" t="str">
        <f>IFERROR(__xludf.DUMMYFUNCTION("GOOGLETRANSLATE(D2922,""en"",""it"")"),"Non mi piace PVC, preferisco la pelle.")</f>
        <v>Non mi piace PVC, preferisco la pelle.</v>
      </c>
      <c r="G2922" s="6" t="str">
        <f>IFERROR(__xludf.DUMMYFUNCTION("GOOGLETRANSLATE(E2922,""fr"",""it"")"),"Non mi piace PVC, preferisco la pelle.")</f>
        <v>Non mi piace PVC, preferisco la pelle.</v>
      </c>
    </row>
    <row r="2923">
      <c r="A2923" s="4">
        <v>2921.0</v>
      </c>
      <c r="B2923" s="5" t="s">
        <v>8770</v>
      </c>
      <c r="C2923" s="4">
        <v>1.0</v>
      </c>
      <c r="D2923" s="5" t="s">
        <v>8771</v>
      </c>
      <c r="E2923" s="5" t="s">
        <v>8772</v>
      </c>
      <c r="F2923" s="6" t="str">
        <f>IFERROR(__xludf.DUMMYFUNCTION("GOOGLETRANSLATE(D2923,""en"",""it"")"),"Non mi piace la pelle, preferisco il PVC.")</f>
        <v>Non mi piace la pelle, preferisco il PVC.</v>
      </c>
      <c r="G2923" s="6" t="str">
        <f>IFERROR(__xludf.DUMMYFUNCTION("GOOGLETRANSLATE(E2923,""fr"",""it"")"),"Non mi piace la pelle, preferisco il PVC.")</f>
        <v>Non mi piace la pelle, preferisco il PVC.</v>
      </c>
    </row>
    <row r="2924">
      <c r="A2924" s="4">
        <v>2922.0</v>
      </c>
      <c r="B2924" s="5" t="s">
        <v>8773</v>
      </c>
      <c r="C2924" s="4">
        <v>1.0</v>
      </c>
      <c r="D2924" s="5" t="s">
        <v>8774</v>
      </c>
      <c r="E2924" s="5" t="s">
        <v>8775</v>
      </c>
      <c r="F2924" s="6" t="str">
        <f>IFERROR(__xludf.DUMMYFUNCTION("GOOGLETRANSLATE(D2924,""en"",""it"")"),"Non mi piacciono le sedie, preferisco le coltellerie.")</f>
        <v>Non mi piacciono le sedie, preferisco le coltellerie.</v>
      </c>
      <c r="G2924" s="6" t="str">
        <f>IFERROR(__xludf.DUMMYFUNCTION("GOOGLETRANSLATE(E2924,""fr"",""it"")"),"Non mi piacciono le sedie, preferisco le coltellerie.")</f>
        <v>Non mi piacciono le sedie, preferisco le coltellerie.</v>
      </c>
    </row>
    <row r="2925">
      <c r="A2925" s="4">
        <v>2923.0</v>
      </c>
      <c r="B2925" s="5" t="s">
        <v>8776</v>
      </c>
      <c r="C2925" s="4">
        <v>1.0</v>
      </c>
      <c r="D2925" s="5" t="s">
        <v>8777</v>
      </c>
      <c r="E2925" s="5" t="s">
        <v>8778</v>
      </c>
      <c r="F2925" s="6" t="str">
        <f>IFERROR(__xludf.DUMMYFUNCTION("GOOGLETRANSLATE(D2925,""en"",""it"")"),"Non mi piacciono le posate, preferisco sedie.")</f>
        <v>Non mi piacciono le posate, preferisco sedie.</v>
      </c>
      <c r="G2925" s="6" t="str">
        <f>IFERROR(__xludf.DUMMYFUNCTION("GOOGLETRANSLATE(E2925,""fr"",""it"")"),"Non mi piacciono le posate, preferisco sedie.")</f>
        <v>Non mi piacciono le posate, preferisco sedie.</v>
      </c>
    </row>
    <row r="2926">
      <c r="A2926" s="4">
        <v>2924.0</v>
      </c>
      <c r="B2926" s="5" t="s">
        <v>8779</v>
      </c>
      <c r="C2926" s="4">
        <v>0.0</v>
      </c>
      <c r="D2926" s="5" t="s">
        <v>8780</v>
      </c>
      <c r="E2926" s="5" t="s">
        <v>8781</v>
      </c>
      <c r="F2926" s="6" t="str">
        <f>IFERROR(__xludf.DUMMYFUNCTION("GOOGLETRANSLATE(D2926,""en"",""it"")"),"Non mi piacciono le sedie, preferisco i mobili.")</f>
        <v>Non mi piacciono le sedie, preferisco i mobili.</v>
      </c>
      <c r="G2926" s="6" t="str">
        <f>IFERROR(__xludf.DUMMYFUNCTION("GOOGLETRANSLATE(E2926,""fr"",""it"")"),"Non mi piacciono le sedie, preferisco i mobili.")</f>
        <v>Non mi piacciono le sedie, preferisco i mobili.</v>
      </c>
    </row>
    <row r="2927">
      <c r="A2927" s="4">
        <v>2925.0</v>
      </c>
      <c r="B2927" s="5" t="s">
        <v>8782</v>
      </c>
      <c r="C2927" s="4">
        <v>0.0</v>
      </c>
      <c r="D2927" s="5" t="s">
        <v>8783</v>
      </c>
      <c r="E2927" s="5" t="s">
        <v>8784</v>
      </c>
      <c r="F2927" s="6" t="str">
        <f>IFERROR(__xludf.DUMMYFUNCTION("GOOGLETRANSLATE(D2927,""en"",""it"")"),"Non mi piacciono i mobili, preferisco sedie.")</f>
        <v>Non mi piacciono i mobili, preferisco sedie.</v>
      </c>
      <c r="G2927" s="6" t="str">
        <f>IFERROR(__xludf.DUMMYFUNCTION("GOOGLETRANSLATE(E2927,""fr"",""it"")"),"Non mi piacciono i mobili, preferisco sedie.")</f>
        <v>Non mi piacciono i mobili, preferisco sedie.</v>
      </c>
    </row>
    <row r="2928">
      <c r="A2928" s="4">
        <v>2926.0</v>
      </c>
      <c r="B2928" s="5" t="s">
        <v>8785</v>
      </c>
      <c r="C2928" s="4">
        <v>1.0</v>
      </c>
      <c r="D2928" s="5" t="s">
        <v>8786</v>
      </c>
      <c r="E2928" s="5" t="s">
        <v>8787</v>
      </c>
      <c r="F2928" s="6" t="str">
        <f>IFERROR(__xludf.DUMMYFUNCTION("GOOGLETRANSLATE(D2928,""en"",""it"")"),"Non mi piacciono i mobili, preferisco le coltellerie.")</f>
        <v>Non mi piacciono i mobili, preferisco le coltellerie.</v>
      </c>
      <c r="G2928" s="6" t="str">
        <f>IFERROR(__xludf.DUMMYFUNCTION("GOOGLETRANSLATE(E2928,""fr"",""it"")"),"Non mi piacciono i mobili, preferisco le coltellerie.")</f>
        <v>Non mi piacciono i mobili, preferisco le coltellerie.</v>
      </c>
    </row>
    <row r="2929">
      <c r="A2929" s="4">
        <v>2927.0</v>
      </c>
      <c r="B2929" s="5" t="s">
        <v>8788</v>
      </c>
      <c r="C2929" s="4">
        <v>1.0</v>
      </c>
      <c r="D2929" s="5" t="s">
        <v>8789</v>
      </c>
      <c r="E2929" s="5" t="s">
        <v>8790</v>
      </c>
      <c r="F2929" s="6" t="str">
        <f>IFERROR(__xludf.DUMMYFUNCTION("GOOGLETRANSLATE(D2929,""en"",""it"")"),"Non mi piacciono le sedie, preferisco i dipinti.")</f>
        <v>Non mi piacciono le sedie, preferisco i dipinti.</v>
      </c>
      <c r="G2929" s="6" t="str">
        <f>IFERROR(__xludf.DUMMYFUNCTION("GOOGLETRANSLATE(E2929,""fr"",""it"")"),"Non mi piacciono le sedie, preferisco i dipinti.")</f>
        <v>Non mi piacciono le sedie, preferisco i dipinti.</v>
      </c>
    </row>
    <row r="2930">
      <c r="A2930" s="4">
        <v>2928.0</v>
      </c>
      <c r="B2930" s="5" t="s">
        <v>8791</v>
      </c>
      <c r="C2930" s="4">
        <v>1.0</v>
      </c>
      <c r="D2930" s="5" t="s">
        <v>8792</v>
      </c>
      <c r="E2930" s="5" t="s">
        <v>8793</v>
      </c>
      <c r="F2930" s="6" t="str">
        <f>IFERROR(__xludf.DUMMYFUNCTION("GOOGLETRANSLATE(D2930,""en"",""it"")"),"Non mi piacciono i dipinti, preferisco le sedie.")</f>
        <v>Non mi piacciono i dipinti, preferisco le sedie.</v>
      </c>
      <c r="G2930" s="6" t="str">
        <f>IFERROR(__xludf.DUMMYFUNCTION("GOOGLETRANSLATE(E2930,""fr"",""it"")"),"Non mi piacciono i dipinti, preferisco le sedie.")</f>
        <v>Non mi piacciono i dipinti, preferisco le sedie.</v>
      </c>
    </row>
    <row r="2931">
      <c r="A2931" s="4">
        <v>2929.0</v>
      </c>
      <c r="B2931" s="5" t="s">
        <v>8794</v>
      </c>
      <c r="C2931" s="4">
        <v>1.0</v>
      </c>
      <c r="D2931" s="5" t="s">
        <v>8795</v>
      </c>
      <c r="E2931" s="5" t="s">
        <v>8796</v>
      </c>
      <c r="F2931" s="6" t="str">
        <f>IFERROR(__xludf.DUMMYFUNCTION("GOOGLETRANSLATE(D2931,""en"",""it"")"),"Non mi piacciono i mobili, preferisco i dipinti.")</f>
        <v>Non mi piacciono i mobili, preferisco i dipinti.</v>
      </c>
      <c r="G2931" s="6" t="str">
        <f>IFERROR(__xludf.DUMMYFUNCTION("GOOGLETRANSLATE(E2931,""fr"",""it"")"),"Non mi piacciono i mobili, preferisco i dipinti.")</f>
        <v>Non mi piacciono i mobili, preferisco i dipinti.</v>
      </c>
    </row>
    <row r="2932">
      <c r="A2932" s="4">
        <v>2930.0</v>
      </c>
      <c r="B2932" s="5" t="s">
        <v>8797</v>
      </c>
      <c r="C2932" s="4">
        <v>1.0</v>
      </c>
      <c r="D2932" s="5" t="s">
        <v>8798</v>
      </c>
      <c r="E2932" s="5" t="s">
        <v>8799</v>
      </c>
      <c r="F2932" s="6" t="str">
        <f>IFERROR(__xludf.DUMMYFUNCTION("GOOGLETRANSLATE(D2932,""en"",""it"")"),"Non mi piacciono le sedie, preferisco la carta da parati.")</f>
        <v>Non mi piacciono le sedie, preferisco la carta da parati.</v>
      </c>
      <c r="G2932" s="6" t="str">
        <f>IFERROR(__xludf.DUMMYFUNCTION("GOOGLETRANSLATE(E2932,""fr"",""it"")"),"Non mi piacciono le sedie, preferisco la carta da parati.")</f>
        <v>Non mi piacciono le sedie, preferisco la carta da parati.</v>
      </c>
    </row>
    <row r="2933">
      <c r="A2933" s="4">
        <v>2931.0</v>
      </c>
      <c r="B2933" s="5" t="s">
        <v>8800</v>
      </c>
      <c r="C2933" s="4">
        <v>1.0</v>
      </c>
      <c r="D2933" s="5" t="s">
        <v>8801</v>
      </c>
      <c r="E2933" s="5" t="s">
        <v>8802</v>
      </c>
      <c r="F2933" s="6" t="str">
        <f>IFERROR(__xludf.DUMMYFUNCTION("GOOGLETRANSLATE(D2933,""en"",""it"")"),"Non mi piace sfondo, preferisco sedie.")</f>
        <v>Non mi piace sfondo, preferisco sedie.</v>
      </c>
      <c r="G2933" s="6" t="str">
        <f>IFERROR(__xludf.DUMMYFUNCTION("GOOGLETRANSLATE(E2933,""fr"",""it"")"),"Non mi piace sfondo, preferisco sedie.")</f>
        <v>Non mi piace sfondo, preferisco sedie.</v>
      </c>
    </row>
    <row r="2934">
      <c r="A2934" s="4">
        <v>2932.0</v>
      </c>
      <c r="B2934" s="5" t="s">
        <v>8803</v>
      </c>
      <c r="C2934" s="4">
        <v>1.0</v>
      </c>
      <c r="D2934" s="5" t="s">
        <v>8804</v>
      </c>
      <c r="E2934" s="5" t="s">
        <v>8805</v>
      </c>
      <c r="F2934" s="6" t="str">
        <f>IFERROR(__xludf.DUMMYFUNCTION("GOOGLETRANSLATE(D2934,""en"",""it"")"),"Non mi piacciono i mobili, preferisco lo sfondo.")</f>
        <v>Non mi piacciono i mobili, preferisco lo sfondo.</v>
      </c>
      <c r="G2934" s="6" t="str">
        <f>IFERROR(__xludf.DUMMYFUNCTION("GOOGLETRANSLATE(E2934,""fr"",""it"")"),"Non mi piacciono i mobili, preferisco lo sfondo.")</f>
        <v>Non mi piacciono i mobili, preferisco lo sfondo.</v>
      </c>
    </row>
    <row r="2935">
      <c r="A2935" s="4">
        <v>2933.0</v>
      </c>
      <c r="B2935" s="5" t="s">
        <v>8806</v>
      </c>
      <c r="C2935" s="4">
        <v>1.0</v>
      </c>
      <c r="D2935" s="5" t="s">
        <v>8807</v>
      </c>
      <c r="E2935" s="5" t="s">
        <v>8808</v>
      </c>
      <c r="F2935" s="6" t="str">
        <f>IFERROR(__xludf.DUMMYFUNCTION("GOOGLETRANSLATE(D2935,""en"",""it"")"),"Non mi piacciono le sedie, preferisco il parquet.")</f>
        <v>Non mi piacciono le sedie, preferisco il parquet.</v>
      </c>
      <c r="G2935" s="6" t="str">
        <f>IFERROR(__xludf.DUMMYFUNCTION("GOOGLETRANSLATE(E2935,""fr"",""it"")"),"Non mi piacciono le sedie, preferisco il pavimento.")</f>
        <v>Non mi piacciono le sedie, preferisco il pavimento.</v>
      </c>
    </row>
    <row r="2936">
      <c r="A2936" s="4">
        <v>2934.0</v>
      </c>
      <c r="B2936" s="5" t="s">
        <v>8809</v>
      </c>
      <c r="C2936" s="4">
        <v>1.0</v>
      </c>
      <c r="D2936" s="5" t="s">
        <v>8810</v>
      </c>
      <c r="E2936" s="5" t="s">
        <v>8811</v>
      </c>
      <c r="F2936" s="6" t="str">
        <f>IFERROR(__xludf.DUMMYFUNCTION("GOOGLETRANSLATE(D2936,""en"",""it"")"),"Non mi piace il parquet, preferisco le sedie.")</f>
        <v>Non mi piace il parquet, preferisco le sedie.</v>
      </c>
      <c r="G2936" s="6" t="str">
        <f>IFERROR(__xludf.DUMMYFUNCTION("GOOGLETRANSLATE(E2936,""fr"",""it"")"),"Non mi piace il pavimento, preferisco le sedie.")</f>
        <v>Non mi piace il pavimento, preferisco le sedie.</v>
      </c>
    </row>
    <row r="2937">
      <c r="A2937" s="4">
        <v>2935.0</v>
      </c>
      <c r="B2937" s="5" t="s">
        <v>8812</v>
      </c>
      <c r="C2937" s="4">
        <v>1.0</v>
      </c>
      <c r="D2937" s="5" t="s">
        <v>8813</v>
      </c>
      <c r="E2937" s="5" t="s">
        <v>8814</v>
      </c>
      <c r="F2937" s="6" t="str">
        <f>IFERROR(__xludf.DUMMYFUNCTION("GOOGLETRANSLATE(D2937,""en"",""it"")"),"Non mi piacciono i mobili, preferisco il parquet.")</f>
        <v>Non mi piacciono i mobili, preferisco il parquet.</v>
      </c>
      <c r="G2937" s="6" t="str">
        <f>IFERROR(__xludf.DUMMYFUNCTION("GOOGLETRANSLATE(E2937,""fr"",""it"")"),"Non mi piacciono i mobili, preferisco il pavimento.")</f>
        <v>Non mi piacciono i mobili, preferisco il pavimento.</v>
      </c>
    </row>
    <row r="2938">
      <c r="A2938" s="4">
        <v>2936.0</v>
      </c>
      <c r="B2938" s="5" t="s">
        <v>8815</v>
      </c>
      <c r="C2938" s="4">
        <v>1.0</v>
      </c>
      <c r="D2938" s="5" t="s">
        <v>8816</v>
      </c>
      <c r="E2938" s="5" t="s">
        <v>8817</v>
      </c>
      <c r="F2938" s="6" t="str">
        <f>IFERROR(__xludf.DUMMYFUNCTION("GOOGLETRANSLATE(D2938,""en"",""it"")"),"Non mi piacciono i tavoli, preferisco la posate.")</f>
        <v>Non mi piacciono i tavoli, preferisco la posate.</v>
      </c>
      <c r="G2938" s="6" t="str">
        <f>IFERROR(__xludf.DUMMYFUNCTION("GOOGLETRANSLATE(E2938,""fr"",""it"")"),"Non mi piacciono i tavoli, preferisco la posate.")</f>
        <v>Non mi piacciono i tavoli, preferisco la posate.</v>
      </c>
    </row>
    <row r="2939">
      <c r="A2939" s="4">
        <v>2937.0</v>
      </c>
      <c r="B2939" s="5" t="s">
        <v>8818</v>
      </c>
      <c r="C2939" s="4">
        <v>1.0</v>
      </c>
      <c r="D2939" s="5" t="s">
        <v>8819</v>
      </c>
      <c r="E2939" s="5" t="s">
        <v>8820</v>
      </c>
      <c r="F2939" s="6" t="str">
        <f>IFERROR(__xludf.DUMMYFUNCTION("GOOGLETRANSLATE(D2939,""en"",""it"")"),"Non mi piacciono le posate, preferisco i tavoli.")</f>
        <v>Non mi piacciono le posate, preferisco i tavoli.</v>
      </c>
      <c r="G2939" s="6" t="str">
        <f>IFERROR(__xludf.DUMMYFUNCTION("GOOGLETRANSLATE(E2939,""fr"",""it"")"),"Non mi piacciono le posate, preferisco i tavoli.")</f>
        <v>Non mi piacciono le posate, preferisco i tavoli.</v>
      </c>
    </row>
    <row r="2940">
      <c r="A2940" s="4">
        <v>2938.0</v>
      </c>
      <c r="B2940" s="5" t="s">
        <v>8821</v>
      </c>
      <c r="C2940" s="4">
        <v>0.0</v>
      </c>
      <c r="D2940" s="5" t="s">
        <v>8822</v>
      </c>
      <c r="E2940" s="5" t="s">
        <v>8823</v>
      </c>
      <c r="F2940" s="6" t="str">
        <f>IFERROR(__xludf.DUMMYFUNCTION("GOOGLETRANSLATE(D2940,""en"",""it"")"),"Non mi piacciono i tavoli, preferisco i mobili.")</f>
        <v>Non mi piacciono i tavoli, preferisco i mobili.</v>
      </c>
      <c r="G2940" s="6" t="str">
        <f>IFERROR(__xludf.DUMMYFUNCTION("GOOGLETRANSLATE(E2940,""fr"",""it"")"),"Non mi piacciono i tavoli, preferisco i mobili.")</f>
        <v>Non mi piacciono i tavoli, preferisco i mobili.</v>
      </c>
    </row>
    <row r="2941">
      <c r="A2941" s="4">
        <v>2939.0</v>
      </c>
      <c r="B2941" s="5" t="s">
        <v>8824</v>
      </c>
      <c r="C2941" s="4">
        <v>0.0</v>
      </c>
      <c r="D2941" s="5" t="s">
        <v>8825</v>
      </c>
      <c r="E2941" s="5" t="s">
        <v>8826</v>
      </c>
      <c r="F2941" s="6" t="str">
        <f>IFERROR(__xludf.DUMMYFUNCTION("GOOGLETRANSLATE(D2941,""en"",""it"")"),"Non mi piacciono i mobili, preferisco i tavoli.")</f>
        <v>Non mi piacciono i mobili, preferisco i tavoli.</v>
      </c>
      <c r="G2941" s="6" t="str">
        <f>IFERROR(__xludf.DUMMYFUNCTION("GOOGLETRANSLATE(E2941,""fr"",""it"")"),"Non mi piacciono i mobili, preferisco i tavoli.")</f>
        <v>Non mi piacciono i mobili, preferisco i tavoli.</v>
      </c>
    </row>
    <row r="2942">
      <c r="A2942" s="4">
        <v>2940.0</v>
      </c>
      <c r="B2942" s="5" t="s">
        <v>8827</v>
      </c>
      <c r="C2942" s="4">
        <v>1.0</v>
      </c>
      <c r="D2942" s="5" t="s">
        <v>8828</v>
      </c>
      <c r="E2942" s="5" t="s">
        <v>8829</v>
      </c>
      <c r="F2942" s="6" t="str">
        <f>IFERROR(__xludf.DUMMYFUNCTION("GOOGLETRANSLATE(D2942,""en"",""it"")"),"Non mi piacciono i tavoli, preferisco i dipinti.")</f>
        <v>Non mi piacciono i tavoli, preferisco i dipinti.</v>
      </c>
      <c r="G2942" s="6" t="str">
        <f>IFERROR(__xludf.DUMMYFUNCTION("GOOGLETRANSLATE(E2942,""fr"",""it"")"),"Non mi piacciono i tavoli, preferisco i dipinti.")</f>
        <v>Non mi piacciono i tavoli, preferisco i dipinti.</v>
      </c>
    </row>
    <row r="2943">
      <c r="A2943" s="4">
        <v>2941.0</v>
      </c>
      <c r="B2943" s="5" t="s">
        <v>8830</v>
      </c>
      <c r="C2943" s="4">
        <v>1.0</v>
      </c>
      <c r="D2943" s="5" t="s">
        <v>8831</v>
      </c>
      <c r="E2943" s="5" t="s">
        <v>8832</v>
      </c>
      <c r="F2943" s="6" t="str">
        <f>IFERROR(__xludf.DUMMYFUNCTION("GOOGLETRANSLATE(D2943,""en"",""it"")"),"Non mi piacciono i dipinti, preferisco i tavoli.")</f>
        <v>Non mi piacciono i dipinti, preferisco i tavoli.</v>
      </c>
      <c r="G2943" s="6" t="str">
        <f>IFERROR(__xludf.DUMMYFUNCTION("GOOGLETRANSLATE(E2943,""fr"",""it"")"),"Non mi piacciono i dipinti, preferisco i tavoli.")</f>
        <v>Non mi piacciono i dipinti, preferisco i tavoli.</v>
      </c>
    </row>
    <row r="2944">
      <c r="A2944" s="4">
        <v>2942.0</v>
      </c>
      <c r="B2944" s="5" t="s">
        <v>8833</v>
      </c>
      <c r="C2944" s="4">
        <v>1.0</v>
      </c>
      <c r="D2944" s="5" t="s">
        <v>8834</v>
      </c>
      <c r="E2944" s="5" t="s">
        <v>8835</v>
      </c>
      <c r="F2944" s="6" t="str">
        <f>IFERROR(__xludf.DUMMYFUNCTION("GOOGLETRANSLATE(D2944,""en"",""it"")"),"Non mi piacciono i tavoli, preferisco lo sfondo.")</f>
        <v>Non mi piacciono i tavoli, preferisco lo sfondo.</v>
      </c>
      <c r="G2944" s="6" t="str">
        <f>IFERROR(__xludf.DUMMYFUNCTION("GOOGLETRANSLATE(E2944,""fr"",""it"")"),"Non mi piacciono i tavoli, preferisco la carta da parati.")</f>
        <v>Non mi piacciono i tavoli, preferisco la carta da parati.</v>
      </c>
    </row>
    <row r="2945">
      <c r="A2945" s="4">
        <v>2943.0</v>
      </c>
      <c r="B2945" s="5" t="s">
        <v>8836</v>
      </c>
      <c r="C2945" s="4">
        <v>1.0</v>
      </c>
      <c r="D2945" s="5" t="s">
        <v>8837</v>
      </c>
      <c r="E2945" s="5" t="s">
        <v>8838</v>
      </c>
      <c r="F2945" s="6" t="str">
        <f>IFERROR(__xludf.DUMMYFUNCTION("GOOGLETRANSLATE(D2945,""en"",""it"")"),"Non mi piace sfondo, preferisco i tavoli.")</f>
        <v>Non mi piace sfondo, preferisco i tavoli.</v>
      </c>
      <c r="G2945" s="6" t="str">
        <f>IFERROR(__xludf.DUMMYFUNCTION("GOOGLETRANSLATE(E2945,""fr"",""it"")"),"Non mi piace sfondo, preferisco i tavoli.")</f>
        <v>Non mi piace sfondo, preferisco i tavoli.</v>
      </c>
    </row>
    <row r="2946">
      <c r="A2946" s="4">
        <v>2944.0</v>
      </c>
      <c r="B2946" s="5" t="s">
        <v>8839</v>
      </c>
      <c r="C2946" s="4">
        <v>1.0</v>
      </c>
      <c r="D2946" s="5" t="s">
        <v>8840</v>
      </c>
      <c r="E2946" s="5" t="s">
        <v>8841</v>
      </c>
      <c r="F2946" s="6" t="str">
        <f>IFERROR(__xludf.DUMMYFUNCTION("GOOGLETRANSLATE(D2946,""en"",""it"")"),"Non mi piacciono i tavoli, preferisco il parquet.")</f>
        <v>Non mi piacciono i tavoli, preferisco il parquet.</v>
      </c>
      <c r="G2946" s="6" t="str">
        <f>IFERROR(__xludf.DUMMYFUNCTION("GOOGLETRANSLATE(E2946,""fr"",""it"")"),"Non mi piacciono i tavoli, preferisco il pavimento.")</f>
        <v>Non mi piacciono i tavoli, preferisco il pavimento.</v>
      </c>
    </row>
    <row r="2947">
      <c r="A2947" s="4">
        <v>2945.0</v>
      </c>
      <c r="B2947" s="5" t="s">
        <v>8842</v>
      </c>
      <c r="C2947" s="4">
        <v>1.0</v>
      </c>
      <c r="D2947" s="5" t="s">
        <v>8843</v>
      </c>
      <c r="E2947" s="5" t="s">
        <v>8844</v>
      </c>
      <c r="F2947" s="6" t="str">
        <f>IFERROR(__xludf.DUMMYFUNCTION("GOOGLETRANSLATE(D2947,""en"",""it"")"),"Non mi piace il parquet, preferisco i tavoli.")</f>
        <v>Non mi piace il parquet, preferisco i tavoli.</v>
      </c>
      <c r="G2947" s="6" t="str">
        <f>IFERROR(__xludf.DUMMYFUNCTION("GOOGLETRANSLATE(E2947,""fr"",""it"")"),"Non mi piace il pavimento, preferisco i tavoli.")</f>
        <v>Non mi piace il pavimento, preferisco i tavoli.</v>
      </c>
    </row>
    <row r="2948">
      <c r="A2948" s="4">
        <v>2946.0</v>
      </c>
      <c r="B2948" s="5" t="s">
        <v>8845</v>
      </c>
      <c r="C2948" s="4">
        <v>1.0</v>
      </c>
      <c r="D2948" s="5" t="s">
        <v>8846</v>
      </c>
      <c r="E2948" s="5" t="s">
        <v>8847</v>
      </c>
      <c r="F2948" s="6" t="str">
        <f>IFERROR(__xludf.DUMMYFUNCTION("GOOGLETRANSLATE(D2948,""en"",""it"")"),"Non mi piacciono gli armadi, preferisco le coltellerie.")</f>
        <v>Non mi piacciono gli armadi, preferisco le coltellerie.</v>
      </c>
      <c r="G2948" s="6" t="str">
        <f>IFERROR(__xludf.DUMMYFUNCTION("GOOGLETRANSLATE(E2948,""fr"",""it"")"),"Non mi piacciono gli armadietti, preferisco le coltellerie.")</f>
        <v>Non mi piacciono gli armadietti, preferisco le coltellerie.</v>
      </c>
    </row>
    <row r="2949">
      <c r="A2949" s="4">
        <v>2947.0</v>
      </c>
      <c r="B2949" s="5" t="s">
        <v>8848</v>
      </c>
      <c r="C2949" s="4">
        <v>1.0</v>
      </c>
      <c r="D2949" s="5" t="s">
        <v>8849</v>
      </c>
      <c r="E2949" s="5" t="s">
        <v>8850</v>
      </c>
      <c r="F2949" s="6" t="str">
        <f>IFERROR(__xludf.DUMMYFUNCTION("GOOGLETRANSLATE(D2949,""en"",""it"")"),"Non mi piacciono le posate, preferisco gli armadi.")</f>
        <v>Non mi piacciono le posate, preferisco gli armadi.</v>
      </c>
      <c r="G2949" s="6" t="str">
        <f>IFERROR(__xludf.DUMMYFUNCTION("GOOGLETRANSLATE(E2949,""fr"",""it"")"),"Non mi piacciono le posate, preferisco gli armadietti.")</f>
        <v>Non mi piacciono le posate, preferisco gli armadietti.</v>
      </c>
    </row>
    <row r="2950">
      <c r="A2950" s="4">
        <v>2948.0</v>
      </c>
      <c r="B2950" s="5" t="s">
        <v>8851</v>
      </c>
      <c r="C2950" s="4">
        <v>0.0</v>
      </c>
      <c r="D2950" s="5" t="s">
        <v>8852</v>
      </c>
      <c r="E2950" s="5" t="s">
        <v>8853</v>
      </c>
      <c r="F2950" s="6" t="str">
        <f>IFERROR(__xludf.DUMMYFUNCTION("GOOGLETRANSLATE(D2950,""en"",""it"")"),"Non mi piacciono gli armadi, preferisco i mobili.")</f>
        <v>Non mi piacciono gli armadi, preferisco i mobili.</v>
      </c>
      <c r="G2950" s="6" t="str">
        <f>IFERROR(__xludf.DUMMYFUNCTION("GOOGLETRANSLATE(E2950,""fr"",""it"")"),"Non mi piacciono gli armadietti, preferisco i mobili.")</f>
        <v>Non mi piacciono gli armadietti, preferisco i mobili.</v>
      </c>
    </row>
    <row r="2951">
      <c r="A2951" s="4">
        <v>2949.0</v>
      </c>
      <c r="B2951" s="5" t="s">
        <v>8854</v>
      </c>
      <c r="C2951" s="4">
        <v>0.0</v>
      </c>
      <c r="D2951" s="5" t="s">
        <v>8855</v>
      </c>
      <c r="E2951" s="5" t="s">
        <v>8856</v>
      </c>
      <c r="F2951" s="6" t="str">
        <f>IFERROR(__xludf.DUMMYFUNCTION("GOOGLETRANSLATE(D2951,""en"",""it"")"),"Non mi piace mobili, preferisco gli armadi.")</f>
        <v>Non mi piace mobili, preferisco gli armadi.</v>
      </c>
      <c r="G2951" s="6" t="str">
        <f>IFERROR(__xludf.DUMMYFUNCTION("GOOGLETRANSLATE(E2951,""fr"",""it"")"),"Non mi piacciono i mobili, preferisco gli armadietti.")</f>
        <v>Non mi piacciono i mobili, preferisco gli armadietti.</v>
      </c>
    </row>
    <row r="2952">
      <c r="A2952" s="4">
        <v>2950.0</v>
      </c>
      <c r="B2952" s="5" t="s">
        <v>8857</v>
      </c>
      <c r="C2952" s="4">
        <v>1.0</v>
      </c>
      <c r="D2952" s="5" t="s">
        <v>8858</v>
      </c>
      <c r="E2952" s="5" t="s">
        <v>8859</v>
      </c>
      <c r="F2952" s="6" t="str">
        <f>IFERROR(__xludf.DUMMYFUNCTION("GOOGLETRANSLATE(D2952,""en"",""it"")"),"Non mi piacciono gli armadi, preferisco i dipinti.")</f>
        <v>Non mi piacciono gli armadi, preferisco i dipinti.</v>
      </c>
      <c r="G2952" s="6" t="str">
        <f>IFERROR(__xludf.DUMMYFUNCTION("GOOGLETRANSLATE(E2952,""fr"",""it"")"),"Non mi piacciono gli armadietti, preferisco i dipinti.")</f>
        <v>Non mi piacciono gli armadietti, preferisco i dipinti.</v>
      </c>
    </row>
    <row r="2953">
      <c r="A2953" s="4">
        <v>2951.0</v>
      </c>
      <c r="B2953" s="5" t="s">
        <v>8860</v>
      </c>
      <c r="C2953" s="4">
        <v>1.0</v>
      </c>
      <c r="D2953" s="5" t="s">
        <v>8861</v>
      </c>
      <c r="E2953" s="5" t="s">
        <v>8862</v>
      </c>
      <c r="F2953" s="6" t="str">
        <f>IFERROR(__xludf.DUMMYFUNCTION("GOOGLETRANSLATE(D2953,""en"",""it"")"),"Non mi piacciono i dipinti, preferisco gli armadi.")</f>
        <v>Non mi piacciono i dipinti, preferisco gli armadi.</v>
      </c>
      <c r="G2953" s="6" t="str">
        <f>IFERROR(__xludf.DUMMYFUNCTION("GOOGLETRANSLATE(E2953,""fr"",""it"")"),"Non mi piacciono i dipinti, preferisco gli armadietti.")</f>
        <v>Non mi piacciono i dipinti, preferisco gli armadietti.</v>
      </c>
    </row>
    <row r="2954">
      <c r="A2954" s="4">
        <v>2952.0</v>
      </c>
      <c r="B2954" s="5" t="s">
        <v>8863</v>
      </c>
      <c r="C2954" s="4">
        <v>1.0</v>
      </c>
      <c r="D2954" s="5" t="s">
        <v>8864</v>
      </c>
      <c r="E2954" s="5" t="s">
        <v>8865</v>
      </c>
      <c r="F2954" s="6" t="str">
        <f>IFERROR(__xludf.DUMMYFUNCTION("GOOGLETRANSLATE(D2954,""en"",""it"")"),"Non mi piacciono gli armadi, preferisco lo sfondo.")</f>
        <v>Non mi piacciono gli armadi, preferisco lo sfondo.</v>
      </c>
      <c r="G2954" s="6" t="str">
        <f>IFERROR(__xludf.DUMMYFUNCTION("GOOGLETRANSLATE(E2954,""fr"",""it"")"),"Non mi piacciono gli armadietti, preferisco lo sfondo.")</f>
        <v>Non mi piacciono gli armadietti, preferisco lo sfondo.</v>
      </c>
    </row>
    <row r="2955">
      <c r="A2955" s="4">
        <v>2953.0</v>
      </c>
      <c r="B2955" s="5" t="s">
        <v>8866</v>
      </c>
      <c r="C2955" s="4">
        <v>1.0</v>
      </c>
      <c r="D2955" s="5" t="s">
        <v>8867</v>
      </c>
      <c r="E2955" s="5" t="s">
        <v>8868</v>
      </c>
      <c r="F2955" s="6" t="str">
        <f>IFERROR(__xludf.DUMMYFUNCTION("GOOGLETRANSLATE(D2955,""en"",""it"")"),"Non mi piace sfondo, preferisco gli armadi.")</f>
        <v>Non mi piace sfondo, preferisco gli armadi.</v>
      </c>
      <c r="G2955" s="6" t="str">
        <f>IFERROR(__xludf.DUMMYFUNCTION("GOOGLETRANSLATE(E2955,""fr"",""it"")"),"Non mi piace sfondo, preferisco gli armadietti.")</f>
        <v>Non mi piace sfondo, preferisco gli armadietti.</v>
      </c>
    </row>
    <row r="2956">
      <c r="A2956" s="4">
        <v>2954.0</v>
      </c>
      <c r="B2956" s="5" t="s">
        <v>8869</v>
      </c>
      <c r="C2956" s="4">
        <v>1.0</v>
      </c>
      <c r="D2956" s="5" t="s">
        <v>8870</v>
      </c>
      <c r="E2956" s="5" t="s">
        <v>8871</v>
      </c>
      <c r="F2956" s="6" t="str">
        <f>IFERROR(__xludf.DUMMYFUNCTION("GOOGLETRANSLATE(D2956,""en"",""it"")"),"Non mi piacciono gli armadi, preferisco il parquet.")</f>
        <v>Non mi piacciono gli armadi, preferisco il parquet.</v>
      </c>
      <c r="G2956" s="6" t="str">
        <f>IFERROR(__xludf.DUMMYFUNCTION("GOOGLETRANSLATE(E2956,""fr"",""it"")"),"Non mi piacciono gli armadietti, preferisco il pavimento.")</f>
        <v>Non mi piacciono gli armadietti, preferisco il pavimento.</v>
      </c>
    </row>
    <row r="2957">
      <c r="A2957" s="4">
        <v>2955.0</v>
      </c>
      <c r="B2957" s="5" t="s">
        <v>8872</v>
      </c>
      <c r="C2957" s="4">
        <v>1.0</v>
      </c>
      <c r="D2957" s="5" t="s">
        <v>8873</v>
      </c>
      <c r="E2957" s="5" t="s">
        <v>8874</v>
      </c>
      <c r="F2957" s="6" t="str">
        <f>IFERROR(__xludf.DUMMYFUNCTION("GOOGLETRANSLATE(D2957,""en"",""it"")"),"Non mi piace il parquet, preferisco gli armadi.")</f>
        <v>Non mi piace il parquet, preferisco gli armadi.</v>
      </c>
      <c r="G2957" s="6" t="str">
        <f>IFERROR(__xludf.DUMMYFUNCTION("GOOGLETRANSLATE(E2957,""fr"",""it"")"),"Non mi piace il pavimento, preferisco gli armadietti.")</f>
        <v>Non mi piace il pavimento, preferisco gli armadietti.</v>
      </c>
    </row>
    <row r="2958">
      <c r="A2958" s="4">
        <v>2956.0</v>
      </c>
      <c r="B2958" s="5" t="s">
        <v>8875</v>
      </c>
      <c r="C2958" s="4">
        <v>1.0</v>
      </c>
      <c r="D2958" s="5" t="s">
        <v>8876</v>
      </c>
      <c r="E2958" s="5" t="s">
        <v>8877</v>
      </c>
      <c r="F2958" s="6" t="str">
        <f>IFERROR(__xludf.DUMMYFUNCTION("GOOGLETRANSLATE(D2958,""en"",""it"")"),"Non mi piacciono i letti, preferisco le coltellerie.")</f>
        <v>Non mi piacciono i letti, preferisco le coltellerie.</v>
      </c>
      <c r="G2958" s="6" t="str">
        <f>IFERROR(__xludf.DUMMYFUNCTION("GOOGLETRANSLATE(E2958,""fr"",""it"")"),"Non mi piacciono i letti, preferisco le coltellerie.")</f>
        <v>Non mi piacciono i letti, preferisco le coltellerie.</v>
      </c>
    </row>
    <row r="2959">
      <c r="A2959" s="4">
        <v>2957.0</v>
      </c>
      <c r="B2959" s="5" t="s">
        <v>8878</v>
      </c>
      <c r="C2959" s="4">
        <v>1.0</v>
      </c>
      <c r="D2959" s="5" t="s">
        <v>8879</v>
      </c>
      <c r="E2959" s="5" t="s">
        <v>8880</v>
      </c>
      <c r="F2959" s="6" t="str">
        <f>IFERROR(__xludf.DUMMYFUNCTION("GOOGLETRANSLATE(D2959,""en"",""it"")"),"Non mi piacciono le posate, preferisco i letti.")</f>
        <v>Non mi piacciono le posate, preferisco i letti.</v>
      </c>
      <c r="G2959" s="6" t="str">
        <f>IFERROR(__xludf.DUMMYFUNCTION("GOOGLETRANSLATE(E2959,""fr"",""it"")"),"Non mi piacciono le posate, preferisco i letti.")</f>
        <v>Non mi piacciono le posate, preferisco i letti.</v>
      </c>
    </row>
    <row r="2960">
      <c r="A2960" s="4">
        <v>2958.0</v>
      </c>
      <c r="B2960" s="5" t="s">
        <v>8881</v>
      </c>
      <c r="C2960" s="4">
        <v>0.0</v>
      </c>
      <c r="D2960" s="5" t="s">
        <v>8882</v>
      </c>
      <c r="E2960" s="5" t="s">
        <v>8883</v>
      </c>
      <c r="F2960" s="6" t="str">
        <f>IFERROR(__xludf.DUMMYFUNCTION("GOOGLETRANSLATE(D2960,""en"",""it"")"),"Non mi piacciono i letti, preferisco i mobili.")</f>
        <v>Non mi piacciono i letti, preferisco i mobili.</v>
      </c>
      <c r="G2960" s="6" t="str">
        <f>IFERROR(__xludf.DUMMYFUNCTION("GOOGLETRANSLATE(E2960,""fr"",""it"")"),"Non mi piacciono i letti, preferisco i mobili.")</f>
        <v>Non mi piacciono i letti, preferisco i mobili.</v>
      </c>
    </row>
    <row r="2961">
      <c r="A2961" s="4">
        <v>2959.0</v>
      </c>
      <c r="B2961" s="5" t="s">
        <v>8884</v>
      </c>
      <c r="C2961" s="4">
        <v>0.0</v>
      </c>
      <c r="D2961" s="5" t="s">
        <v>8885</v>
      </c>
      <c r="E2961" s="5" t="s">
        <v>8886</v>
      </c>
      <c r="F2961" s="6" t="str">
        <f>IFERROR(__xludf.DUMMYFUNCTION("GOOGLETRANSLATE(D2961,""en"",""it"")"),"Non mi piace mobili, preferisco i letti.")</f>
        <v>Non mi piace mobili, preferisco i letti.</v>
      </c>
      <c r="G2961" s="6" t="str">
        <f>IFERROR(__xludf.DUMMYFUNCTION("GOOGLETRANSLATE(E2961,""fr"",""it"")"),"Non mi piace mobili, preferisco i letti.")</f>
        <v>Non mi piace mobili, preferisco i letti.</v>
      </c>
    </row>
    <row r="2962">
      <c r="A2962" s="4">
        <v>2960.0</v>
      </c>
      <c r="B2962" s="5" t="s">
        <v>8887</v>
      </c>
      <c r="C2962" s="4">
        <v>1.0</v>
      </c>
      <c r="D2962" s="5" t="s">
        <v>8888</v>
      </c>
      <c r="E2962" s="5" t="s">
        <v>8889</v>
      </c>
      <c r="F2962" s="6" t="str">
        <f>IFERROR(__xludf.DUMMYFUNCTION("GOOGLETRANSLATE(D2962,""en"",""it"")"),"Non mi piacciono i letti, preferisco i dipinti.")</f>
        <v>Non mi piacciono i letti, preferisco i dipinti.</v>
      </c>
      <c r="G2962" s="6" t="str">
        <f>IFERROR(__xludf.DUMMYFUNCTION("GOOGLETRANSLATE(E2962,""fr"",""it"")"),"Non mi piacciono i letti, preferisco i dipinti.")</f>
        <v>Non mi piacciono i letti, preferisco i dipinti.</v>
      </c>
    </row>
    <row r="2963">
      <c r="A2963" s="4">
        <v>2961.0</v>
      </c>
      <c r="B2963" s="5" t="s">
        <v>8890</v>
      </c>
      <c r="C2963" s="4">
        <v>1.0</v>
      </c>
      <c r="D2963" s="5" t="s">
        <v>8891</v>
      </c>
      <c r="E2963" s="5" t="s">
        <v>8892</v>
      </c>
      <c r="F2963" s="6" t="str">
        <f>IFERROR(__xludf.DUMMYFUNCTION("GOOGLETRANSLATE(D2963,""en"",""it"")"),"Non mi piacciono i dipinti, preferisco i letti.")</f>
        <v>Non mi piacciono i dipinti, preferisco i letti.</v>
      </c>
      <c r="G2963" s="6" t="str">
        <f>IFERROR(__xludf.DUMMYFUNCTION("GOOGLETRANSLATE(E2963,""fr"",""it"")"),"Non mi piacciono i dipinti, preferisco i letti.")</f>
        <v>Non mi piacciono i dipinti, preferisco i letti.</v>
      </c>
    </row>
    <row r="2964">
      <c r="A2964" s="4">
        <v>2962.0</v>
      </c>
      <c r="B2964" s="5" t="s">
        <v>8893</v>
      </c>
      <c r="C2964" s="4">
        <v>1.0</v>
      </c>
      <c r="D2964" s="5" t="s">
        <v>8894</v>
      </c>
      <c r="E2964" s="5" t="s">
        <v>8895</v>
      </c>
      <c r="F2964" s="6" t="str">
        <f>IFERROR(__xludf.DUMMYFUNCTION("GOOGLETRANSLATE(D2964,""en"",""it"")"),"Non mi piacciono i letti, preferisco la carta da parati.")</f>
        <v>Non mi piacciono i letti, preferisco la carta da parati.</v>
      </c>
      <c r="G2964" s="6" t="str">
        <f>IFERROR(__xludf.DUMMYFUNCTION("GOOGLETRANSLATE(E2964,""fr"",""it"")"),"Non mi piacciono i letti, preferisco la carta da parati.")</f>
        <v>Non mi piacciono i letti, preferisco la carta da parati.</v>
      </c>
    </row>
    <row r="2965">
      <c r="A2965" s="4">
        <v>2963.0</v>
      </c>
      <c r="B2965" s="5" t="s">
        <v>8896</v>
      </c>
      <c r="C2965" s="4">
        <v>1.0</v>
      </c>
      <c r="D2965" s="5" t="s">
        <v>8897</v>
      </c>
      <c r="E2965" s="5" t="s">
        <v>8898</v>
      </c>
      <c r="F2965" s="6" t="str">
        <f>IFERROR(__xludf.DUMMYFUNCTION("GOOGLETRANSLATE(D2965,""en"",""it"")"),"Non mi piace sfondo, preferisco i letti.")</f>
        <v>Non mi piace sfondo, preferisco i letti.</v>
      </c>
      <c r="G2965" s="6" t="str">
        <f>IFERROR(__xludf.DUMMYFUNCTION("GOOGLETRANSLATE(E2965,""fr"",""it"")"),"Non mi piace sfondo, preferisco i letti.")</f>
        <v>Non mi piace sfondo, preferisco i letti.</v>
      </c>
    </row>
    <row r="2966">
      <c r="A2966" s="4">
        <v>2964.0</v>
      </c>
      <c r="B2966" s="5" t="s">
        <v>8899</v>
      </c>
      <c r="C2966" s="4">
        <v>1.0</v>
      </c>
      <c r="D2966" s="5" t="s">
        <v>8900</v>
      </c>
      <c r="E2966" s="5" t="s">
        <v>8901</v>
      </c>
      <c r="F2966" s="6" t="str">
        <f>IFERROR(__xludf.DUMMYFUNCTION("GOOGLETRANSLATE(D2966,""en"",""it"")"),"Non mi piacciono i letti, preferisco il parquet.")</f>
        <v>Non mi piacciono i letti, preferisco il parquet.</v>
      </c>
      <c r="G2966" s="6" t="str">
        <f>IFERROR(__xludf.DUMMYFUNCTION("GOOGLETRANSLATE(E2966,""fr"",""it"")"),"Non mi piacciono i letti, preferisco il pavimento.")</f>
        <v>Non mi piacciono i letti, preferisco il pavimento.</v>
      </c>
    </row>
    <row r="2967">
      <c r="A2967" s="4">
        <v>2965.0</v>
      </c>
      <c r="B2967" s="5" t="s">
        <v>8902</v>
      </c>
      <c r="C2967" s="4">
        <v>1.0</v>
      </c>
      <c r="D2967" s="5" t="s">
        <v>8903</v>
      </c>
      <c r="E2967" s="5" t="s">
        <v>8904</v>
      </c>
      <c r="F2967" s="6" t="str">
        <f>IFERROR(__xludf.DUMMYFUNCTION("GOOGLETRANSLATE(D2967,""en"",""it"")"),"Non mi piace il parquet, preferisco i letti.")</f>
        <v>Non mi piace il parquet, preferisco i letti.</v>
      </c>
      <c r="G2967" s="6" t="str">
        <f>IFERROR(__xludf.DUMMYFUNCTION("GOOGLETRANSLATE(E2967,""fr"",""it"")"),"Non mi piace il pavimento, preferisco i letti.")</f>
        <v>Non mi piace il pavimento, preferisco i letti.</v>
      </c>
    </row>
    <row r="2968">
      <c r="A2968" s="4">
        <v>2966.0</v>
      </c>
      <c r="B2968" s="5" t="s">
        <v>8905</v>
      </c>
      <c r="C2968" s="4">
        <v>1.0</v>
      </c>
      <c r="D2968" s="5" t="s">
        <v>8906</v>
      </c>
      <c r="E2968" s="5" t="s">
        <v>8907</v>
      </c>
      <c r="F2968" s="6" t="str">
        <f>IFERROR(__xludf.DUMMYFUNCTION("GOOGLETRANSLATE(D2968,""en"",""it"")"),"Non mi piace Merlot, preferisco Coca-Cola.")</f>
        <v>Non mi piace Merlot, preferisco Coca-Cola.</v>
      </c>
      <c r="G2968" s="6" t="str">
        <f>IFERROR(__xludf.DUMMYFUNCTION("GOOGLETRANSLATE(E2968,""fr"",""it"")"),"Non mi piace Merlot, preferisco la coca cola.")</f>
        <v>Non mi piace Merlot, preferisco la coca cola.</v>
      </c>
    </row>
    <row r="2969">
      <c r="A2969" s="4">
        <v>2967.0</v>
      </c>
      <c r="B2969" s="5" t="s">
        <v>8908</v>
      </c>
      <c r="C2969" s="4">
        <v>1.0</v>
      </c>
      <c r="D2969" s="5" t="s">
        <v>8909</v>
      </c>
      <c r="E2969" s="5" t="s">
        <v>8910</v>
      </c>
      <c r="F2969" s="6" t="str">
        <f>IFERROR(__xludf.DUMMYFUNCTION("GOOGLETRANSLATE(D2969,""en"",""it"")"),"Non mi piace Coca-Cola, preferisco Merlot.")</f>
        <v>Non mi piace Coca-Cola, preferisco Merlot.</v>
      </c>
      <c r="G2969" s="6" t="str">
        <f>IFERROR(__xludf.DUMMYFUNCTION("GOOGLETRANSLATE(E2969,""fr"",""it"")"),"Non mi piace Coca Cola, preferisco Merlot.")</f>
        <v>Non mi piace Coca Cola, preferisco Merlot.</v>
      </c>
    </row>
    <row r="2970">
      <c r="A2970" s="4">
        <v>2968.0</v>
      </c>
      <c r="B2970" s="5" t="s">
        <v>8911</v>
      </c>
      <c r="C2970" s="4">
        <v>0.0</v>
      </c>
      <c r="D2970" s="5" t="s">
        <v>8912</v>
      </c>
      <c r="E2970" s="5" t="s">
        <v>8913</v>
      </c>
      <c r="F2970" s="6" t="str">
        <f>IFERROR(__xludf.DUMMYFUNCTION("GOOGLETRANSLATE(D2970,""en"",""it"")"),"Non mi piace Merlot, preferisco il vino.")</f>
        <v>Non mi piace Merlot, preferisco il vino.</v>
      </c>
      <c r="G2970" s="6" t="str">
        <f>IFERROR(__xludf.DUMMYFUNCTION("GOOGLETRANSLATE(E2970,""fr"",""it"")"),"Non mi piace Merlot, preferisco il vino.")</f>
        <v>Non mi piace Merlot, preferisco il vino.</v>
      </c>
    </row>
    <row r="2971">
      <c r="A2971" s="4">
        <v>2969.0</v>
      </c>
      <c r="B2971" s="5" t="s">
        <v>8914</v>
      </c>
      <c r="C2971" s="4">
        <v>0.0</v>
      </c>
      <c r="D2971" s="5" t="s">
        <v>8915</v>
      </c>
      <c r="E2971" s="5" t="s">
        <v>8916</v>
      </c>
      <c r="F2971" s="6" t="str">
        <f>IFERROR(__xludf.DUMMYFUNCTION("GOOGLETRANSLATE(D2971,""en"",""it"")"),"Non mi piace il vino, preferisco Merlot.")</f>
        <v>Non mi piace il vino, preferisco Merlot.</v>
      </c>
      <c r="G2971" s="6" t="str">
        <f>IFERROR(__xludf.DUMMYFUNCTION("GOOGLETRANSLATE(E2971,""fr"",""it"")"),"Non mi piace il vino, preferisco Merlot.")</f>
        <v>Non mi piace il vino, preferisco Merlot.</v>
      </c>
    </row>
    <row r="2972">
      <c r="A2972" s="4">
        <v>2970.0</v>
      </c>
      <c r="B2972" s="5" t="s">
        <v>8917</v>
      </c>
      <c r="C2972" s="4">
        <v>1.0</v>
      </c>
      <c r="D2972" s="5" t="s">
        <v>8918</v>
      </c>
      <c r="E2972" s="5" t="s">
        <v>8919</v>
      </c>
      <c r="F2972" s="6" t="str">
        <f>IFERROR(__xludf.DUMMYFUNCTION("GOOGLETRANSLATE(D2972,""en"",""it"")"),"Non mi piace il vino, preferisco Coca-Cola.")</f>
        <v>Non mi piace il vino, preferisco Coca-Cola.</v>
      </c>
      <c r="G2972" s="6" t="str">
        <f>IFERROR(__xludf.DUMMYFUNCTION("GOOGLETRANSLATE(E2972,""fr"",""it"")"),"Non mi piace il vino, preferisco la coca cola.")</f>
        <v>Non mi piace il vino, preferisco la coca cola.</v>
      </c>
    </row>
    <row r="2973">
      <c r="A2973" s="4">
        <v>2971.0</v>
      </c>
      <c r="B2973" s="5" t="s">
        <v>8920</v>
      </c>
      <c r="C2973" s="4">
        <v>1.0</v>
      </c>
      <c r="D2973" s="5" t="s">
        <v>8921</v>
      </c>
      <c r="E2973" s="5" t="s">
        <v>8922</v>
      </c>
      <c r="F2973" s="6" t="str">
        <f>IFERROR(__xludf.DUMMYFUNCTION("GOOGLETRANSLATE(D2973,""en"",""it"")"),"Non mi piace Merlot, preferisco l'acqua.")</f>
        <v>Non mi piace Merlot, preferisco l'acqua.</v>
      </c>
      <c r="G2973" s="6" t="str">
        <f>IFERROR(__xludf.DUMMYFUNCTION("GOOGLETRANSLATE(E2973,""fr"",""it"")"),"Non mi piace Merlot, preferisco l'acqua.")</f>
        <v>Non mi piace Merlot, preferisco l'acqua.</v>
      </c>
    </row>
    <row r="2974">
      <c r="A2974" s="4">
        <v>2972.0</v>
      </c>
      <c r="B2974" s="5" t="s">
        <v>8923</v>
      </c>
      <c r="C2974" s="4">
        <v>1.0</v>
      </c>
      <c r="D2974" s="5" t="s">
        <v>8924</v>
      </c>
      <c r="E2974" s="5" t="s">
        <v>8925</v>
      </c>
      <c r="F2974" s="6" t="str">
        <f>IFERROR(__xludf.DUMMYFUNCTION("GOOGLETRANSLATE(D2974,""en"",""it"")"),"Non mi piace l'acqua, preferisco Merlot.")</f>
        <v>Non mi piace l'acqua, preferisco Merlot.</v>
      </c>
      <c r="G2974" s="6" t="str">
        <f>IFERROR(__xludf.DUMMYFUNCTION("GOOGLETRANSLATE(E2974,""fr"",""it"")"),"Non mi piace l'acqua, preferisco Merlot.")</f>
        <v>Non mi piace l'acqua, preferisco Merlot.</v>
      </c>
    </row>
    <row r="2975">
      <c r="A2975" s="4">
        <v>2973.0</v>
      </c>
      <c r="B2975" s="5" t="s">
        <v>8926</v>
      </c>
      <c r="C2975" s="4">
        <v>1.0</v>
      </c>
      <c r="D2975" s="5" t="s">
        <v>8927</v>
      </c>
      <c r="E2975" s="5" t="s">
        <v>8928</v>
      </c>
      <c r="F2975" s="6" t="str">
        <f>IFERROR(__xludf.DUMMYFUNCTION("GOOGLETRANSLATE(D2975,""en"",""it"")"),"Non mi piace il vino, preferisco l'acqua.")</f>
        <v>Non mi piace il vino, preferisco l'acqua.</v>
      </c>
      <c r="G2975" s="6" t="str">
        <f>IFERROR(__xludf.DUMMYFUNCTION("GOOGLETRANSLATE(E2975,""fr"",""it"")"),"Non mi piace il vino, preferisco l'acqua.")</f>
        <v>Non mi piace il vino, preferisco l'acqua.</v>
      </c>
    </row>
    <row r="2976">
      <c r="A2976" s="4">
        <v>2974.0</v>
      </c>
      <c r="B2976" s="5" t="s">
        <v>8929</v>
      </c>
      <c r="C2976" s="4">
        <v>1.0</v>
      </c>
      <c r="D2976" s="5" t="s">
        <v>8930</v>
      </c>
      <c r="E2976" s="5" t="s">
        <v>8931</v>
      </c>
      <c r="F2976" s="6" t="str">
        <f>IFERROR(__xludf.DUMMYFUNCTION("GOOGLETRANSLATE(D2976,""en"",""it"")"),"Non mi piace Merlot, preferisco lo sprite.")</f>
        <v>Non mi piace Merlot, preferisco lo sprite.</v>
      </c>
      <c r="G2976" s="6" t="str">
        <f>IFERROR(__xludf.DUMMYFUNCTION("GOOGLETRANSLATE(E2976,""fr"",""it"")"),"Non mi piace Merlot, preferisco lo sprite.")</f>
        <v>Non mi piace Merlot, preferisco lo sprite.</v>
      </c>
    </row>
    <row r="2977">
      <c r="A2977" s="4">
        <v>2975.0</v>
      </c>
      <c r="B2977" s="5" t="s">
        <v>8932</v>
      </c>
      <c r="C2977" s="4">
        <v>1.0</v>
      </c>
      <c r="D2977" s="5" t="s">
        <v>8933</v>
      </c>
      <c r="E2977" s="5" t="s">
        <v>8934</v>
      </c>
      <c r="F2977" s="6" t="str">
        <f>IFERROR(__xludf.DUMMYFUNCTION("GOOGLETRANSLATE(D2977,""en"",""it"")"),"Non mi piace Sprite, preferisco Merlot.")</f>
        <v>Non mi piace Sprite, preferisco Merlot.</v>
      </c>
      <c r="G2977" s="6" t="str">
        <f>IFERROR(__xludf.DUMMYFUNCTION("GOOGLETRANSLATE(E2977,""fr"",""it"")"),"Non mi piace Sprite, preferisco Merlot.")</f>
        <v>Non mi piace Sprite, preferisco Merlot.</v>
      </c>
    </row>
    <row r="2978">
      <c r="A2978" s="4">
        <v>2976.0</v>
      </c>
      <c r="B2978" s="5" t="s">
        <v>8935</v>
      </c>
      <c r="C2978" s="4">
        <v>1.0</v>
      </c>
      <c r="D2978" s="5" t="s">
        <v>8936</v>
      </c>
      <c r="E2978" s="5" t="s">
        <v>8937</v>
      </c>
      <c r="F2978" s="6" t="str">
        <f>IFERROR(__xludf.DUMMYFUNCTION("GOOGLETRANSLATE(D2978,""en"",""it"")"),"Non mi piace il vino, preferisco lo sprite.")</f>
        <v>Non mi piace il vino, preferisco lo sprite.</v>
      </c>
      <c r="G2978" s="6" t="str">
        <f>IFERROR(__xludf.DUMMYFUNCTION("GOOGLETRANSLATE(E2978,""fr"",""it"")"),"Non mi piace il vino, preferisco lo sprite.")</f>
        <v>Non mi piace il vino, preferisco lo sprite.</v>
      </c>
    </row>
    <row r="2979">
      <c r="A2979" s="4">
        <v>2977.0</v>
      </c>
      <c r="B2979" s="5" t="s">
        <v>8938</v>
      </c>
      <c r="C2979" s="4">
        <v>1.0</v>
      </c>
      <c r="D2979" s="5" t="s">
        <v>8939</v>
      </c>
      <c r="E2979" s="5" t="s">
        <v>8940</v>
      </c>
      <c r="F2979" s="6" t="str">
        <f>IFERROR(__xludf.DUMMYFUNCTION("GOOGLETRANSLATE(D2979,""en"",""it"")"),"Non mi piace Merlot, preferisco la birra.")</f>
        <v>Non mi piace Merlot, preferisco la birra.</v>
      </c>
      <c r="G2979" s="6" t="str">
        <f>IFERROR(__xludf.DUMMYFUNCTION("GOOGLETRANSLATE(E2979,""fr"",""it"")"),"Non mi piace Merlot, preferisco la birra.")</f>
        <v>Non mi piace Merlot, preferisco la birra.</v>
      </c>
    </row>
    <row r="2980">
      <c r="A2980" s="4">
        <v>2978.0</v>
      </c>
      <c r="B2980" s="5" t="s">
        <v>8941</v>
      </c>
      <c r="C2980" s="4">
        <v>1.0</v>
      </c>
      <c r="D2980" s="5" t="s">
        <v>8942</v>
      </c>
      <c r="E2980" s="5" t="s">
        <v>8943</v>
      </c>
      <c r="F2980" s="6" t="str">
        <f>IFERROR(__xludf.DUMMYFUNCTION("GOOGLETRANSLATE(D2980,""en"",""it"")"),"Non mi piace la birra, preferisco Merlot.")</f>
        <v>Non mi piace la birra, preferisco Merlot.</v>
      </c>
      <c r="G2980" s="6" t="str">
        <f>IFERROR(__xludf.DUMMYFUNCTION("GOOGLETRANSLATE(E2980,""fr"",""it"")"),"Non mi piace la birra, preferisco Merlot.")</f>
        <v>Non mi piace la birra, preferisco Merlot.</v>
      </c>
    </row>
    <row r="2981">
      <c r="A2981" s="4">
        <v>2979.0</v>
      </c>
      <c r="B2981" s="5" t="s">
        <v>8944</v>
      </c>
      <c r="C2981" s="4">
        <v>0.0</v>
      </c>
      <c r="D2981" s="5" t="s">
        <v>8945</v>
      </c>
      <c r="E2981" s="5" t="s">
        <v>8946</v>
      </c>
      <c r="F2981" s="6" t="str">
        <f>IFERROR(__xludf.DUMMYFUNCTION("GOOGLETRANSLATE(D2981,""en"",""it"")"),"Mi piacciono i passeri, tranne i cani.")</f>
        <v>Mi piacciono i passeri, tranne i cani.</v>
      </c>
      <c r="G2981" s="6" t="str">
        <f>IFERROR(__xludf.DUMMYFUNCTION("GOOGLETRANSLATE(E2981,""fr"",""it"")"),"Adoro i passeri tranne i cani.")</f>
        <v>Adoro i passeri tranne i cani.</v>
      </c>
    </row>
    <row r="2982">
      <c r="A2982" s="4">
        <v>2980.0</v>
      </c>
      <c r="B2982" s="5" t="s">
        <v>8947</v>
      </c>
      <c r="C2982" s="4">
        <v>1.0</v>
      </c>
      <c r="D2982" s="5" t="s">
        <v>8948</v>
      </c>
      <c r="E2982" s="5" t="s">
        <v>8949</v>
      </c>
      <c r="F2982" s="6" t="str">
        <f>IFERROR(__xludf.DUMMYFUNCTION("GOOGLETRANSLATE(D2982,""en"",""it"")"),"Non mi piace il vino, preferisco la birra.")</f>
        <v>Non mi piace il vino, preferisco la birra.</v>
      </c>
      <c r="G2982" s="6" t="str">
        <f>IFERROR(__xludf.DUMMYFUNCTION("GOOGLETRANSLATE(E2982,""fr"",""it"")"),"Non mi piace il vino, preferisco la birra.")</f>
        <v>Non mi piace il vino, preferisco la birra.</v>
      </c>
    </row>
    <row r="2983">
      <c r="A2983" s="4">
        <v>2981.0</v>
      </c>
      <c r="B2983" s="5" t="s">
        <v>8950</v>
      </c>
      <c r="C2983" s="4">
        <v>1.0</v>
      </c>
      <c r="D2983" s="5" t="s">
        <v>8951</v>
      </c>
      <c r="E2983" s="5" t="s">
        <v>8952</v>
      </c>
      <c r="F2983" s="6" t="str">
        <f>IFERROR(__xludf.DUMMYFUNCTION("GOOGLETRANSLATE(D2983,""en"",""it"")"),"Non mi piace Chardonnay, preferisco Coca-Cola.")</f>
        <v>Non mi piace Chardonnay, preferisco Coca-Cola.</v>
      </c>
      <c r="G2983" s="6" t="str">
        <f>IFERROR(__xludf.DUMMYFUNCTION("GOOGLETRANSLATE(E2983,""fr"",""it"")"),"Non mi piace Chardonnay, preferisco la coca cola.")</f>
        <v>Non mi piace Chardonnay, preferisco la coca cola.</v>
      </c>
    </row>
    <row r="2984">
      <c r="A2984" s="4">
        <v>2982.0</v>
      </c>
      <c r="B2984" s="5" t="s">
        <v>8953</v>
      </c>
      <c r="C2984" s="4">
        <v>1.0</v>
      </c>
      <c r="D2984" s="5" t="s">
        <v>8954</v>
      </c>
      <c r="E2984" s="5" t="s">
        <v>8955</v>
      </c>
      <c r="F2984" s="6" t="str">
        <f>IFERROR(__xludf.DUMMYFUNCTION("GOOGLETRANSLATE(D2984,""en"",""it"")"),"Non mi piace Coca-Cola, preferisco Chardonnay.")</f>
        <v>Non mi piace Coca-Cola, preferisco Chardonnay.</v>
      </c>
      <c r="G2984" s="6" t="str">
        <f>IFERROR(__xludf.DUMMYFUNCTION("GOOGLETRANSLATE(E2984,""fr"",""it"")"),"Non mi piace Coca Cola, preferisco Chardonnay.")</f>
        <v>Non mi piace Coca Cola, preferisco Chardonnay.</v>
      </c>
    </row>
    <row r="2985">
      <c r="A2985" s="4">
        <v>2983.0</v>
      </c>
      <c r="B2985" s="5" t="s">
        <v>8956</v>
      </c>
      <c r="C2985" s="4">
        <v>0.0</v>
      </c>
      <c r="D2985" s="5" t="s">
        <v>8957</v>
      </c>
      <c r="E2985" s="5" t="s">
        <v>8958</v>
      </c>
      <c r="F2985" s="6" t="str">
        <f>IFERROR(__xludf.DUMMYFUNCTION("GOOGLETRANSLATE(D2985,""en"",""it"")"),"Non mi piace Chardonnay, preferisco il vino.")</f>
        <v>Non mi piace Chardonnay, preferisco il vino.</v>
      </c>
      <c r="G2985" s="6" t="str">
        <f>IFERROR(__xludf.DUMMYFUNCTION("GOOGLETRANSLATE(E2985,""fr"",""it"")"),"Non mi piace Chardonnay, preferisco il vino.")</f>
        <v>Non mi piace Chardonnay, preferisco il vino.</v>
      </c>
    </row>
    <row r="2986">
      <c r="A2986" s="4">
        <v>2984.0</v>
      </c>
      <c r="B2986" s="5" t="s">
        <v>8959</v>
      </c>
      <c r="C2986" s="4">
        <v>0.0</v>
      </c>
      <c r="D2986" s="5" t="s">
        <v>8960</v>
      </c>
      <c r="E2986" s="5" t="s">
        <v>8961</v>
      </c>
      <c r="F2986" s="6" t="str">
        <f>IFERROR(__xludf.DUMMYFUNCTION("GOOGLETRANSLATE(D2986,""en"",""it"")"),"Non mi piace il vino, preferisco Chardonnay.")</f>
        <v>Non mi piace il vino, preferisco Chardonnay.</v>
      </c>
      <c r="G2986" s="6" t="str">
        <f>IFERROR(__xludf.DUMMYFUNCTION("GOOGLETRANSLATE(E2986,""fr"",""it"")"),"Non mi piace il vino, preferisco Chardonnay.")</f>
        <v>Non mi piace il vino, preferisco Chardonnay.</v>
      </c>
    </row>
    <row r="2987">
      <c r="A2987" s="4">
        <v>2985.0</v>
      </c>
      <c r="B2987" s="5" t="s">
        <v>8962</v>
      </c>
      <c r="C2987" s="4">
        <v>1.0</v>
      </c>
      <c r="D2987" s="5" t="s">
        <v>8963</v>
      </c>
      <c r="E2987" s="5" t="s">
        <v>8964</v>
      </c>
      <c r="F2987" s="6" t="str">
        <f>IFERROR(__xludf.DUMMYFUNCTION("GOOGLETRANSLATE(D2987,""en"",""it"")"),"Non mi piace Chardonnay, preferisco l'acqua.")</f>
        <v>Non mi piace Chardonnay, preferisco l'acqua.</v>
      </c>
      <c r="G2987" s="6" t="str">
        <f>IFERROR(__xludf.DUMMYFUNCTION("GOOGLETRANSLATE(E2987,""fr"",""it"")"),"Non mi piace Chardonnay, preferisco l'acqua.")</f>
        <v>Non mi piace Chardonnay, preferisco l'acqua.</v>
      </c>
    </row>
    <row r="2988">
      <c r="A2988" s="4">
        <v>2986.0</v>
      </c>
      <c r="B2988" s="5" t="s">
        <v>8965</v>
      </c>
      <c r="C2988" s="4">
        <v>1.0</v>
      </c>
      <c r="D2988" s="5" t="s">
        <v>8966</v>
      </c>
      <c r="E2988" s="5" t="s">
        <v>8967</v>
      </c>
      <c r="F2988" s="6" t="str">
        <f>IFERROR(__xludf.DUMMYFUNCTION("GOOGLETRANSLATE(D2988,""en"",""it"")"),"Non mi piace l'acqua, preferisco Chardonnay.")</f>
        <v>Non mi piace l'acqua, preferisco Chardonnay.</v>
      </c>
      <c r="G2988" s="6" t="str">
        <f>IFERROR(__xludf.DUMMYFUNCTION("GOOGLETRANSLATE(E2988,""fr"",""it"")"),"Non mi piace l'acqua, preferisco Chardonnay.")</f>
        <v>Non mi piace l'acqua, preferisco Chardonnay.</v>
      </c>
    </row>
    <row r="2989">
      <c r="A2989" s="4">
        <v>2987.0</v>
      </c>
      <c r="B2989" s="5" t="s">
        <v>8968</v>
      </c>
      <c r="C2989" s="4">
        <v>1.0</v>
      </c>
      <c r="D2989" s="5" t="s">
        <v>8969</v>
      </c>
      <c r="E2989" s="5" t="s">
        <v>8970</v>
      </c>
      <c r="F2989" s="6" t="str">
        <f>IFERROR(__xludf.DUMMYFUNCTION("GOOGLETRANSLATE(D2989,""en"",""it"")"),"Non mi piace Chardonnay, preferisco sprite.")</f>
        <v>Non mi piace Chardonnay, preferisco sprite.</v>
      </c>
      <c r="G2989" s="6" t="str">
        <f>IFERROR(__xludf.DUMMYFUNCTION("GOOGLETRANSLATE(E2989,""fr"",""it"")"),"Non mi piace Chardonnay, preferisco sprite.")</f>
        <v>Non mi piace Chardonnay, preferisco sprite.</v>
      </c>
    </row>
    <row r="2990">
      <c r="A2990" s="4">
        <v>2988.0</v>
      </c>
      <c r="B2990" s="5" t="s">
        <v>8971</v>
      </c>
      <c r="C2990" s="4">
        <v>1.0</v>
      </c>
      <c r="D2990" s="5" t="s">
        <v>8972</v>
      </c>
      <c r="E2990" s="5" t="s">
        <v>8973</v>
      </c>
      <c r="F2990" s="6" t="str">
        <f>IFERROR(__xludf.DUMMYFUNCTION("GOOGLETRANSLATE(D2990,""en"",""it"")"),"Non mi piace Sprite, preferisco Chardonnay.")</f>
        <v>Non mi piace Sprite, preferisco Chardonnay.</v>
      </c>
      <c r="G2990" s="6" t="str">
        <f>IFERROR(__xludf.DUMMYFUNCTION("GOOGLETRANSLATE(E2990,""fr"",""it"")"),"Non mi piace Sprite, preferisco Chardonnay.")</f>
        <v>Non mi piace Sprite, preferisco Chardonnay.</v>
      </c>
    </row>
    <row r="2991">
      <c r="A2991" s="4">
        <v>2989.0</v>
      </c>
      <c r="B2991" s="5" t="s">
        <v>8974</v>
      </c>
      <c r="C2991" s="4">
        <v>1.0</v>
      </c>
      <c r="D2991" s="5" t="s">
        <v>8975</v>
      </c>
      <c r="E2991" s="5" t="s">
        <v>8976</v>
      </c>
      <c r="F2991" s="6" t="str">
        <f>IFERROR(__xludf.DUMMYFUNCTION("GOOGLETRANSLATE(D2991,""en"",""it"")"),"Non mi piace Chardonnay, preferisco la birra.")</f>
        <v>Non mi piace Chardonnay, preferisco la birra.</v>
      </c>
      <c r="G2991" s="6" t="str">
        <f>IFERROR(__xludf.DUMMYFUNCTION("GOOGLETRANSLATE(E2991,""fr"",""it"")"),"Non mi piace Chardonnay, preferisco la birra.")</f>
        <v>Non mi piace Chardonnay, preferisco la birra.</v>
      </c>
    </row>
    <row r="2992">
      <c r="A2992" s="4">
        <v>2990.0</v>
      </c>
      <c r="B2992" s="5" t="s">
        <v>8977</v>
      </c>
      <c r="C2992" s="4">
        <v>1.0</v>
      </c>
      <c r="D2992" s="5" t="s">
        <v>8978</v>
      </c>
      <c r="E2992" s="5" t="s">
        <v>8979</v>
      </c>
      <c r="F2992" s="6" t="str">
        <f>IFERROR(__xludf.DUMMYFUNCTION("GOOGLETRANSLATE(D2992,""en"",""it"")"),"Non mi piace la birra, preferisco Chardonnay.")</f>
        <v>Non mi piace la birra, preferisco Chardonnay.</v>
      </c>
      <c r="G2992" s="6" t="str">
        <f>IFERROR(__xludf.DUMMYFUNCTION("GOOGLETRANSLATE(E2992,""fr"",""it"")"),"Non mi piace la birra, preferisco Chardonnay.")</f>
        <v>Non mi piace la birra, preferisco Chardonnay.</v>
      </c>
    </row>
    <row r="2993">
      <c r="A2993" s="4">
        <v>2991.0</v>
      </c>
      <c r="B2993" s="5" t="s">
        <v>8980</v>
      </c>
      <c r="C2993" s="4">
        <v>1.0</v>
      </c>
      <c r="D2993" s="5" t="s">
        <v>8981</v>
      </c>
      <c r="E2993" s="5" t="s">
        <v>8982</v>
      </c>
      <c r="F2993" s="6" t="str">
        <f>IFERROR(__xludf.DUMMYFUNCTION("GOOGLETRANSLATE(D2993,""en"",""it"")"),"Non mi piace il Chianti, preferisco Coca-Cola.")</f>
        <v>Non mi piace il Chianti, preferisco Coca-Cola.</v>
      </c>
      <c r="G2993" s="6" t="str">
        <f>IFERROR(__xludf.DUMMYFUNCTION("GOOGLETRANSLATE(E2993,""fr"",""it"")"),"Non mi piace il Chianti, preferisco la coca cola.")</f>
        <v>Non mi piace il Chianti, preferisco la coca cola.</v>
      </c>
    </row>
    <row r="2994">
      <c r="A2994" s="4">
        <v>2992.0</v>
      </c>
      <c r="B2994" s="5" t="s">
        <v>8983</v>
      </c>
      <c r="C2994" s="4">
        <v>1.0</v>
      </c>
      <c r="D2994" s="5" t="s">
        <v>8984</v>
      </c>
      <c r="E2994" s="5" t="s">
        <v>8985</v>
      </c>
      <c r="F2994" s="6" t="str">
        <f>IFERROR(__xludf.DUMMYFUNCTION("GOOGLETRANSLATE(D2994,""en"",""it"")"),"Non mi piace Coca-Cola, preferisco il Chianti.")</f>
        <v>Non mi piace Coca-Cola, preferisco il Chianti.</v>
      </c>
      <c r="G2994" s="6" t="str">
        <f>IFERROR(__xludf.DUMMYFUNCTION("GOOGLETRANSLATE(E2994,""fr"",""it"")"),"Non mi piace Coca Cola, preferisco il Chianti.")</f>
        <v>Non mi piace Coca Cola, preferisco il Chianti.</v>
      </c>
    </row>
    <row r="2995">
      <c r="A2995" s="4">
        <v>2993.0</v>
      </c>
      <c r="B2995" s="5" t="s">
        <v>8986</v>
      </c>
      <c r="C2995" s="4">
        <v>0.0</v>
      </c>
      <c r="D2995" s="5" t="s">
        <v>8987</v>
      </c>
      <c r="E2995" s="5" t="s">
        <v>8988</v>
      </c>
      <c r="F2995" s="6" t="str">
        <f>IFERROR(__xludf.DUMMYFUNCTION("GOOGLETRANSLATE(D2995,""en"",""it"")"),"Non mi piace il Chianti, preferisco il vino.")</f>
        <v>Non mi piace il Chianti, preferisco il vino.</v>
      </c>
      <c r="G2995" s="6" t="str">
        <f>IFERROR(__xludf.DUMMYFUNCTION("GOOGLETRANSLATE(E2995,""fr"",""it"")"),"Non mi piace il Chianti, preferisco il vino.")</f>
        <v>Non mi piace il Chianti, preferisco il vino.</v>
      </c>
    </row>
    <row r="2996">
      <c r="A2996" s="4">
        <v>2994.0</v>
      </c>
      <c r="B2996" s="5" t="s">
        <v>8989</v>
      </c>
      <c r="C2996" s="4">
        <v>0.0</v>
      </c>
      <c r="D2996" s="5" t="s">
        <v>8990</v>
      </c>
      <c r="E2996" s="5" t="s">
        <v>8991</v>
      </c>
      <c r="F2996" s="6" t="str">
        <f>IFERROR(__xludf.DUMMYFUNCTION("GOOGLETRANSLATE(D2996,""en"",""it"")"),"Non mi piace il vino, preferisco il Chianti.")</f>
        <v>Non mi piace il vino, preferisco il Chianti.</v>
      </c>
      <c r="G2996" s="6" t="str">
        <f>IFERROR(__xludf.DUMMYFUNCTION("GOOGLETRANSLATE(E2996,""fr"",""it"")"),"Non mi piace il vino, preferisco il Chianti.")</f>
        <v>Non mi piace il vino, preferisco il Chianti.</v>
      </c>
    </row>
    <row r="2997">
      <c r="A2997" s="4">
        <v>2995.0</v>
      </c>
      <c r="B2997" s="5" t="s">
        <v>8992</v>
      </c>
      <c r="C2997" s="4">
        <v>1.0</v>
      </c>
      <c r="D2997" s="5" t="s">
        <v>8993</v>
      </c>
      <c r="E2997" s="5" t="s">
        <v>8994</v>
      </c>
      <c r="F2997" s="6" t="str">
        <f>IFERROR(__xludf.DUMMYFUNCTION("GOOGLETRANSLATE(D2997,""en"",""it"")"),"Non mi piace il Chianti, preferisco l'acqua.")</f>
        <v>Non mi piace il Chianti, preferisco l'acqua.</v>
      </c>
      <c r="G2997" s="6" t="str">
        <f>IFERROR(__xludf.DUMMYFUNCTION("GOOGLETRANSLATE(E2997,""fr"",""it"")"),"Non mi piace il Chianti, preferisco l'acqua.")</f>
        <v>Non mi piace il Chianti, preferisco l'acqua.</v>
      </c>
    </row>
    <row r="2998">
      <c r="A2998" s="4">
        <v>2996.0</v>
      </c>
      <c r="B2998" s="5" t="s">
        <v>8995</v>
      </c>
      <c r="C2998" s="4">
        <v>1.0</v>
      </c>
      <c r="D2998" s="5" t="s">
        <v>8996</v>
      </c>
      <c r="E2998" s="5" t="s">
        <v>8997</v>
      </c>
      <c r="F2998" s="6" t="str">
        <f>IFERROR(__xludf.DUMMYFUNCTION("GOOGLETRANSLATE(D2998,""en"",""it"")"),"Non mi piace l'acqua, preferisco il Chianti.")</f>
        <v>Non mi piace l'acqua, preferisco il Chianti.</v>
      </c>
      <c r="G2998" s="6" t="str">
        <f>IFERROR(__xludf.DUMMYFUNCTION("GOOGLETRANSLATE(E2998,""fr"",""it"")"),"Non mi piace l'acqua, preferisco il Chianti.")</f>
        <v>Non mi piace l'acqua, preferisco il Chianti.</v>
      </c>
    </row>
    <row r="2999">
      <c r="A2999" s="4">
        <v>2997.0</v>
      </c>
      <c r="B2999" s="5" t="s">
        <v>8998</v>
      </c>
      <c r="C2999" s="4">
        <v>1.0</v>
      </c>
      <c r="D2999" s="5" t="s">
        <v>8999</v>
      </c>
      <c r="E2999" s="5" t="s">
        <v>9000</v>
      </c>
      <c r="F2999" s="6" t="str">
        <f>IFERROR(__xludf.DUMMYFUNCTION("GOOGLETRANSLATE(D2999,""en"",""it"")"),"Non mi piace il Chianti, preferisco lo sprite.")</f>
        <v>Non mi piace il Chianti, preferisco lo sprite.</v>
      </c>
      <c r="G2999" s="6" t="str">
        <f>IFERROR(__xludf.DUMMYFUNCTION("GOOGLETRANSLATE(E2999,""fr"",""it"")"),"Non mi piace il Chianti, preferisco lo sprite.")</f>
        <v>Non mi piace il Chianti, preferisco lo sprite.</v>
      </c>
    </row>
    <row r="3000">
      <c r="A3000" s="4">
        <v>2998.0</v>
      </c>
      <c r="B3000" s="5" t="s">
        <v>9001</v>
      </c>
      <c r="C3000" s="4">
        <v>1.0</v>
      </c>
      <c r="D3000" s="5" t="s">
        <v>9002</v>
      </c>
      <c r="E3000" s="5" t="s">
        <v>9003</v>
      </c>
      <c r="F3000" s="6" t="str">
        <f>IFERROR(__xludf.DUMMYFUNCTION("GOOGLETRANSLATE(D3000,""en"",""it"")"),"Non mi piace Sprite, preferisco il Chianti.")</f>
        <v>Non mi piace Sprite, preferisco il Chianti.</v>
      </c>
      <c r="G3000" s="6" t="str">
        <f>IFERROR(__xludf.DUMMYFUNCTION("GOOGLETRANSLATE(E3000,""fr"",""it"")"),"Non mi piace Sprite, preferisco il Chianti.")</f>
        <v>Non mi piace Sprite, preferisco il Chianti.</v>
      </c>
    </row>
    <row r="3001">
      <c r="A3001" s="4">
        <v>2999.0</v>
      </c>
      <c r="B3001" s="5" t="s">
        <v>9004</v>
      </c>
      <c r="C3001" s="4">
        <v>1.0</v>
      </c>
      <c r="D3001" s="5" t="s">
        <v>9005</v>
      </c>
      <c r="E3001" s="5" t="s">
        <v>9006</v>
      </c>
      <c r="F3001" s="6" t="str">
        <f>IFERROR(__xludf.DUMMYFUNCTION("GOOGLETRANSLATE(D3001,""en"",""it"")"),"Non mi piace il Chianti, preferisco la birra.")</f>
        <v>Non mi piace il Chianti, preferisco la birra.</v>
      </c>
      <c r="G3001" s="6" t="str">
        <f>IFERROR(__xludf.DUMMYFUNCTION("GOOGLETRANSLATE(E3001,""fr"",""it"")"),"Non mi piace il Chianti, preferisco la birra.")</f>
        <v>Non mi piace il Chianti, preferisco la birra.</v>
      </c>
    </row>
    <row r="3002">
      <c r="A3002" s="4">
        <v>3000.0</v>
      </c>
      <c r="B3002" s="5" t="s">
        <v>9007</v>
      </c>
      <c r="C3002" s="4">
        <v>1.0</v>
      </c>
      <c r="D3002" s="5" t="s">
        <v>9008</v>
      </c>
      <c r="E3002" s="5" t="s">
        <v>9009</v>
      </c>
      <c r="F3002" s="6" t="str">
        <f>IFERROR(__xludf.DUMMYFUNCTION("GOOGLETRANSLATE(D3002,""en"",""it"")"),"Non mi piace la birra, preferisco il Chianti.")</f>
        <v>Non mi piace la birra, preferisco il Chianti.</v>
      </c>
      <c r="G3002" s="6" t="str">
        <f>IFERROR(__xludf.DUMMYFUNCTION("GOOGLETRANSLATE(E3002,""fr"",""it"")"),"Non mi piace la birra, preferisco il Chianti.")</f>
        <v>Non mi piace la birra, preferisco il Chianti.</v>
      </c>
    </row>
    <row r="3003">
      <c r="A3003" s="4">
        <v>3001.0</v>
      </c>
      <c r="B3003" s="5" t="s">
        <v>9010</v>
      </c>
      <c r="C3003" s="4">
        <v>1.0</v>
      </c>
      <c r="D3003" s="5" t="s">
        <v>9011</v>
      </c>
      <c r="E3003" s="5" t="s">
        <v>9012</v>
      </c>
      <c r="F3003" s="6" t="str">
        <f>IFERROR(__xludf.DUMMYFUNCTION("GOOGLETRANSLATE(D3003,""en"",""it"")"),"Non mi piace Zinfandel, preferisco Coca-Cola.")</f>
        <v>Non mi piace Zinfandel, preferisco Coca-Cola.</v>
      </c>
      <c r="G3003" s="6" t="str">
        <f>IFERROR(__xludf.DUMMYFUNCTION("GOOGLETRANSLATE(E3003,""fr"",""it"")"),"Non mi piace Cabernet Sauvignon, preferisco Coca Cola.")</f>
        <v>Non mi piace Cabernet Sauvignon, preferisco Coca Cola.</v>
      </c>
    </row>
    <row r="3004">
      <c r="A3004" s="4">
        <v>3002.0</v>
      </c>
      <c r="B3004" s="5" t="s">
        <v>9013</v>
      </c>
      <c r="C3004" s="4">
        <v>1.0</v>
      </c>
      <c r="D3004" s="5" t="s">
        <v>9014</v>
      </c>
      <c r="E3004" s="5" t="s">
        <v>9015</v>
      </c>
      <c r="F3004" s="6" t="str">
        <f>IFERROR(__xludf.DUMMYFUNCTION("GOOGLETRANSLATE(D3004,""en"",""it"")"),"Non mi piace Coca-Cola, preferisco Zinfandel.")</f>
        <v>Non mi piace Coca-Cola, preferisco Zinfandel.</v>
      </c>
      <c r="G3004" s="6" t="str">
        <f>IFERROR(__xludf.DUMMYFUNCTION("GOOGLETRANSLATE(E3004,""fr"",""it"")"),"Non mi piace Coca Cola, preferisco Cabernet Sauvignon.")</f>
        <v>Non mi piace Coca Cola, preferisco Cabernet Sauvignon.</v>
      </c>
    </row>
    <row r="3005">
      <c r="A3005" s="4">
        <v>3003.0</v>
      </c>
      <c r="B3005" s="5" t="s">
        <v>9016</v>
      </c>
      <c r="C3005" s="4">
        <v>0.0</v>
      </c>
      <c r="D3005" s="5" t="s">
        <v>9017</v>
      </c>
      <c r="E3005" s="5" t="s">
        <v>9018</v>
      </c>
      <c r="F3005" s="6" t="str">
        <f>IFERROR(__xludf.DUMMYFUNCTION("GOOGLETRANSLATE(D3005,""en"",""it"")"),"Non mi piace Zinfandel, preferisco il vino.")</f>
        <v>Non mi piace Zinfandel, preferisco il vino.</v>
      </c>
      <c r="G3005" s="6" t="str">
        <f>IFERROR(__xludf.DUMMYFUNCTION("GOOGLETRANSLATE(E3005,""fr"",""it"")"),"Non mi piace Cabernet Sauvignon, preferisco il vino.")</f>
        <v>Non mi piace Cabernet Sauvignon, preferisco il vino.</v>
      </c>
    </row>
    <row r="3006">
      <c r="A3006" s="4">
        <v>3004.0</v>
      </c>
      <c r="B3006" s="5" t="s">
        <v>9019</v>
      </c>
      <c r="C3006" s="4">
        <v>0.0</v>
      </c>
      <c r="D3006" s="5" t="s">
        <v>9020</v>
      </c>
      <c r="E3006" s="5" t="s">
        <v>9021</v>
      </c>
      <c r="F3006" s="6" t="str">
        <f>IFERROR(__xludf.DUMMYFUNCTION("GOOGLETRANSLATE(D3006,""en"",""it"")"),"Non mi piace il vino, preferisco Zinfandel.")</f>
        <v>Non mi piace il vino, preferisco Zinfandel.</v>
      </c>
      <c r="G3006" s="6" t="str">
        <f>IFERROR(__xludf.DUMMYFUNCTION("GOOGLETRANSLATE(E3006,""fr"",""it"")"),"Non mi piace il vino, preferisco Cabernet Sauvignon.")</f>
        <v>Non mi piace il vino, preferisco Cabernet Sauvignon.</v>
      </c>
    </row>
    <row r="3007">
      <c r="A3007" s="4">
        <v>3005.0</v>
      </c>
      <c r="B3007" s="5" t="s">
        <v>9022</v>
      </c>
      <c r="C3007" s="4">
        <v>1.0</v>
      </c>
      <c r="D3007" s="5" t="s">
        <v>9023</v>
      </c>
      <c r="E3007" s="5" t="s">
        <v>9024</v>
      </c>
      <c r="F3007" s="6" t="str">
        <f>IFERROR(__xludf.DUMMYFUNCTION("GOOGLETRANSLATE(D3007,""en"",""it"")"),"Non mi piace Zinfandel, preferisco l'acqua.")</f>
        <v>Non mi piace Zinfandel, preferisco l'acqua.</v>
      </c>
      <c r="G3007" s="6" t="str">
        <f>IFERROR(__xludf.DUMMYFUNCTION("GOOGLETRANSLATE(E3007,""fr"",""it"")"),"Non mi piace Cabernet Sauvignon, preferisco l'acqua.")</f>
        <v>Non mi piace Cabernet Sauvignon, preferisco l'acqua.</v>
      </c>
    </row>
    <row r="3008">
      <c r="A3008" s="4">
        <v>3006.0</v>
      </c>
      <c r="B3008" s="5" t="s">
        <v>9025</v>
      </c>
      <c r="C3008" s="4">
        <v>1.0</v>
      </c>
      <c r="D3008" s="5" t="s">
        <v>9026</v>
      </c>
      <c r="E3008" s="5" t="s">
        <v>9027</v>
      </c>
      <c r="F3008" s="6" t="str">
        <f>IFERROR(__xludf.DUMMYFUNCTION("GOOGLETRANSLATE(D3008,""en"",""it"")"),"Non mi piace l'acqua, preferisco Zinfandel.")</f>
        <v>Non mi piace l'acqua, preferisco Zinfandel.</v>
      </c>
      <c r="G3008" s="6" t="str">
        <f>IFERROR(__xludf.DUMMYFUNCTION("GOOGLETRANSLATE(E3008,""fr"",""it"")"),"Non mi piace l'acqua, preferisco Cabernet Sauvignon.")</f>
        <v>Non mi piace l'acqua, preferisco Cabernet Sauvignon.</v>
      </c>
    </row>
    <row r="3009">
      <c r="A3009" s="4">
        <v>3007.0</v>
      </c>
      <c r="B3009" s="5" t="s">
        <v>9028</v>
      </c>
      <c r="C3009" s="4">
        <v>1.0</v>
      </c>
      <c r="D3009" s="5" t="s">
        <v>9029</v>
      </c>
      <c r="E3009" s="5" t="s">
        <v>9030</v>
      </c>
      <c r="F3009" s="6" t="str">
        <f>IFERROR(__xludf.DUMMYFUNCTION("GOOGLETRANSLATE(D3009,""en"",""it"")"),"Non mi piace Zinfandel, preferisco sprite.")</f>
        <v>Non mi piace Zinfandel, preferisco sprite.</v>
      </c>
      <c r="G3009" s="6" t="str">
        <f>IFERROR(__xludf.DUMMYFUNCTION("GOOGLETRANSLATE(E3009,""fr"",""it"")"),"Non mi piace Cabernet Sauvignon, preferisco lo sprite.")</f>
        <v>Non mi piace Cabernet Sauvignon, preferisco lo sprite.</v>
      </c>
    </row>
    <row r="3010">
      <c r="A3010" s="4">
        <v>3008.0</v>
      </c>
      <c r="B3010" s="5" t="s">
        <v>9031</v>
      </c>
      <c r="C3010" s="4">
        <v>1.0</v>
      </c>
      <c r="D3010" s="5" t="s">
        <v>9032</v>
      </c>
      <c r="E3010" s="5" t="s">
        <v>9033</v>
      </c>
      <c r="F3010" s="6" t="str">
        <f>IFERROR(__xludf.DUMMYFUNCTION("GOOGLETRANSLATE(D3010,""en"",""it"")"),"Non mi piace Sprite, preferisco Zinfandel.")</f>
        <v>Non mi piace Sprite, preferisco Zinfandel.</v>
      </c>
      <c r="G3010" s="6" t="str">
        <f>IFERROR(__xludf.DUMMYFUNCTION("GOOGLETRANSLATE(E3010,""fr"",""it"")"),"Non mi piace Sprite, preferisco Cabernet Sauvignon.")</f>
        <v>Non mi piace Sprite, preferisco Cabernet Sauvignon.</v>
      </c>
    </row>
    <row r="3011">
      <c r="A3011" s="4">
        <v>3009.0</v>
      </c>
      <c r="B3011" s="5" t="s">
        <v>9034</v>
      </c>
      <c r="C3011" s="4">
        <v>1.0</v>
      </c>
      <c r="D3011" s="5" t="s">
        <v>9035</v>
      </c>
      <c r="E3011" s="5" t="s">
        <v>9036</v>
      </c>
      <c r="F3011" s="6" t="str">
        <f>IFERROR(__xludf.DUMMYFUNCTION("GOOGLETRANSLATE(D3011,""en"",""it"")"),"Non mi piace Zinfandel, preferisco la birra.")</f>
        <v>Non mi piace Zinfandel, preferisco la birra.</v>
      </c>
      <c r="G3011" s="6" t="str">
        <f>IFERROR(__xludf.DUMMYFUNCTION("GOOGLETRANSLATE(E3011,""fr"",""it"")"),"Non mi piace Cabernet Sauvignon, preferisco la birra.")</f>
        <v>Non mi piace Cabernet Sauvignon, preferisco la birra.</v>
      </c>
    </row>
    <row r="3012">
      <c r="A3012" s="4">
        <v>3010.0</v>
      </c>
      <c r="B3012" s="5" t="s">
        <v>9037</v>
      </c>
      <c r="C3012" s="4">
        <v>1.0</v>
      </c>
      <c r="D3012" s="5" t="s">
        <v>9038</v>
      </c>
      <c r="E3012" s="5" t="s">
        <v>9039</v>
      </c>
      <c r="F3012" s="6" t="str">
        <f>IFERROR(__xludf.DUMMYFUNCTION("GOOGLETRANSLATE(D3012,""en"",""it"")"),"Non mi piace la birra, preferisco Zinfandel.")</f>
        <v>Non mi piace la birra, preferisco Zinfandel.</v>
      </c>
      <c r="G3012" s="6" t="str">
        <f>IFERROR(__xludf.DUMMYFUNCTION("GOOGLETRANSLATE(E3012,""fr"",""it"")"),"Non mi piace la birra, preferisco Cabernet Sauvignon.")</f>
        <v>Non mi piace la birra, preferisco Cabernet Sauvignon.</v>
      </c>
    </row>
    <row r="3013">
      <c r="A3013" s="4">
        <v>3011.0</v>
      </c>
      <c r="B3013" s="5" t="s">
        <v>9040</v>
      </c>
      <c r="C3013" s="4">
        <v>0.0</v>
      </c>
      <c r="D3013" s="5" t="s">
        <v>9041</v>
      </c>
      <c r="E3013" s="5" t="s">
        <v>9042</v>
      </c>
      <c r="F3013" s="6" t="str">
        <f>IFERROR(__xludf.DUMMYFUNCTION("GOOGLETRANSLATE(D3013,""en"",""it"")"),"Mi piacciono i cani, tranne i passeri.")</f>
        <v>Mi piacciono i cani, tranne i passeri.</v>
      </c>
      <c r="G3013" s="6" t="str">
        <f>IFERROR(__xludf.DUMMYFUNCTION("GOOGLETRANSLATE(E3013,""fr"",""it"")"),"Mi piacciono i cani, tranne i passeri.")</f>
        <v>Mi piacciono i cani, tranne i passeri.</v>
      </c>
    </row>
    <row r="3014">
      <c r="A3014" s="4">
        <v>3012.0</v>
      </c>
      <c r="B3014" s="5" t="s">
        <v>9043</v>
      </c>
      <c r="C3014" s="4">
        <v>1.0</v>
      </c>
      <c r="D3014" s="5" t="s">
        <v>9044</v>
      </c>
      <c r="E3014" s="5" t="s">
        <v>9045</v>
      </c>
      <c r="F3014" s="6" t="str">
        <f>IFERROR(__xludf.DUMMYFUNCTION("GOOGLETRANSLATE(D3014,""en"",""it"")"),"Non mi piace il rock, preferisco lo sport.")</f>
        <v>Non mi piace il rock, preferisco lo sport.</v>
      </c>
      <c r="G3014" s="6" t="str">
        <f>IFERROR(__xludf.DUMMYFUNCTION("GOOGLETRANSLATE(E3014,""fr"",""it"")"),"Non mi piace il rock, preferisco gli sport.")</f>
        <v>Non mi piace il rock, preferisco gli sport.</v>
      </c>
    </row>
    <row r="3015">
      <c r="A3015" s="4">
        <v>3013.0</v>
      </c>
      <c r="B3015" s="5" t="s">
        <v>9046</v>
      </c>
      <c r="C3015" s="4">
        <v>1.0</v>
      </c>
      <c r="D3015" s="5" t="s">
        <v>9047</v>
      </c>
      <c r="E3015" s="5" t="s">
        <v>9048</v>
      </c>
      <c r="F3015" s="6" t="str">
        <f>IFERROR(__xludf.DUMMYFUNCTION("GOOGLETRANSLATE(D3015,""en"",""it"")"),"Non mi piace lo sport, preferisco il rock.")</f>
        <v>Non mi piace lo sport, preferisco il rock.</v>
      </c>
      <c r="G3015" s="6" t="str">
        <f>IFERROR(__xludf.DUMMYFUNCTION("GOOGLETRANSLATE(E3015,""fr"",""it"")"),"Non mi piace lo sport, preferisco il rock.")</f>
        <v>Non mi piace lo sport, preferisco il rock.</v>
      </c>
    </row>
    <row r="3016">
      <c r="A3016" s="4">
        <v>3014.0</v>
      </c>
      <c r="B3016" s="5" t="s">
        <v>9049</v>
      </c>
      <c r="C3016" s="4">
        <v>0.0</v>
      </c>
      <c r="D3016" s="5" t="s">
        <v>9050</v>
      </c>
      <c r="E3016" s="5" t="s">
        <v>9051</v>
      </c>
      <c r="F3016" s="6" t="str">
        <f>IFERROR(__xludf.DUMMYFUNCTION("GOOGLETRANSLATE(D3016,""en"",""it"")"),"Non mi piace il rock, preferisco la musica.")</f>
        <v>Non mi piace il rock, preferisco la musica.</v>
      </c>
      <c r="G3016" s="6" t="str">
        <f>IFERROR(__xludf.DUMMYFUNCTION("GOOGLETRANSLATE(E3016,""fr"",""it"")"),"Non mi piace il rock, preferisco la musica.")</f>
        <v>Non mi piace il rock, preferisco la musica.</v>
      </c>
    </row>
    <row r="3017">
      <c r="A3017" s="4">
        <v>3015.0</v>
      </c>
      <c r="B3017" s="5" t="s">
        <v>9052</v>
      </c>
      <c r="C3017" s="4">
        <v>0.0</v>
      </c>
      <c r="D3017" s="5" t="s">
        <v>9053</v>
      </c>
      <c r="E3017" s="5" t="s">
        <v>9054</v>
      </c>
      <c r="F3017" s="6" t="str">
        <f>IFERROR(__xludf.DUMMYFUNCTION("GOOGLETRANSLATE(D3017,""en"",""it"")"),"Non mi piace la musica, preferisco il rock.")</f>
        <v>Non mi piace la musica, preferisco il rock.</v>
      </c>
      <c r="G3017" s="6" t="str">
        <f>IFERROR(__xludf.DUMMYFUNCTION("GOOGLETRANSLATE(E3017,""fr"",""it"")"),"Non mi piace la musica, preferisco il rock.")</f>
        <v>Non mi piace la musica, preferisco il rock.</v>
      </c>
    </row>
    <row r="3018">
      <c r="A3018" s="4">
        <v>3016.0</v>
      </c>
      <c r="B3018" s="5" t="s">
        <v>9055</v>
      </c>
      <c r="C3018" s="4">
        <v>1.0</v>
      </c>
      <c r="D3018" s="5" t="s">
        <v>9056</v>
      </c>
      <c r="E3018" s="5" t="s">
        <v>9057</v>
      </c>
      <c r="F3018" s="6" t="str">
        <f>IFERROR(__xludf.DUMMYFUNCTION("GOOGLETRANSLATE(D3018,""en"",""it"")"),"Non mi piace la musica, preferisco gli sport.")</f>
        <v>Non mi piace la musica, preferisco gli sport.</v>
      </c>
      <c r="G3018" s="6" t="str">
        <f>IFERROR(__xludf.DUMMYFUNCTION("GOOGLETRANSLATE(E3018,""fr"",""it"")"),"Non mi piace la musica, preferisco gli sport.")</f>
        <v>Non mi piace la musica, preferisco gli sport.</v>
      </c>
    </row>
    <row r="3019">
      <c r="A3019" s="4">
        <v>3017.0</v>
      </c>
      <c r="B3019" s="5" t="s">
        <v>9058</v>
      </c>
      <c r="C3019" s="4">
        <v>1.0</v>
      </c>
      <c r="D3019" s="5" t="s">
        <v>9059</v>
      </c>
      <c r="E3019" s="5" t="s">
        <v>9060</v>
      </c>
      <c r="F3019" s="6" t="str">
        <f>IFERROR(__xludf.DUMMYFUNCTION("GOOGLETRANSLATE(D3019,""en"",""it"")"),"Non mi piace il rock, preferisco I Boardgames.")</f>
        <v>Non mi piace il rock, preferisco I Boardgames.</v>
      </c>
      <c r="G3019" s="6" t="str">
        <f>IFERROR(__xludf.DUMMYFUNCTION("GOOGLETRANSLATE(E3019,""fr"",""it"")"),"Non mi piace il rock, preferisco i giochi da tavolo.")</f>
        <v>Non mi piace il rock, preferisco i giochi da tavolo.</v>
      </c>
    </row>
    <row r="3020">
      <c r="A3020" s="4">
        <v>3018.0</v>
      </c>
      <c r="B3020" s="5" t="s">
        <v>9061</v>
      </c>
      <c r="C3020" s="4">
        <v>1.0</v>
      </c>
      <c r="D3020" s="5" t="s">
        <v>9062</v>
      </c>
      <c r="E3020" s="5" t="s">
        <v>9063</v>
      </c>
      <c r="F3020" s="6" t="str">
        <f>IFERROR(__xludf.DUMMYFUNCTION("GOOGLETRANSLATE(D3020,""en"",""it"")"),"Non mi piacciono i Boardgames, preferisco la roccia.")</f>
        <v>Non mi piacciono i Boardgames, preferisco la roccia.</v>
      </c>
      <c r="G3020" s="6" t="str">
        <f>IFERROR(__xludf.DUMMYFUNCTION("GOOGLETRANSLATE(E3020,""fr"",""it"")"),"Non mi piacciono i giochi da tavolo, preferisco il rock.")</f>
        <v>Non mi piacciono i giochi da tavolo, preferisco il rock.</v>
      </c>
    </row>
    <row r="3021">
      <c r="A3021" s="4">
        <v>3019.0</v>
      </c>
      <c r="B3021" s="5" t="s">
        <v>9064</v>
      </c>
      <c r="C3021" s="4">
        <v>1.0</v>
      </c>
      <c r="D3021" s="5" t="s">
        <v>9065</v>
      </c>
      <c r="E3021" s="5" t="s">
        <v>9066</v>
      </c>
      <c r="F3021" s="6" t="str">
        <f>IFERROR(__xludf.DUMMYFUNCTION("GOOGLETRANSLATE(D3021,""en"",""it"")"),"Non mi piace la musica, preferisco I Boardgames.")</f>
        <v>Non mi piace la musica, preferisco I Boardgames.</v>
      </c>
      <c r="G3021" s="6" t="str">
        <f>IFERROR(__xludf.DUMMYFUNCTION("GOOGLETRANSLATE(E3021,""fr"",""it"")"),"Non mi piace la musica, preferisco i giochi da tavolo.")</f>
        <v>Non mi piace la musica, preferisco i giochi da tavolo.</v>
      </c>
    </row>
    <row r="3022">
      <c r="A3022" s="4">
        <v>3020.0</v>
      </c>
      <c r="B3022" s="5" t="s">
        <v>9067</v>
      </c>
      <c r="C3022" s="4">
        <v>1.0</v>
      </c>
      <c r="D3022" s="5" t="s">
        <v>9068</v>
      </c>
      <c r="E3022" s="5" t="s">
        <v>9069</v>
      </c>
      <c r="F3022" s="6" t="str">
        <f>IFERROR(__xludf.DUMMYFUNCTION("GOOGLETRANSLATE(D3022,""en"",""it"")"),"Non mi piace il rock, preferisco il cibo.")</f>
        <v>Non mi piace il rock, preferisco il cibo.</v>
      </c>
      <c r="G3022" s="6" t="str">
        <f>IFERROR(__xludf.DUMMYFUNCTION("GOOGLETRANSLATE(E3022,""fr"",""it"")"),"Non mi piace il rock, preferisco il cibo.")</f>
        <v>Non mi piace il rock, preferisco il cibo.</v>
      </c>
    </row>
    <row r="3023">
      <c r="A3023" s="4">
        <v>3021.0</v>
      </c>
      <c r="B3023" s="5" t="s">
        <v>9070</v>
      </c>
      <c r="C3023" s="4">
        <v>1.0</v>
      </c>
      <c r="D3023" s="5" t="s">
        <v>9071</v>
      </c>
      <c r="E3023" s="5" t="s">
        <v>9072</v>
      </c>
      <c r="F3023" s="6" t="str">
        <f>IFERROR(__xludf.DUMMYFUNCTION("GOOGLETRANSLATE(D3023,""en"",""it"")"),"Non mi piace il cibo, preferisco il rock.")</f>
        <v>Non mi piace il cibo, preferisco il rock.</v>
      </c>
      <c r="G3023" s="6" t="str">
        <f>IFERROR(__xludf.DUMMYFUNCTION("GOOGLETRANSLATE(E3023,""fr"",""it"")"),"Non mi piace il cibo, preferisco il rock.")</f>
        <v>Non mi piace il cibo, preferisco il rock.</v>
      </c>
    </row>
    <row r="3024">
      <c r="A3024" s="4">
        <v>3022.0</v>
      </c>
      <c r="B3024" s="5" t="s">
        <v>9073</v>
      </c>
      <c r="C3024" s="4">
        <v>1.0</v>
      </c>
      <c r="D3024" s="5" t="s">
        <v>9074</v>
      </c>
      <c r="E3024" s="5" t="s">
        <v>9075</v>
      </c>
      <c r="F3024" s="6" t="str">
        <f>IFERROR(__xludf.DUMMYFUNCTION("GOOGLETRANSLATE(D3024,""en"",""it"")"),"Non mi piace la musica, preferisco il cibo.")</f>
        <v>Non mi piace la musica, preferisco il cibo.</v>
      </c>
      <c r="G3024" s="6" t="str">
        <f>IFERROR(__xludf.DUMMYFUNCTION("GOOGLETRANSLATE(E3024,""fr"",""it"")"),"Non mi piace la musica, preferisco il cibo.")</f>
        <v>Non mi piace la musica, preferisco il cibo.</v>
      </c>
    </row>
    <row r="3025">
      <c r="A3025" s="4">
        <v>3023.0</v>
      </c>
      <c r="B3025" s="5" t="s">
        <v>9076</v>
      </c>
      <c r="C3025" s="4">
        <v>1.0</v>
      </c>
      <c r="D3025" s="5" t="s">
        <v>9077</v>
      </c>
      <c r="E3025" s="5" t="s">
        <v>9078</v>
      </c>
      <c r="F3025" s="6" t="str">
        <f>IFERROR(__xludf.DUMMYFUNCTION("GOOGLETRANSLATE(D3025,""en"",""it"")"),"Non mi piace il rock, preferisco i gioielli.")</f>
        <v>Non mi piace il rock, preferisco i gioielli.</v>
      </c>
      <c r="G3025" s="6" t="str">
        <f>IFERROR(__xludf.DUMMYFUNCTION("GOOGLETRANSLATE(E3025,""fr"",""it"")"),"Non mi piace il rock, preferisco i gioielli.")</f>
        <v>Non mi piace il rock, preferisco i gioielli.</v>
      </c>
    </row>
    <row r="3026">
      <c r="A3026" s="4">
        <v>3024.0</v>
      </c>
      <c r="B3026" s="5" t="s">
        <v>9079</v>
      </c>
      <c r="C3026" s="4">
        <v>1.0</v>
      </c>
      <c r="D3026" s="5" t="s">
        <v>9080</v>
      </c>
      <c r="E3026" s="5" t="s">
        <v>9081</v>
      </c>
      <c r="F3026" s="6" t="str">
        <f>IFERROR(__xludf.DUMMYFUNCTION("GOOGLETRANSLATE(D3026,""en"",""it"")"),"Non mi piacciono i gioielli, preferisco il rock.")</f>
        <v>Non mi piacciono i gioielli, preferisco il rock.</v>
      </c>
      <c r="G3026" s="6" t="str">
        <f>IFERROR(__xludf.DUMMYFUNCTION("GOOGLETRANSLATE(E3026,""fr"",""it"")"),"Non mi piacciono i gioielli, preferisco il rock.")</f>
        <v>Non mi piacciono i gioielli, preferisco il rock.</v>
      </c>
    </row>
    <row r="3027">
      <c r="A3027" s="4">
        <v>3025.0</v>
      </c>
      <c r="B3027" s="5" t="s">
        <v>9082</v>
      </c>
      <c r="C3027" s="4">
        <v>1.0</v>
      </c>
      <c r="D3027" s="5" t="s">
        <v>9083</v>
      </c>
      <c r="E3027" s="5" t="s">
        <v>9084</v>
      </c>
      <c r="F3027" s="6" t="str">
        <f>IFERROR(__xludf.DUMMYFUNCTION("GOOGLETRANSLATE(D3027,""en"",""it"")"),"Non mi piace la musica, preferisco i gioielli.")</f>
        <v>Non mi piace la musica, preferisco i gioielli.</v>
      </c>
      <c r="G3027" s="6" t="str">
        <f>IFERROR(__xludf.DUMMYFUNCTION("GOOGLETRANSLATE(E3027,""fr"",""it"")"),"Non mi piace la musica, preferisco i gioielli.")</f>
        <v>Non mi piace la musica, preferisco i gioielli.</v>
      </c>
    </row>
    <row r="3028">
      <c r="A3028" s="4">
        <v>3026.0</v>
      </c>
      <c r="B3028" s="5" t="s">
        <v>9085</v>
      </c>
      <c r="C3028" s="4">
        <v>1.0</v>
      </c>
      <c r="D3028" s="5" t="s">
        <v>9086</v>
      </c>
      <c r="E3028" s="5" t="s">
        <v>9087</v>
      </c>
      <c r="F3028" s="6" t="str">
        <f>IFERROR(__xludf.DUMMYFUNCTION("GOOGLETRANSLATE(D3028,""en"",""it"")"),"Non mi piace il jazz, preferisco lo sport.")</f>
        <v>Non mi piace il jazz, preferisco lo sport.</v>
      </c>
      <c r="G3028" s="6" t="str">
        <f>IFERROR(__xludf.DUMMYFUNCTION("GOOGLETRANSLATE(E3028,""fr"",""it"")"),"Non mi piace il jazz, preferisco lo sport.")</f>
        <v>Non mi piace il jazz, preferisco lo sport.</v>
      </c>
    </row>
    <row r="3029">
      <c r="A3029" s="4">
        <v>3027.0</v>
      </c>
      <c r="B3029" s="5" t="s">
        <v>9088</v>
      </c>
      <c r="C3029" s="4">
        <v>1.0</v>
      </c>
      <c r="D3029" s="5" t="s">
        <v>9089</v>
      </c>
      <c r="E3029" s="5" t="s">
        <v>9090</v>
      </c>
      <c r="F3029" s="6" t="str">
        <f>IFERROR(__xludf.DUMMYFUNCTION("GOOGLETRANSLATE(D3029,""en"",""it"")"),"Non mi piace lo sport, preferisco il jazz.")</f>
        <v>Non mi piace lo sport, preferisco il jazz.</v>
      </c>
      <c r="G3029" s="6" t="str">
        <f>IFERROR(__xludf.DUMMYFUNCTION("GOOGLETRANSLATE(E3029,""fr"",""it"")"),"Non mi piace lo sport, preferisco il jazz.")</f>
        <v>Non mi piace lo sport, preferisco il jazz.</v>
      </c>
    </row>
    <row r="3030">
      <c r="A3030" s="4">
        <v>3028.0</v>
      </c>
      <c r="B3030" s="5" t="s">
        <v>9091</v>
      </c>
      <c r="C3030" s="4">
        <v>0.0</v>
      </c>
      <c r="D3030" s="5" t="s">
        <v>9092</v>
      </c>
      <c r="E3030" s="5" t="s">
        <v>9093</v>
      </c>
      <c r="F3030" s="6" t="str">
        <f>IFERROR(__xludf.DUMMYFUNCTION("GOOGLETRANSLATE(D3030,""en"",""it"")"),"Non mi piace il jazz, preferisco la musica.")</f>
        <v>Non mi piace il jazz, preferisco la musica.</v>
      </c>
      <c r="G3030" s="6" t="str">
        <f>IFERROR(__xludf.DUMMYFUNCTION("GOOGLETRANSLATE(E3030,""fr"",""it"")"),"Non mi piace il jazz, preferisco la musica.")</f>
        <v>Non mi piace il jazz, preferisco la musica.</v>
      </c>
    </row>
    <row r="3031">
      <c r="A3031" s="4">
        <v>3029.0</v>
      </c>
      <c r="B3031" s="5" t="s">
        <v>9094</v>
      </c>
      <c r="C3031" s="4">
        <v>0.0</v>
      </c>
      <c r="D3031" s="5" t="s">
        <v>9095</v>
      </c>
      <c r="E3031" s="5" t="s">
        <v>9096</v>
      </c>
      <c r="F3031" s="6" t="str">
        <f>IFERROR(__xludf.DUMMYFUNCTION("GOOGLETRANSLATE(D3031,""en"",""it"")"),"Non mi piace la musica, preferisco il jazz.")</f>
        <v>Non mi piace la musica, preferisco il jazz.</v>
      </c>
      <c r="G3031" s="6" t="str">
        <f>IFERROR(__xludf.DUMMYFUNCTION("GOOGLETRANSLATE(E3031,""fr"",""it"")"),"Non mi piace la musica, preferisco il jazz.")</f>
        <v>Non mi piace la musica, preferisco il jazz.</v>
      </c>
    </row>
    <row r="3032">
      <c r="A3032" s="4">
        <v>3030.0</v>
      </c>
      <c r="B3032" s="5" t="s">
        <v>9097</v>
      </c>
      <c r="C3032" s="4">
        <v>1.0</v>
      </c>
      <c r="D3032" s="5" t="s">
        <v>9098</v>
      </c>
      <c r="E3032" s="5" t="s">
        <v>9099</v>
      </c>
      <c r="F3032" s="6" t="str">
        <f>IFERROR(__xludf.DUMMYFUNCTION("GOOGLETRANSLATE(D3032,""en"",""it"")"),"Non mi piace il jazz, preferisco I Boardgames.")</f>
        <v>Non mi piace il jazz, preferisco I Boardgames.</v>
      </c>
      <c r="G3032" s="6" t="str">
        <f>IFERROR(__xludf.DUMMYFUNCTION("GOOGLETRANSLATE(E3032,""fr"",""it"")"),"Non mi piace il jazz, preferisco i giochi da tavolo.")</f>
        <v>Non mi piace il jazz, preferisco i giochi da tavolo.</v>
      </c>
    </row>
    <row r="3033">
      <c r="A3033" s="4">
        <v>3031.0</v>
      </c>
      <c r="B3033" s="5" t="s">
        <v>9100</v>
      </c>
      <c r="C3033" s="4">
        <v>1.0</v>
      </c>
      <c r="D3033" s="5" t="s">
        <v>9101</v>
      </c>
      <c r="E3033" s="5" t="s">
        <v>9102</v>
      </c>
      <c r="F3033" s="6" t="str">
        <f>IFERROR(__xludf.DUMMYFUNCTION("GOOGLETRANSLATE(D3033,""en"",""it"")"),"Non mi piacciono i Boardgames, preferisco il jazz.")</f>
        <v>Non mi piacciono i Boardgames, preferisco il jazz.</v>
      </c>
      <c r="G3033" s="6" t="str">
        <f>IFERROR(__xludf.DUMMYFUNCTION("GOOGLETRANSLATE(E3033,""fr"",""it"")"),"Non mi piacciono i giochi da tavolo, preferisco il jazz.")</f>
        <v>Non mi piacciono i giochi da tavolo, preferisco il jazz.</v>
      </c>
    </row>
    <row r="3034">
      <c r="A3034" s="4">
        <v>3032.0</v>
      </c>
      <c r="B3034" s="5" t="s">
        <v>9103</v>
      </c>
      <c r="C3034" s="4">
        <v>1.0</v>
      </c>
      <c r="D3034" s="5" t="s">
        <v>9104</v>
      </c>
      <c r="E3034" s="5" t="s">
        <v>9105</v>
      </c>
      <c r="F3034" s="6" t="str">
        <f>IFERROR(__xludf.DUMMYFUNCTION("GOOGLETRANSLATE(D3034,""en"",""it"")"),"Non mi piace il jazz, preferisco il cibo.")</f>
        <v>Non mi piace il jazz, preferisco il cibo.</v>
      </c>
      <c r="G3034" s="6" t="str">
        <f>IFERROR(__xludf.DUMMYFUNCTION("GOOGLETRANSLATE(E3034,""fr"",""it"")"),"Non mi piace il jazz, preferisco il cibo.")</f>
        <v>Non mi piace il jazz, preferisco il cibo.</v>
      </c>
    </row>
    <row r="3035">
      <c r="A3035" s="4">
        <v>3033.0</v>
      </c>
      <c r="B3035" s="5" t="s">
        <v>9106</v>
      </c>
      <c r="C3035" s="4">
        <v>1.0</v>
      </c>
      <c r="D3035" s="5" t="s">
        <v>9107</v>
      </c>
      <c r="E3035" s="5" t="s">
        <v>9108</v>
      </c>
      <c r="F3035" s="6" t="str">
        <f>IFERROR(__xludf.DUMMYFUNCTION("GOOGLETRANSLATE(D3035,""en"",""it"")"),"Non mi piace il cibo, preferisco il jazz.")</f>
        <v>Non mi piace il cibo, preferisco il jazz.</v>
      </c>
      <c r="G3035" s="6" t="str">
        <f>IFERROR(__xludf.DUMMYFUNCTION("GOOGLETRANSLATE(E3035,""fr"",""it"")"),"Non mi piace il cibo, preferisco il jazz.")</f>
        <v>Non mi piace il cibo, preferisco il jazz.</v>
      </c>
    </row>
    <row r="3036">
      <c r="A3036" s="4">
        <v>3034.0</v>
      </c>
      <c r="B3036" s="5" t="s">
        <v>9109</v>
      </c>
      <c r="C3036" s="4">
        <v>1.0</v>
      </c>
      <c r="D3036" s="5" t="s">
        <v>9110</v>
      </c>
      <c r="E3036" s="5" t="s">
        <v>9111</v>
      </c>
      <c r="F3036" s="6" t="str">
        <f>IFERROR(__xludf.DUMMYFUNCTION("GOOGLETRANSLATE(D3036,""en"",""it"")"),"Non mi piace il jazz, preferisco i gioielli.")</f>
        <v>Non mi piace il jazz, preferisco i gioielli.</v>
      </c>
      <c r="G3036" s="6" t="str">
        <f>IFERROR(__xludf.DUMMYFUNCTION("GOOGLETRANSLATE(E3036,""fr"",""it"")"),"Non mi piace il jazz, preferisco i gioielli.")</f>
        <v>Non mi piace il jazz, preferisco i gioielli.</v>
      </c>
    </row>
    <row r="3037">
      <c r="A3037" s="4">
        <v>3035.0</v>
      </c>
      <c r="B3037" s="5" t="s">
        <v>9112</v>
      </c>
      <c r="C3037" s="4">
        <v>1.0</v>
      </c>
      <c r="D3037" s="5" t="s">
        <v>9113</v>
      </c>
      <c r="E3037" s="5" t="s">
        <v>9114</v>
      </c>
      <c r="F3037" s="6" t="str">
        <f>IFERROR(__xludf.DUMMYFUNCTION("GOOGLETRANSLATE(D3037,""en"",""it"")"),"Non mi piacciono i gioielli, preferisco il jazz.")</f>
        <v>Non mi piacciono i gioielli, preferisco il jazz.</v>
      </c>
      <c r="G3037" s="6" t="str">
        <f>IFERROR(__xludf.DUMMYFUNCTION("GOOGLETRANSLATE(E3037,""fr"",""it"")"),"Non mi piacciono i gioielli, preferisco il jazz.")</f>
        <v>Non mi piacciono i gioielli, preferisco il jazz.</v>
      </c>
    </row>
    <row r="3038">
      <c r="A3038" s="4">
        <v>3036.0</v>
      </c>
      <c r="B3038" s="5" t="s">
        <v>9115</v>
      </c>
      <c r="C3038" s="4">
        <v>1.0</v>
      </c>
      <c r="D3038" s="5" t="s">
        <v>9116</v>
      </c>
      <c r="E3038" s="5" t="s">
        <v>9117</v>
      </c>
      <c r="F3038" s="6" t="str">
        <f>IFERROR(__xludf.DUMMYFUNCTION("GOOGLETRANSLATE(D3038,""en"",""it"")"),"Non mi piace Techno, preferisco lo sport.")</f>
        <v>Non mi piace Techno, preferisco lo sport.</v>
      </c>
      <c r="G3038" s="6" t="str">
        <f>IFERROR(__xludf.DUMMYFUNCTION("GOOGLETRANSLATE(E3038,""fr"",""it"")"),"Non mi piace Techno, preferisco gli sport.")</f>
        <v>Non mi piace Techno, preferisco gli sport.</v>
      </c>
    </row>
    <row r="3039">
      <c r="A3039" s="4">
        <v>3037.0</v>
      </c>
      <c r="B3039" s="5" t="s">
        <v>9118</v>
      </c>
      <c r="C3039" s="4">
        <v>1.0</v>
      </c>
      <c r="D3039" s="5" t="s">
        <v>9119</v>
      </c>
      <c r="E3039" s="5" t="s">
        <v>9120</v>
      </c>
      <c r="F3039" s="6" t="str">
        <f>IFERROR(__xludf.DUMMYFUNCTION("GOOGLETRANSLATE(D3039,""en"",""it"")"),"Non mi piace lo sport, preferisco Techno.")</f>
        <v>Non mi piace lo sport, preferisco Techno.</v>
      </c>
      <c r="G3039" s="6" t="str">
        <f>IFERROR(__xludf.DUMMYFUNCTION("GOOGLETRANSLATE(E3039,""fr"",""it"")"),"Non mi piace lo sport, preferisco Techno.")</f>
        <v>Non mi piace lo sport, preferisco Techno.</v>
      </c>
    </row>
    <row r="3040">
      <c r="A3040" s="4">
        <v>3038.0</v>
      </c>
      <c r="B3040" s="5" t="s">
        <v>9121</v>
      </c>
      <c r="C3040" s="4">
        <v>0.0</v>
      </c>
      <c r="D3040" s="5" t="s">
        <v>9122</v>
      </c>
      <c r="E3040" s="5" t="s">
        <v>9123</v>
      </c>
      <c r="F3040" s="6" t="str">
        <f>IFERROR(__xludf.DUMMYFUNCTION("GOOGLETRANSLATE(D3040,""en"",""it"")"),"Non mi piace Techno, preferisco la musica.")</f>
        <v>Non mi piace Techno, preferisco la musica.</v>
      </c>
      <c r="G3040" s="6" t="str">
        <f>IFERROR(__xludf.DUMMYFUNCTION("GOOGLETRANSLATE(E3040,""fr"",""it"")"),"Non mi piace Techno, preferisco la musica.")</f>
        <v>Non mi piace Techno, preferisco la musica.</v>
      </c>
    </row>
    <row r="3041">
      <c r="A3041" s="4">
        <v>3039.0</v>
      </c>
      <c r="B3041" s="5" t="s">
        <v>9124</v>
      </c>
      <c r="C3041" s="4">
        <v>0.0</v>
      </c>
      <c r="D3041" s="5" t="s">
        <v>9125</v>
      </c>
      <c r="E3041" s="5" t="s">
        <v>9126</v>
      </c>
      <c r="F3041" s="6" t="str">
        <f>IFERROR(__xludf.DUMMYFUNCTION("GOOGLETRANSLATE(D3041,""en"",""it"")"),"Non mi piace la musica, preferisco Techno.")</f>
        <v>Non mi piace la musica, preferisco Techno.</v>
      </c>
      <c r="G3041" s="6" t="str">
        <f>IFERROR(__xludf.DUMMYFUNCTION("GOOGLETRANSLATE(E3041,""fr"",""it"")"),"Non mi piace la musica, preferisco Techno.")</f>
        <v>Non mi piace la musica, preferisco Techno.</v>
      </c>
    </row>
    <row r="3042">
      <c r="A3042" s="4">
        <v>3040.0</v>
      </c>
      <c r="B3042" s="5" t="s">
        <v>9127</v>
      </c>
      <c r="C3042" s="4">
        <v>1.0</v>
      </c>
      <c r="D3042" s="5" t="s">
        <v>9128</v>
      </c>
      <c r="E3042" s="5" t="s">
        <v>9129</v>
      </c>
      <c r="F3042" s="6" t="str">
        <f>IFERROR(__xludf.DUMMYFUNCTION("GOOGLETRANSLATE(D3042,""en"",""it"")"),"Non mi piace Techno, preferisco I Boardgames.")</f>
        <v>Non mi piace Techno, preferisco I Boardgames.</v>
      </c>
      <c r="G3042" s="6" t="str">
        <f>IFERROR(__xludf.DUMMYFUNCTION("GOOGLETRANSLATE(E3042,""fr"",""it"")"),"Non mi piace Techno, preferisco i giochi da tavolo.")</f>
        <v>Non mi piace Techno, preferisco i giochi da tavolo.</v>
      </c>
    </row>
    <row r="3043">
      <c r="A3043" s="4">
        <v>3041.0</v>
      </c>
      <c r="B3043" s="5" t="s">
        <v>9130</v>
      </c>
      <c r="C3043" s="4">
        <v>1.0</v>
      </c>
      <c r="D3043" s="5" t="s">
        <v>9131</v>
      </c>
      <c r="E3043" s="5" t="s">
        <v>9132</v>
      </c>
      <c r="F3043" s="6" t="str">
        <f>IFERROR(__xludf.DUMMYFUNCTION("GOOGLETRANSLATE(D3043,""en"",""it"")"),"Non mi piacciono i Boardgames, preferisco Techno.")</f>
        <v>Non mi piacciono i Boardgames, preferisco Techno.</v>
      </c>
      <c r="G3043" s="6" t="str">
        <f>IFERROR(__xludf.DUMMYFUNCTION("GOOGLETRANSLATE(E3043,""fr"",""it"")"),"Non mi piacciono i giochi da tavolo, preferisco Techno.")</f>
        <v>Non mi piacciono i giochi da tavolo, preferisco Techno.</v>
      </c>
    </row>
    <row r="3044">
      <c r="A3044" s="4">
        <v>3042.0</v>
      </c>
      <c r="B3044" s="5" t="s">
        <v>9133</v>
      </c>
      <c r="C3044" s="4">
        <v>1.0</v>
      </c>
      <c r="D3044" s="5" t="s">
        <v>9134</v>
      </c>
      <c r="E3044" s="5" t="s">
        <v>9135</v>
      </c>
      <c r="F3044" s="6" t="str">
        <f>IFERROR(__xludf.DUMMYFUNCTION("GOOGLETRANSLATE(D3044,""en"",""it"")"),"Non mi piace Techno, preferisco il cibo.")</f>
        <v>Non mi piace Techno, preferisco il cibo.</v>
      </c>
      <c r="G3044" s="6" t="str">
        <f>IFERROR(__xludf.DUMMYFUNCTION("GOOGLETRANSLATE(E3044,""fr"",""it"")"),"Non mi piace Techno, preferisco il cibo.")</f>
        <v>Non mi piace Techno, preferisco il cibo.</v>
      </c>
    </row>
    <row r="3045">
      <c r="A3045" s="4">
        <v>3043.0</v>
      </c>
      <c r="B3045" s="5" t="s">
        <v>9136</v>
      </c>
      <c r="C3045" s="4">
        <v>1.0</v>
      </c>
      <c r="D3045" s="5" t="s">
        <v>9137</v>
      </c>
      <c r="E3045" s="5" t="s">
        <v>9138</v>
      </c>
      <c r="F3045" s="6" t="str">
        <f>IFERROR(__xludf.DUMMYFUNCTION("GOOGLETRANSLATE(D3045,""en"",""it"")"),"Non mi piace il cibo, preferisco Techno.")</f>
        <v>Non mi piace il cibo, preferisco Techno.</v>
      </c>
      <c r="G3045" s="6" t="str">
        <f>IFERROR(__xludf.DUMMYFUNCTION("GOOGLETRANSLATE(E3045,""fr"",""it"")"),"Non mi piace il cibo, preferisco Techno.")</f>
        <v>Non mi piace il cibo, preferisco Techno.</v>
      </c>
    </row>
    <row r="3046">
      <c r="A3046" s="4">
        <v>3044.0</v>
      </c>
      <c r="B3046" s="5" t="s">
        <v>9139</v>
      </c>
      <c r="C3046" s="4">
        <v>1.0</v>
      </c>
      <c r="D3046" s="5" t="s">
        <v>9140</v>
      </c>
      <c r="E3046" s="5" t="s">
        <v>9141</v>
      </c>
      <c r="F3046" s="6" t="str">
        <f>IFERROR(__xludf.DUMMYFUNCTION("GOOGLETRANSLATE(D3046,""en"",""it"")"),"Non mi piace Techno, preferisco i gioielli.")</f>
        <v>Non mi piace Techno, preferisco i gioielli.</v>
      </c>
      <c r="G3046" s="6" t="str">
        <f>IFERROR(__xludf.DUMMYFUNCTION("GOOGLETRANSLATE(E3046,""fr"",""it"")"),"Non mi piace Techno, preferisco i gioielli.")</f>
        <v>Non mi piace Techno, preferisco i gioielli.</v>
      </c>
    </row>
    <row r="3047">
      <c r="A3047" s="4">
        <v>3045.0</v>
      </c>
      <c r="B3047" s="5" t="s">
        <v>9142</v>
      </c>
      <c r="C3047" s="4">
        <v>1.0</v>
      </c>
      <c r="D3047" s="5" t="s">
        <v>9143</v>
      </c>
      <c r="E3047" s="5" t="s">
        <v>9144</v>
      </c>
      <c r="F3047" s="6" t="str">
        <f>IFERROR(__xludf.DUMMYFUNCTION("GOOGLETRANSLATE(D3047,""en"",""it"")"),"Non mi piacciono i gioielli, preferisco Techno.")</f>
        <v>Non mi piacciono i gioielli, preferisco Techno.</v>
      </c>
      <c r="G3047" s="6" t="str">
        <f>IFERROR(__xludf.DUMMYFUNCTION("GOOGLETRANSLATE(E3047,""fr"",""it"")"),"Non mi piacciono i gioielli, preferisco Techno.")</f>
        <v>Non mi piacciono i gioielli, preferisco Techno.</v>
      </c>
    </row>
    <row r="3048">
      <c r="A3048" s="4">
        <v>3046.0</v>
      </c>
      <c r="B3048" s="5" t="s">
        <v>9145</v>
      </c>
      <c r="C3048" s="4">
        <v>1.0</v>
      </c>
      <c r="D3048" s="5" t="s">
        <v>9146</v>
      </c>
      <c r="E3048" s="5" t="s">
        <v>9147</v>
      </c>
      <c r="F3048" s="6" t="str">
        <f>IFERROR(__xludf.DUMMYFUNCTION("GOOGLETRANSLATE(D3048,""en"",""it"")"),"Non mi piace Blues, preferisco gli sport.")</f>
        <v>Non mi piace Blues, preferisco gli sport.</v>
      </c>
      <c r="G3048" s="6" t="str">
        <f>IFERROR(__xludf.DUMMYFUNCTION("GOOGLETRANSLATE(E3048,""fr"",""it"")"),"Non mi piace Blues, preferisco gli sport.")</f>
        <v>Non mi piace Blues, preferisco gli sport.</v>
      </c>
    </row>
    <row r="3049">
      <c r="A3049" s="4">
        <v>3047.0</v>
      </c>
      <c r="B3049" s="5" t="s">
        <v>9148</v>
      </c>
      <c r="C3049" s="4">
        <v>1.0</v>
      </c>
      <c r="D3049" s="5" t="s">
        <v>9149</v>
      </c>
      <c r="E3049" s="5" t="s">
        <v>9150</v>
      </c>
      <c r="F3049" s="6" t="str">
        <f>IFERROR(__xludf.DUMMYFUNCTION("GOOGLETRANSLATE(D3049,""en"",""it"")"),"Non mi piacciono gli sport, preferisco il blues.")</f>
        <v>Non mi piacciono gli sport, preferisco il blues.</v>
      </c>
      <c r="G3049" s="6" t="str">
        <f>IFERROR(__xludf.DUMMYFUNCTION("GOOGLETRANSLATE(E3049,""fr"",""it"")"),"Non mi piacciono gli sport, preferisco il blues.")</f>
        <v>Non mi piacciono gli sport, preferisco il blues.</v>
      </c>
    </row>
    <row r="3050">
      <c r="A3050" s="4">
        <v>3048.0</v>
      </c>
      <c r="B3050" s="5" t="s">
        <v>9151</v>
      </c>
      <c r="C3050" s="4">
        <v>0.0</v>
      </c>
      <c r="D3050" s="5" t="s">
        <v>9152</v>
      </c>
      <c r="E3050" s="5" t="s">
        <v>9153</v>
      </c>
      <c r="F3050" s="6" t="str">
        <f>IFERROR(__xludf.DUMMYFUNCTION("GOOGLETRANSLATE(D3050,""en"",""it"")"),"Non mi piace Blues, preferisco la musica.")</f>
        <v>Non mi piace Blues, preferisco la musica.</v>
      </c>
      <c r="G3050" s="6" t="str">
        <f>IFERROR(__xludf.DUMMYFUNCTION("GOOGLETRANSLATE(E3050,""fr"",""it"")"),"Non mi piace Blues, preferisco la musica.")</f>
        <v>Non mi piace Blues, preferisco la musica.</v>
      </c>
    </row>
    <row r="3051">
      <c r="A3051" s="4">
        <v>3049.0</v>
      </c>
      <c r="B3051" s="5" t="s">
        <v>9154</v>
      </c>
      <c r="C3051" s="4">
        <v>0.0</v>
      </c>
      <c r="D3051" s="5" t="s">
        <v>9155</v>
      </c>
      <c r="E3051" s="5" t="s">
        <v>9156</v>
      </c>
      <c r="F3051" s="6" t="str">
        <f>IFERROR(__xludf.DUMMYFUNCTION("GOOGLETRANSLATE(D3051,""en"",""it"")"),"Non mi piace la musica, preferisco il blues.")</f>
        <v>Non mi piace la musica, preferisco il blues.</v>
      </c>
      <c r="G3051" s="6" t="str">
        <f>IFERROR(__xludf.DUMMYFUNCTION("GOOGLETRANSLATE(E3051,""fr"",""it"")"),"Non mi piace la musica, preferisco il blues.")</f>
        <v>Non mi piace la musica, preferisco il blues.</v>
      </c>
    </row>
    <row r="3052">
      <c r="A3052" s="4">
        <v>3050.0</v>
      </c>
      <c r="B3052" s="5" t="s">
        <v>9157</v>
      </c>
      <c r="C3052" s="4">
        <v>1.0</v>
      </c>
      <c r="D3052" s="5" t="s">
        <v>9158</v>
      </c>
      <c r="E3052" s="5" t="s">
        <v>9159</v>
      </c>
      <c r="F3052" s="6" t="str">
        <f>IFERROR(__xludf.DUMMYFUNCTION("GOOGLETRANSLATE(D3052,""en"",""it"")"),"Non mi piace Blues, preferisco i Boardgames.")</f>
        <v>Non mi piace Blues, preferisco i Boardgames.</v>
      </c>
      <c r="G3052" s="6" t="str">
        <f>IFERROR(__xludf.DUMMYFUNCTION("GOOGLETRANSLATE(E3052,""fr"",""it"")"),"Non mi piace Blues, preferisco i giochi da tavolo.")</f>
        <v>Non mi piace Blues, preferisco i giochi da tavolo.</v>
      </c>
    </row>
    <row r="3053">
      <c r="A3053" s="4">
        <v>3051.0</v>
      </c>
      <c r="B3053" s="5" t="s">
        <v>9160</v>
      </c>
      <c r="C3053" s="4">
        <v>1.0</v>
      </c>
      <c r="D3053" s="5" t="s">
        <v>9161</v>
      </c>
      <c r="E3053" s="5" t="s">
        <v>9162</v>
      </c>
      <c r="F3053" s="6" t="str">
        <f>IFERROR(__xludf.DUMMYFUNCTION("GOOGLETRANSLATE(D3053,""en"",""it"")"),"Non mi piacciono i Boardgames, preferisco Blues.")</f>
        <v>Non mi piacciono i Boardgames, preferisco Blues.</v>
      </c>
      <c r="G3053" s="6" t="str">
        <f>IFERROR(__xludf.DUMMYFUNCTION("GOOGLETRANSLATE(E3053,""fr"",""it"")"),"Non mi piacciono i giochi da tavolo, preferisco il blues.")</f>
        <v>Non mi piacciono i giochi da tavolo, preferisco il blues.</v>
      </c>
    </row>
    <row r="3054">
      <c r="A3054" s="4">
        <v>3052.0</v>
      </c>
      <c r="B3054" s="5" t="s">
        <v>9163</v>
      </c>
      <c r="C3054" s="4">
        <v>1.0</v>
      </c>
      <c r="D3054" s="5" t="s">
        <v>9164</v>
      </c>
      <c r="E3054" s="5" t="s">
        <v>9165</v>
      </c>
      <c r="F3054" s="6" t="str">
        <f>IFERROR(__xludf.DUMMYFUNCTION("GOOGLETRANSLATE(D3054,""en"",""it"")"),"Non mi piace Blues, preferisco il cibo.")</f>
        <v>Non mi piace Blues, preferisco il cibo.</v>
      </c>
      <c r="G3054" s="6" t="str">
        <f>IFERROR(__xludf.DUMMYFUNCTION("GOOGLETRANSLATE(E3054,""fr"",""it"")"),"Non mi piace Blues, preferisco il cibo.")</f>
        <v>Non mi piace Blues, preferisco il cibo.</v>
      </c>
    </row>
    <row r="3055">
      <c r="A3055" s="4">
        <v>3053.0</v>
      </c>
      <c r="B3055" s="5" t="s">
        <v>9166</v>
      </c>
      <c r="C3055" s="4">
        <v>1.0</v>
      </c>
      <c r="D3055" s="5" t="s">
        <v>9167</v>
      </c>
      <c r="E3055" s="5" t="s">
        <v>9168</v>
      </c>
      <c r="F3055" s="6" t="str">
        <f>IFERROR(__xludf.DUMMYFUNCTION("GOOGLETRANSLATE(D3055,""en"",""it"")"),"Non mi piace il cibo, preferisco il blues.")</f>
        <v>Non mi piace il cibo, preferisco il blues.</v>
      </c>
      <c r="G3055" s="6" t="str">
        <f>IFERROR(__xludf.DUMMYFUNCTION("GOOGLETRANSLATE(E3055,""fr"",""it"")"),"Non mi piace il cibo, preferisco il blues.")</f>
        <v>Non mi piace il cibo, preferisco il blues.</v>
      </c>
    </row>
    <row r="3056">
      <c r="A3056" s="4">
        <v>3054.0</v>
      </c>
      <c r="B3056" s="5" t="s">
        <v>9169</v>
      </c>
      <c r="C3056" s="4">
        <v>1.0</v>
      </c>
      <c r="D3056" s="5" t="s">
        <v>9170</v>
      </c>
      <c r="E3056" s="5" t="s">
        <v>9171</v>
      </c>
      <c r="F3056" s="6" t="str">
        <f>IFERROR(__xludf.DUMMYFUNCTION("GOOGLETRANSLATE(D3056,""en"",""it"")"),"Non mi piace Blues, preferisco i gioielli.")</f>
        <v>Non mi piace Blues, preferisco i gioielli.</v>
      </c>
      <c r="G3056" s="6" t="str">
        <f>IFERROR(__xludf.DUMMYFUNCTION("GOOGLETRANSLATE(E3056,""fr"",""it"")"),"Non mi piace Blues, preferisco i gioielli.")</f>
        <v>Non mi piace Blues, preferisco i gioielli.</v>
      </c>
    </row>
    <row r="3057">
      <c r="A3057" s="4">
        <v>3055.0</v>
      </c>
      <c r="B3057" s="5" t="s">
        <v>9172</v>
      </c>
      <c r="C3057" s="4">
        <v>1.0</v>
      </c>
      <c r="D3057" s="5" t="s">
        <v>9173</v>
      </c>
      <c r="E3057" s="5" t="s">
        <v>9174</v>
      </c>
      <c r="F3057" s="6" t="str">
        <f>IFERROR(__xludf.DUMMYFUNCTION("GOOGLETRANSLATE(D3057,""en"",""it"")"),"Non mi piacciono i gioielli, preferisco il blues.")</f>
        <v>Non mi piacciono i gioielli, preferisco il blues.</v>
      </c>
      <c r="G3057" s="6" t="str">
        <f>IFERROR(__xludf.DUMMYFUNCTION("GOOGLETRANSLATE(E3057,""fr"",""it"")"),"Non mi piacciono i gioielli, preferisco il blues.")</f>
        <v>Non mi piacciono i gioielli, preferisco il blues.</v>
      </c>
    </row>
    <row r="3058">
      <c r="A3058" s="4">
        <v>3056.0</v>
      </c>
      <c r="B3058" s="5" t="s">
        <v>9175</v>
      </c>
      <c r="C3058" s="4">
        <v>0.0</v>
      </c>
      <c r="D3058" s="5" t="s">
        <v>9176</v>
      </c>
      <c r="E3058" s="5" t="s">
        <v>9177</v>
      </c>
      <c r="F3058" s="6" t="str">
        <f>IFERROR(__xludf.DUMMYFUNCTION("GOOGLETRANSLATE(D3058,""en"",""it"")"),"Mi piacciono i gatti, tranne i husky.")</f>
        <v>Mi piacciono i gatti, tranne i husky.</v>
      </c>
      <c r="G3058" s="6" t="str">
        <f>IFERROR(__xludf.DUMMYFUNCTION("GOOGLETRANSLATE(E3058,""fr"",""it"")"),"Mi piacciono i gatti tranne i husky.")</f>
        <v>Mi piacciono i gatti tranne i husky.</v>
      </c>
    </row>
    <row r="3059">
      <c r="A3059" s="4">
        <v>3057.0</v>
      </c>
      <c r="B3059" s="5" t="s">
        <v>9178</v>
      </c>
      <c r="C3059" s="4">
        <v>1.0</v>
      </c>
      <c r="D3059" s="5" t="s">
        <v>9179</v>
      </c>
      <c r="E3059" s="5" t="s">
        <v>9180</v>
      </c>
      <c r="F3059" s="6" t="str">
        <f>IFERROR(__xludf.DUMMYFUNCTION("GOOGLETRANSLATE(D3059,""en"",""it"")"),"Non mi piace il prosciutto, preferisco il pesce.")</f>
        <v>Non mi piace il prosciutto, preferisco il pesce.</v>
      </c>
      <c r="G3059" s="6" t="str">
        <f>IFERROR(__xludf.DUMMYFUNCTION("GOOGLETRANSLATE(E3059,""fr"",""it"")"),"Non mi piace il prosciutto, preferisco il pesce.")</f>
        <v>Non mi piace il prosciutto, preferisco il pesce.</v>
      </c>
    </row>
    <row r="3060">
      <c r="A3060" s="4">
        <v>3058.0</v>
      </c>
      <c r="B3060" s="5" t="s">
        <v>9181</v>
      </c>
      <c r="C3060" s="4">
        <v>1.0</v>
      </c>
      <c r="D3060" s="5" t="s">
        <v>9182</v>
      </c>
      <c r="E3060" s="5" t="s">
        <v>9183</v>
      </c>
      <c r="F3060" s="6" t="str">
        <f>IFERROR(__xludf.DUMMYFUNCTION("GOOGLETRANSLATE(D3060,""en"",""it"")"),"Non mi piace il pesce, preferisco il prosciutto.")</f>
        <v>Non mi piace il pesce, preferisco il prosciutto.</v>
      </c>
      <c r="G3060" s="6" t="str">
        <f>IFERROR(__xludf.DUMMYFUNCTION("GOOGLETRANSLATE(E3060,""fr"",""it"")"),"Non mi piace il pesce, preferisco il prosciutto.")</f>
        <v>Non mi piace il pesce, preferisco il prosciutto.</v>
      </c>
    </row>
    <row r="3061">
      <c r="A3061" s="4">
        <v>3059.0</v>
      </c>
      <c r="B3061" s="5" t="s">
        <v>9184</v>
      </c>
      <c r="C3061" s="4">
        <v>0.0</v>
      </c>
      <c r="D3061" s="5" t="s">
        <v>9185</v>
      </c>
      <c r="E3061" s="5" t="s">
        <v>9186</v>
      </c>
      <c r="F3061" s="6" t="str">
        <f>IFERROR(__xludf.DUMMYFUNCTION("GOOGLETRANSLATE(D3061,""en"",""it"")"),"Non mi piace il prosciutto, preferisco il maiale.")</f>
        <v>Non mi piace il prosciutto, preferisco il maiale.</v>
      </c>
      <c r="G3061" s="6" t="str">
        <f>IFERROR(__xludf.DUMMYFUNCTION("GOOGLETRANSLATE(E3061,""fr"",""it"")"),"Non mi piace il prosciutto, preferisco il maiale.")</f>
        <v>Non mi piace il prosciutto, preferisco il maiale.</v>
      </c>
    </row>
    <row r="3062">
      <c r="A3062" s="4">
        <v>3060.0</v>
      </c>
      <c r="B3062" s="5" t="s">
        <v>9187</v>
      </c>
      <c r="C3062" s="4">
        <v>0.0</v>
      </c>
      <c r="D3062" s="5" t="s">
        <v>9188</v>
      </c>
      <c r="E3062" s="5" t="s">
        <v>9189</v>
      </c>
      <c r="F3062" s="6" t="str">
        <f>IFERROR(__xludf.DUMMYFUNCTION("GOOGLETRANSLATE(D3062,""en"",""it"")"),"Non mi piace il maiale, preferisco il prosciutto.")</f>
        <v>Non mi piace il maiale, preferisco il prosciutto.</v>
      </c>
      <c r="G3062" s="6" t="str">
        <f>IFERROR(__xludf.DUMMYFUNCTION("GOOGLETRANSLATE(E3062,""fr"",""it"")"),"Non mi piace il maiale, preferisco il prosciutto.")</f>
        <v>Non mi piace il maiale, preferisco il prosciutto.</v>
      </c>
    </row>
    <row r="3063">
      <c r="A3063" s="4">
        <v>3061.0</v>
      </c>
      <c r="B3063" s="5" t="s">
        <v>9190</v>
      </c>
      <c r="C3063" s="4">
        <v>1.0</v>
      </c>
      <c r="D3063" s="5" t="s">
        <v>9191</v>
      </c>
      <c r="E3063" s="5" t="s">
        <v>9192</v>
      </c>
      <c r="F3063" s="6" t="str">
        <f>IFERROR(__xludf.DUMMYFUNCTION("GOOGLETRANSLATE(D3063,""en"",""it"")"),"Non mi piace il maiale, preferisco il pesce.")</f>
        <v>Non mi piace il maiale, preferisco il pesce.</v>
      </c>
      <c r="G3063" s="6" t="str">
        <f>IFERROR(__xludf.DUMMYFUNCTION("GOOGLETRANSLATE(E3063,""fr"",""it"")"),"Non mi piace il maiale, preferisco il pesce.")</f>
        <v>Non mi piace il maiale, preferisco il pesce.</v>
      </c>
    </row>
    <row r="3064">
      <c r="A3064" s="4">
        <v>3062.0</v>
      </c>
      <c r="B3064" s="5" t="s">
        <v>9193</v>
      </c>
      <c r="C3064" s="4">
        <v>1.0</v>
      </c>
      <c r="D3064" s="5" t="s">
        <v>9194</v>
      </c>
      <c r="E3064" s="5" t="s">
        <v>9195</v>
      </c>
      <c r="F3064" s="6" t="str">
        <f>IFERROR(__xludf.DUMMYFUNCTION("GOOGLETRANSLATE(D3064,""en"",""it"")"),"Non mi piace il prosciutto, preferisco i broccoli.")</f>
        <v>Non mi piace il prosciutto, preferisco i broccoli.</v>
      </c>
      <c r="G3064" s="6" t="str">
        <f>IFERROR(__xludf.DUMMYFUNCTION("GOOGLETRANSLATE(E3064,""fr"",""it"")"),"Non mi piace il prosciutto, preferisco i broccoli.")</f>
        <v>Non mi piace il prosciutto, preferisco i broccoli.</v>
      </c>
    </row>
    <row r="3065">
      <c r="A3065" s="4">
        <v>3063.0</v>
      </c>
      <c r="B3065" s="5" t="s">
        <v>9196</v>
      </c>
      <c r="C3065" s="4">
        <v>1.0</v>
      </c>
      <c r="D3065" s="5" t="s">
        <v>9197</v>
      </c>
      <c r="E3065" s="5" t="s">
        <v>9198</v>
      </c>
      <c r="F3065" s="6" t="str">
        <f>IFERROR(__xludf.DUMMYFUNCTION("GOOGLETRANSLATE(D3065,""en"",""it"")"),"Non mi piacciono i broccoli, preferisco il prosciutto.")</f>
        <v>Non mi piacciono i broccoli, preferisco il prosciutto.</v>
      </c>
      <c r="G3065" s="6" t="str">
        <f>IFERROR(__xludf.DUMMYFUNCTION("GOOGLETRANSLATE(E3065,""fr"",""it"")"),"Non mi piacciono i broccoli, preferisco il prosciutto.")</f>
        <v>Non mi piacciono i broccoli, preferisco il prosciutto.</v>
      </c>
    </row>
    <row r="3066">
      <c r="A3066" s="4">
        <v>3064.0</v>
      </c>
      <c r="B3066" s="5" t="s">
        <v>9199</v>
      </c>
      <c r="C3066" s="4">
        <v>1.0</v>
      </c>
      <c r="D3066" s="5" t="s">
        <v>9200</v>
      </c>
      <c r="E3066" s="5" t="s">
        <v>9201</v>
      </c>
      <c r="F3066" s="6" t="str">
        <f>IFERROR(__xludf.DUMMYFUNCTION("GOOGLETRANSLATE(D3066,""en"",""it"")"),"Non mi piace il maiale, preferisco i broccoli.")</f>
        <v>Non mi piace il maiale, preferisco i broccoli.</v>
      </c>
      <c r="G3066" s="6" t="str">
        <f>IFERROR(__xludf.DUMMYFUNCTION("GOOGLETRANSLATE(E3066,""fr"",""it"")"),"Non mi piace il maiale, preferisco i broccoli.")</f>
        <v>Non mi piace il maiale, preferisco i broccoli.</v>
      </c>
    </row>
    <row r="3067">
      <c r="A3067" s="4">
        <v>3065.0</v>
      </c>
      <c r="B3067" s="5" t="s">
        <v>9202</v>
      </c>
      <c r="C3067" s="4">
        <v>1.0</v>
      </c>
      <c r="D3067" s="5" t="s">
        <v>9203</v>
      </c>
      <c r="E3067" s="5" t="s">
        <v>9204</v>
      </c>
      <c r="F3067" s="6" t="str">
        <f>IFERROR(__xludf.DUMMYFUNCTION("GOOGLETRANSLATE(D3067,""en"",""it"")"),"Non mi piace il prosciutto, preferisco le mele.")</f>
        <v>Non mi piace il prosciutto, preferisco le mele.</v>
      </c>
      <c r="G3067" s="6" t="str">
        <f>IFERROR(__xludf.DUMMYFUNCTION("GOOGLETRANSLATE(E3067,""fr"",""it"")"),"Non mi piace il prosciutto, preferisco le mele.")</f>
        <v>Non mi piace il prosciutto, preferisco le mele.</v>
      </c>
    </row>
    <row r="3068">
      <c r="A3068" s="4">
        <v>3066.0</v>
      </c>
      <c r="B3068" s="5" t="s">
        <v>9205</v>
      </c>
      <c r="C3068" s="4">
        <v>1.0</v>
      </c>
      <c r="D3068" s="5" t="s">
        <v>9206</v>
      </c>
      <c r="E3068" s="5" t="s">
        <v>9207</v>
      </c>
      <c r="F3068" s="6" t="str">
        <f>IFERROR(__xludf.DUMMYFUNCTION("GOOGLETRANSLATE(D3068,""en"",""it"")"),"Non mi piacciono le mele, preferisco il prosciutto.")</f>
        <v>Non mi piacciono le mele, preferisco il prosciutto.</v>
      </c>
      <c r="G3068" s="6" t="str">
        <f>IFERROR(__xludf.DUMMYFUNCTION("GOOGLETRANSLATE(E3068,""fr"",""it"")"),"Non mi piacciono le mele, preferisco il prosciutto.")</f>
        <v>Non mi piacciono le mele, preferisco il prosciutto.</v>
      </c>
    </row>
    <row r="3069">
      <c r="A3069" s="4">
        <v>3067.0</v>
      </c>
      <c r="B3069" s="5" t="s">
        <v>9208</v>
      </c>
      <c r="C3069" s="4">
        <v>1.0</v>
      </c>
      <c r="D3069" s="5" t="s">
        <v>9209</v>
      </c>
      <c r="E3069" s="5" t="s">
        <v>9210</v>
      </c>
      <c r="F3069" s="6" t="str">
        <f>IFERROR(__xludf.DUMMYFUNCTION("GOOGLETRANSLATE(D3069,""en"",""it"")"),"Non mi piace il maiale, preferisco le mele.")</f>
        <v>Non mi piace il maiale, preferisco le mele.</v>
      </c>
      <c r="G3069" s="6" t="str">
        <f>IFERROR(__xludf.DUMMYFUNCTION("GOOGLETRANSLATE(E3069,""fr"",""it"")"),"Non mi piace il maiale, preferisco le mele.")</f>
        <v>Non mi piace il maiale, preferisco le mele.</v>
      </c>
    </row>
    <row r="3070">
      <c r="A3070" s="4">
        <v>3068.0</v>
      </c>
      <c r="B3070" s="5" t="s">
        <v>9211</v>
      </c>
      <c r="C3070" s="4">
        <v>1.0</v>
      </c>
      <c r="D3070" s="5" t="s">
        <v>9212</v>
      </c>
      <c r="E3070" s="5" t="s">
        <v>9213</v>
      </c>
      <c r="F3070" s="6" t="str">
        <f>IFERROR(__xludf.DUMMYFUNCTION("GOOGLETRANSLATE(D3070,""en"",""it"")"),"Non mi piace il prosciutto, preferisco le carote.")</f>
        <v>Non mi piace il prosciutto, preferisco le carote.</v>
      </c>
      <c r="G3070" s="6" t="str">
        <f>IFERROR(__xludf.DUMMYFUNCTION("GOOGLETRANSLATE(E3070,""fr"",""it"")"),"Non mi piace il prosciutto, preferisco le carote.")</f>
        <v>Non mi piace il prosciutto, preferisco le carote.</v>
      </c>
    </row>
    <row r="3071">
      <c r="A3071" s="4">
        <v>3069.0</v>
      </c>
      <c r="B3071" s="5" t="s">
        <v>9214</v>
      </c>
      <c r="C3071" s="4">
        <v>1.0</v>
      </c>
      <c r="D3071" s="5" t="s">
        <v>9215</v>
      </c>
      <c r="E3071" s="5" t="s">
        <v>9216</v>
      </c>
      <c r="F3071" s="6" t="str">
        <f>IFERROR(__xludf.DUMMYFUNCTION("GOOGLETRANSLATE(D3071,""en"",""it"")"),"Non mi piacciono le carote, preferisco il prosciutto.")</f>
        <v>Non mi piacciono le carote, preferisco il prosciutto.</v>
      </c>
      <c r="G3071" s="6" t="str">
        <f>IFERROR(__xludf.DUMMYFUNCTION("GOOGLETRANSLATE(E3071,""fr"",""it"")"),"Non mi piacciono le carote, preferisco il prosciutto.")</f>
        <v>Non mi piacciono le carote, preferisco il prosciutto.</v>
      </c>
    </row>
    <row r="3072">
      <c r="A3072" s="4">
        <v>3070.0</v>
      </c>
      <c r="B3072" s="5" t="s">
        <v>9217</v>
      </c>
      <c r="C3072" s="4">
        <v>1.0</v>
      </c>
      <c r="D3072" s="5" t="s">
        <v>9218</v>
      </c>
      <c r="E3072" s="5" t="s">
        <v>9219</v>
      </c>
      <c r="F3072" s="6" t="str">
        <f>IFERROR(__xludf.DUMMYFUNCTION("GOOGLETRANSLATE(D3072,""en"",""it"")"),"Non mi piace il maiale, preferisco le carote.")</f>
        <v>Non mi piace il maiale, preferisco le carote.</v>
      </c>
      <c r="G3072" s="6" t="str">
        <f>IFERROR(__xludf.DUMMYFUNCTION("GOOGLETRANSLATE(E3072,""fr"",""it"")"),"Non mi piace il maiale, preferisco le carote.")</f>
        <v>Non mi piace il maiale, preferisco le carote.</v>
      </c>
    </row>
    <row r="3073">
      <c r="A3073" s="4">
        <v>3071.0</v>
      </c>
      <c r="B3073" s="5" t="s">
        <v>9220</v>
      </c>
      <c r="C3073" s="4">
        <v>1.0</v>
      </c>
      <c r="D3073" s="5" t="s">
        <v>9221</v>
      </c>
      <c r="E3073" s="5" t="s">
        <v>9222</v>
      </c>
      <c r="F3073" s="6" t="str">
        <f>IFERROR(__xludf.DUMMYFUNCTION("GOOGLETRANSLATE(D3073,""en"",""it"")"),"Non mi piace Prosciutto, preferisco il pesce.")</f>
        <v>Non mi piace Prosciutto, preferisco il pesce.</v>
      </c>
      <c r="G3073" s="6" t="str">
        <f>IFERROR(__xludf.DUMMYFUNCTION("GOOGLETRANSLATE(E3073,""fr"",""it"")"),"Non mi piace il prosciutto, preferisco il pesce.")</f>
        <v>Non mi piace il prosciutto, preferisco il pesce.</v>
      </c>
    </row>
    <row r="3074">
      <c r="A3074" s="4">
        <v>3072.0</v>
      </c>
      <c r="B3074" s="5" t="s">
        <v>9223</v>
      </c>
      <c r="C3074" s="4">
        <v>1.0</v>
      </c>
      <c r="D3074" s="5" t="s">
        <v>9224</v>
      </c>
      <c r="E3074" s="5" t="s">
        <v>9225</v>
      </c>
      <c r="F3074" s="6" t="str">
        <f>IFERROR(__xludf.DUMMYFUNCTION("GOOGLETRANSLATE(D3074,""en"",""it"")"),"Non mi piace il pesce, preferisco prosciutto.")</f>
        <v>Non mi piace il pesce, preferisco prosciutto.</v>
      </c>
      <c r="G3074" s="6" t="str">
        <f>IFERROR(__xludf.DUMMYFUNCTION("GOOGLETRANSLATE(E3074,""fr"",""it"")"),"Non mi piace il pesce, preferisco prosciutto.")</f>
        <v>Non mi piace il pesce, preferisco prosciutto.</v>
      </c>
    </row>
    <row r="3075">
      <c r="A3075" s="4">
        <v>3073.0</v>
      </c>
      <c r="B3075" s="5" t="s">
        <v>9226</v>
      </c>
      <c r="C3075" s="4">
        <v>0.0</v>
      </c>
      <c r="D3075" s="5" t="s">
        <v>9227</v>
      </c>
      <c r="E3075" s="5" t="s">
        <v>9228</v>
      </c>
      <c r="F3075" s="6" t="str">
        <f>IFERROR(__xludf.DUMMYFUNCTION("GOOGLETRANSLATE(D3075,""en"",""it"")"),"Non mi piace Prosciutto, preferisco il maiale.")</f>
        <v>Non mi piace Prosciutto, preferisco il maiale.</v>
      </c>
      <c r="G3075" s="6" t="str">
        <f>IFERROR(__xludf.DUMMYFUNCTION("GOOGLETRANSLATE(E3075,""fr"",""it"")"),"Non mi piace il prosciutto, preferisco il maiale.")</f>
        <v>Non mi piace il prosciutto, preferisco il maiale.</v>
      </c>
    </row>
    <row r="3076">
      <c r="A3076" s="4">
        <v>3074.0</v>
      </c>
      <c r="B3076" s="5" t="s">
        <v>9229</v>
      </c>
      <c r="C3076" s="4">
        <v>0.0</v>
      </c>
      <c r="D3076" s="5" t="s">
        <v>9230</v>
      </c>
      <c r="E3076" s="5" t="s">
        <v>9231</v>
      </c>
      <c r="F3076" s="6" t="str">
        <f>IFERROR(__xludf.DUMMYFUNCTION("GOOGLETRANSLATE(D3076,""en"",""it"")"),"Non mi piace il maiale, preferisco il prosciutto.")</f>
        <v>Non mi piace il maiale, preferisco il prosciutto.</v>
      </c>
      <c r="G3076" s="6" t="str">
        <f>IFERROR(__xludf.DUMMYFUNCTION("GOOGLETRANSLATE(E3076,""fr"",""it"")"),"Non mi piace il maiale, preferisco il prosciutto.")</f>
        <v>Non mi piace il maiale, preferisco il prosciutto.</v>
      </c>
    </row>
    <row r="3077">
      <c r="A3077" s="4">
        <v>3075.0</v>
      </c>
      <c r="B3077" s="5" t="s">
        <v>9232</v>
      </c>
      <c r="C3077" s="4">
        <v>1.0</v>
      </c>
      <c r="D3077" s="5" t="s">
        <v>9233</v>
      </c>
      <c r="E3077" s="5" t="s">
        <v>9234</v>
      </c>
      <c r="F3077" s="6" t="str">
        <f>IFERROR(__xludf.DUMMYFUNCTION("GOOGLETRANSLATE(D3077,""en"",""it"")"),"Non mi piace Prosciutto, preferisco i broccoli.")</f>
        <v>Non mi piace Prosciutto, preferisco i broccoli.</v>
      </c>
      <c r="G3077" s="6" t="str">
        <f>IFERROR(__xludf.DUMMYFUNCTION("GOOGLETRANSLATE(E3077,""fr"",""it"")"),"Non mi piace il prosciutto, preferisco i broccoli.")</f>
        <v>Non mi piace il prosciutto, preferisco i broccoli.</v>
      </c>
    </row>
    <row r="3078">
      <c r="A3078" s="4">
        <v>3076.0</v>
      </c>
      <c r="B3078" s="5" t="s">
        <v>9235</v>
      </c>
      <c r="C3078" s="4">
        <v>1.0</v>
      </c>
      <c r="D3078" s="5" t="s">
        <v>9236</v>
      </c>
      <c r="E3078" s="5" t="s">
        <v>9237</v>
      </c>
      <c r="F3078" s="6" t="str">
        <f>IFERROR(__xludf.DUMMYFUNCTION("GOOGLETRANSLATE(D3078,""en"",""it"")"),"Non mi piacciono i broccoli, preferisco prosciutto.")</f>
        <v>Non mi piacciono i broccoli, preferisco prosciutto.</v>
      </c>
      <c r="G3078" s="6" t="str">
        <f>IFERROR(__xludf.DUMMYFUNCTION("GOOGLETRANSLATE(E3078,""fr"",""it"")"),"Non mi piacciono i broccoli, preferisco prosciutto.")</f>
        <v>Non mi piacciono i broccoli, preferisco prosciutto.</v>
      </c>
    </row>
    <row r="3079">
      <c r="A3079" s="4">
        <v>3077.0</v>
      </c>
      <c r="B3079" s="5" t="s">
        <v>9238</v>
      </c>
      <c r="C3079" s="4">
        <v>1.0</v>
      </c>
      <c r="D3079" s="5" t="s">
        <v>9239</v>
      </c>
      <c r="E3079" s="5" t="s">
        <v>9240</v>
      </c>
      <c r="F3079" s="6" t="str">
        <f>IFERROR(__xludf.DUMMYFUNCTION("GOOGLETRANSLATE(D3079,""en"",""it"")"),"Non mi piace Prosciutto, preferisco le mele.")</f>
        <v>Non mi piace Prosciutto, preferisco le mele.</v>
      </c>
      <c r="G3079" s="6" t="str">
        <f>IFERROR(__xludf.DUMMYFUNCTION("GOOGLETRANSLATE(E3079,""fr"",""it"")"),"Non mi piace Prosciutto, preferisco le mele.")</f>
        <v>Non mi piace Prosciutto, preferisco le mele.</v>
      </c>
    </row>
    <row r="3080">
      <c r="A3080" s="4">
        <v>3078.0</v>
      </c>
      <c r="B3080" s="5" t="s">
        <v>9241</v>
      </c>
      <c r="C3080" s="4">
        <v>1.0</v>
      </c>
      <c r="D3080" s="5" t="s">
        <v>9242</v>
      </c>
      <c r="E3080" s="5" t="s">
        <v>9243</v>
      </c>
      <c r="F3080" s="6" t="str">
        <f>IFERROR(__xludf.DUMMYFUNCTION("GOOGLETRANSLATE(D3080,""en"",""it"")"),"Non mi piacciono le mele, preferisco prosciutto.")</f>
        <v>Non mi piacciono le mele, preferisco prosciutto.</v>
      </c>
      <c r="G3080" s="6" t="str">
        <f>IFERROR(__xludf.DUMMYFUNCTION("GOOGLETRANSLATE(E3080,""fr"",""it"")"),"Non mi piacciono le mele, preferisco prosciutto.")</f>
        <v>Non mi piacciono le mele, preferisco prosciutto.</v>
      </c>
    </row>
    <row r="3081">
      <c r="A3081" s="4">
        <v>3079.0</v>
      </c>
      <c r="B3081" s="5" t="s">
        <v>9244</v>
      </c>
      <c r="C3081" s="4">
        <v>1.0</v>
      </c>
      <c r="D3081" s="5" t="s">
        <v>9245</v>
      </c>
      <c r="E3081" s="5" t="s">
        <v>9246</v>
      </c>
      <c r="F3081" s="6" t="str">
        <f>IFERROR(__xludf.DUMMYFUNCTION("GOOGLETRANSLATE(D3081,""en"",""it"")"),"Non mi piace Prosciutto, preferisco le carote.")</f>
        <v>Non mi piace Prosciutto, preferisco le carote.</v>
      </c>
      <c r="G3081" s="6" t="str">
        <f>IFERROR(__xludf.DUMMYFUNCTION("GOOGLETRANSLATE(E3081,""fr"",""it"")"),"Non mi piace il prosciutto, preferisco le carote.")</f>
        <v>Non mi piace il prosciutto, preferisco le carote.</v>
      </c>
    </row>
    <row r="3082">
      <c r="A3082" s="4">
        <v>3080.0</v>
      </c>
      <c r="B3082" s="5" t="s">
        <v>9247</v>
      </c>
      <c r="C3082" s="4">
        <v>1.0</v>
      </c>
      <c r="D3082" s="5" t="s">
        <v>9248</v>
      </c>
      <c r="E3082" s="5" t="s">
        <v>9249</v>
      </c>
      <c r="F3082" s="6" t="str">
        <f>IFERROR(__xludf.DUMMYFUNCTION("GOOGLETRANSLATE(D3082,""en"",""it"")"),"Non mi piacciono le carote, preferisco prosciutto.")</f>
        <v>Non mi piacciono le carote, preferisco prosciutto.</v>
      </c>
      <c r="G3082" s="6" t="str">
        <f>IFERROR(__xludf.DUMMYFUNCTION("GOOGLETRANSLATE(E3082,""fr"",""it"")"),"Non mi piacciono le carote, preferisco prosciutto.")</f>
        <v>Non mi piacciono le carote, preferisco prosciutto.</v>
      </c>
    </row>
    <row r="3083">
      <c r="A3083" s="4">
        <v>3081.0</v>
      </c>
      <c r="B3083" s="5" t="s">
        <v>9250</v>
      </c>
      <c r="C3083" s="4">
        <v>1.0</v>
      </c>
      <c r="D3083" s="5" t="s">
        <v>9251</v>
      </c>
      <c r="E3083" s="5" t="s">
        <v>9252</v>
      </c>
      <c r="F3083" s="6" t="str">
        <f>IFERROR(__xludf.DUMMYFUNCTION("GOOGLETRANSLATE(D3083,""en"",""it"")"),"Non mi piace la pancetta, preferisco il pesce.")</f>
        <v>Non mi piace la pancetta, preferisco il pesce.</v>
      </c>
      <c r="G3083" s="6" t="str">
        <f>IFERROR(__xludf.DUMMYFUNCTION("GOOGLETRANSLATE(E3083,""fr"",""it"")"),"Non mi piace la pancetta, preferisco il pesce.")</f>
        <v>Non mi piace la pancetta, preferisco il pesce.</v>
      </c>
    </row>
    <row r="3084">
      <c r="A3084" s="4">
        <v>3082.0</v>
      </c>
      <c r="B3084" s="5" t="s">
        <v>9253</v>
      </c>
      <c r="C3084" s="4">
        <v>1.0</v>
      </c>
      <c r="D3084" s="5" t="s">
        <v>9254</v>
      </c>
      <c r="E3084" s="5" t="s">
        <v>9255</v>
      </c>
      <c r="F3084" s="6" t="str">
        <f>IFERROR(__xludf.DUMMYFUNCTION("GOOGLETRANSLATE(D3084,""en"",""it"")"),"Non mi piace il pesce, preferisco la pancetta.")</f>
        <v>Non mi piace il pesce, preferisco la pancetta.</v>
      </c>
      <c r="G3084" s="6" t="str">
        <f>IFERROR(__xludf.DUMMYFUNCTION("GOOGLETRANSLATE(E3084,""fr"",""it"")"),"Non mi piace il pesce, preferisco la pancetta.")</f>
        <v>Non mi piace il pesce, preferisco la pancetta.</v>
      </c>
    </row>
    <row r="3085">
      <c r="A3085" s="4">
        <v>3083.0</v>
      </c>
      <c r="B3085" s="5" t="s">
        <v>9256</v>
      </c>
      <c r="C3085" s="4">
        <v>0.0</v>
      </c>
      <c r="D3085" s="5" t="s">
        <v>9257</v>
      </c>
      <c r="E3085" s="5" t="s">
        <v>9258</v>
      </c>
      <c r="F3085" s="6" t="str">
        <f>IFERROR(__xludf.DUMMYFUNCTION("GOOGLETRANSLATE(D3085,""en"",""it"")"),"Non mi piace la pancetta, preferisco il maiale.")</f>
        <v>Non mi piace la pancetta, preferisco il maiale.</v>
      </c>
      <c r="G3085" s="6" t="str">
        <f>IFERROR(__xludf.DUMMYFUNCTION("GOOGLETRANSLATE(E3085,""fr"",""it"")"),"Non mi piace la pancetta, preferisco il maiale.")</f>
        <v>Non mi piace la pancetta, preferisco il maiale.</v>
      </c>
    </row>
    <row r="3086">
      <c r="A3086" s="4">
        <v>3084.0</v>
      </c>
      <c r="B3086" s="5" t="s">
        <v>9259</v>
      </c>
      <c r="C3086" s="4">
        <v>0.0</v>
      </c>
      <c r="D3086" s="5" t="s">
        <v>9260</v>
      </c>
      <c r="E3086" s="5" t="s">
        <v>9261</v>
      </c>
      <c r="F3086" s="6" t="str">
        <f>IFERROR(__xludf.DUMMYFUNCTION("GOOGLETRANSLATE(D3086,""en"",""it"")"),"Non mi piace il maiale, preferisco la pancetta.")</f>
        <v>Non mi piace il maiale, preferisco la pancetta.</v>
      </c>
      <c r="G3086" s="6" t="str">
        <f>IFERROR(__xludf.DUMMYFUNCTION("GOOGLETRANSLATE(E3086,""fr"",""it"")"),"Non mi piace il maiale, preferisco la pancetta.")</f>
        <v>Non mi piace il maiale, preferisco la pancetta.</v>
      </c>
    </row>
    <row r="3087">
      <c r="A3087" s="4">
        <v>3085.0</v>
      </c>
      <c r="B3087" s="5" t="s">
        <v>9262</v>
      </c>
      <c r="C3087" s="4">
        <v>1.0</v>
      </c>
      <c r="D3087" s="5" t="s">
        <v>9263</v>
      </c>
      <c r="E3087" s="5" t="s">
        <v>9264</v>
      </c>
      <c r="F3087" s="6" t="str">
        <f>IFERROR(__xludf.DUMMYFUNCTION("GOOGLETRANSLATE(D3087,""en"",""it"")"),"Non mi piace la pancetta, preferisco i broccoli.")</f>
        <v>Non mi piace la pancetta, preferisco i broccoli.</v>
      </c>
      <c r="G3087" s="6" t="str">
        <f>IFERROR(__xludf.DUMMYFUNCTION("GOOGLETRANSLATE(E3087,""fr"",""it"")"),"Non mi piace la pancetta, preferisco i broccoli.")</f>
        <v>Non mi piace la pancetta, preferisco i broccoli.</v>
      </c>
    </row>
    <row r="3088">
      <c r="A3088" s="4">
        <v>3086.0</v>
      </c>
      <c r="B3088" s="5" t="s">
        <v>9265</v>
      </c>
      <c r="C3088" s="4">
        <v>1.0</v>
      </c>
      <c r="D3088" s="5" t="s">
        <v>9266</v>
      </c>
      <c r="E3088" s="5" t="s">
        <v>9267</v>
      </c>
      <c r="F3088" s="6" t="str">
        <f>IFERROR(__xludf.DUMMYFUNCTION("GOOGLETRANSLATE(D3088,""en"",""it"")"),"Non mi piacciono i broccoli, preferisco la pancetta.")</f>
        <v>Non mi piacciono i broccoli, preferisco la pancetta.</v>
      </c>
      <c r="G3088" s="6" t="str">
        <f>IFERROR(__xludf.DUMMYFUNCTION("GOOGLETRANSLATE(E3088,""fr"",""it"")"),"Non mi piacciono i broccoli, preferisco la pancetta.")</f>
        <v>Non mi piacciono i broccoli, preferisco la pancetta.</v>
      </c>
    </row>
    <row r="3089">
      <c r="A3089" s="4">
        <v>3087.0</v>
      </c>
      <c r="B3089" s="5" t="s">
        <v>9268</v>
      </c>
      <c r="C3089" s="4">
        <v>1.0</v>
      </c>
      <c r="D3089" s="5" t="s">
        <v>9269</v>
      </c>
      <c r="E3089" s="5" t="s">
        <v>9270</v>
      </c>
      <c r="F3089" s="6" t="str">
        <f>IFERROR(__xludf.DUMMYFUNCTION("GOOGLETRANSLATE(D3089,""en"",""it"")"),"Non mi piace la pancetta, preferisco le mele.")</f>
        <v>Non mi piace la pancetta, preferisco le mele.</v>
      </c>
      <c r="G3089" s="6" t="str">
        <f>IFERROR(__xludf.DUMMYFUNCTION("GOOGLETRANSLATE(E3089,""fr"",""it"")"),"Non mi piace la pancetta, preferisco le mele.")</f>
        <v>Non mi piace la pancetta, preferisco le mele.</v>
      </c>
    </row>
    <row r="3090">
      <c r="A3090" s="4">
        <v>3088.0</v>
      </c>
      <c r="B3090" s="5" t="s">
        <v>9271</v>
      </c>
      <c r="C3090" s="4">
        <v>1.0</v>
      </c>
      <c r="D3090" s="5" t="s">
        <v>9272</v>
      </c>
      <c r="E3090" s="5" t="s">
        <v>9273</v>
      </c>
      <c r="F3090" s="6" t="str">
        <f>IFERROR(__xludf.DUMMYFUNCTION("GOOGLETRANSLATE(D3090,""en"",""it"")"),"Non mi piacciono le mele, preferisco la pancetta.")</f>
        <v>Non mi piacciono le mele, preferisco la pancetta.</v>
      </c>
      <c r="G3090" s="6" t="str">
        <f>IFERROR(__xludf.DUMMYFUNCTION("GOOGLETRANSLATE(E3090,""fr"",""it"")"),"Non mi piacciono le mele, preferisco la pancetta.")</f>
        <v>Non mi piacciono le mele, preferisco la pancetta.</v>
      </c>
    </row>
    <row r="3091">
      <c r="A3091" s="4">
        <v>3089.0</v>
      </c>
      <c r="B3091" s="5" t="s">
        <v>9274</v>
      </c>
      <c r="C3091" s="4">
        <v>1.0</v>
      </c>
      <c r="D3091" s="5" t="s">
        <v>9275</v>
      </c>
      <c r="E3091" s="5" t="s">
        <v>9276</v>
      </c>
      <c r="F3091" s="6" t="str">
        <f>IFERROR(__xludf.DUMMYFUNCTION("GOOGLETRANSLATE(D3091,""en"",""it"")"),"Non mi piace la pancetta, preferisco le carote.")</f>
        <v>Non mi piace la pancetta, preferisco le carote.</v>
      </c>
      <c r="G3091" s="6" t="str">
        <f>IFERROR(__xludf.DUMMYFUNCTION("GOOGLETRANSLATE(E3091,""fr"",""it"")"),"Non mi piace la pancetta, preferisco le carote.")</f>
        <v>Non mi piace la pancetta, preferisco le carote.</v>
      </c>
    </row>
    <row r="3092">
      <c r="A3092" s="4">
        <v>3090.0</v>
      </c>
      <c r="B3092" s="5" t="s">
        <v>9277</v>
      </c>
      <c r="C3092" s="4">
        <v>1.0</v>
      </c>
      <c r="D3092" s="5" t="s">
        <v>9278</v>
      </c>
      <c r="E3092" s="5" t="s">
        <v>9279</v>
      </c>
      <c r="F3092" s="6" t="str">
        <f>IFERROR(__xludf.DUMMYFUNCTION("GOOGLETRANSLATE(D3092,""en"",""it"")"),"Non mi piacciono le carote, preferisco la pancetta.")</f>
        <v>Non mi piacciono le carote, preferisco la pancetta.</v>
      </c>
      <c r="G3092" s="6" t="str">
        <f>IFERROR(__xludf.DUMMYFUNCTION("GOOGLETRANSLATE(E3092,""fr"",""it"")"),"Non mi piacciono le carote, preferisco la pancetta.")</f>
        <v>Non mi piacciono le carote, preferisco la pancetta.</v>
      </c>
    </row>
    <row r="3093">
      <c r="A3093" s="4">
        <v>3091.0</v>
      </c>
      <c r="B3093" s="5" t="s">
        <v>9280</v>
      </c>
      <c r="C3093" s="4">
        <v>1.0</v>
      </c>
      <c r="D3093" s="5" t="s">
        <v>9281</v>
      </c>
      <c r="E3093" s="5" t="s">
        <v>9282</v>
      </c>
      <c r="F3093" s="6" t="str">
        <f>IFERROR(__xludf.DUMMYFUNCTION("GOOGLETRANSLATE(D3093,""en"",""it"")"),"Non mi piace il lardo, preferisco il pesce.")</f>
        <v>Non mi piace il lardo, preferisco il pesce.</v>
      </c>
      <c r="G3093" s="6" t="str">
        <f>IFERROR(__xludf.DUMMYFUNCTION("GOOGLETRANSLATE(E3093,""fr"",""it"")"),"Non mi piace la pancetta, preferisco il pesce.")</f>
        <v>Non mi piace la pancetta, preferisco il pesce.</v>
      </c>
    </row>
    <row r="3094">
      <c r="A3094" s="4">
        <v>3092.0</v>
      </c>
      <c r="B3094" s="5" t="s">
        <v>9283</v>
      </c>
      <c r="C3094" s="4">
        <v>1.0</v>
      </c>
      <c r="D3094" s="5" t="s">
        <v>9284</v>
      </c>
      <c r="E3094" s="5" t="s">
        <v>9285</v>
      </c>
      <c r="F3094" s="6" t="str">
        <f>IFERROR(__xludf.DUMMYFUNCTION("GOOGLETRANSLATE(D3094,""en"",""it"")"),"Non mi piace il pesce, preferisco il lardo.")</f>
        <v>Non mi piace il pesce, preferisco il lardo.</v>
      </c>
      <c r="G3094" s="6" t="str">
        <f>IFERROR(__xludf.DUMMYFUNCTION("GOOGLETRANSLATE(E3094,""fr"",""it"")"),"Non mi piace il pesce, preferisco la pancetta.")</f>
        <v>Non mi piace il pesce, preferisco la pancetta.</v>
      </c>
    </row>
    <row r="3095">
      <c r="A3095" s="4">
        <v>3093.0</v>
      </c>
      <c r="B3095" s="5" t="s">
        <v>9286</v>
      </c>
      <c r="C3095" s="4">
        <v>0.0</v>
      </c>
      <c r="D3095" s="5" t="s">
        <v>9287</v>
      </c>
      <c r="E3095" s="5" t="s">
        <v>9288</v>
      </c>
      <c r="F3095" s="6" t="str">
        <f>IFERROR(__xludf.DUMMYFUNCTION("GOOGLETRANSLATE(D3095,""en"",""it"")"),"Non mi piace il lardo, preferisco il maiale.")</f>
        <v>Non mi piace il lardo, preferisco il maiale.</v>
      </c>
      <c r="G3095" s="6" t="str">
        <f>IFERROR(__xludf.DUMMYFUNCTION("GOOGLETRANSLATE(E3095,""fr"",""it"")"),"Non mi piace la pancetta, preferisco il maiale.")</f>
        <v>Non mi piace la pancetta, preferisco il maiale.</v>
      </c>
    </row>
    <row r="3096">
      <c r="A3096" s="4">
        <v>3094.0</v>
      </c>
      <c r="B3096" s="5" t="s">
        <v>9289</v>
      </c>
      <c r="C3096" s="4">
        <v>0.0</v>
      </c>
      <c r="D3096" s="5" t="s">
        <v>9290</v>
      </c>
      <c r="E3096" s="5" t="s">
        <v>9291</v>
      </c>
      <c r="F3096" s="6" t="str">
        <f>IFERROR(__xludf.DUMMYFUNCTION("GOOGLETRANSLATE(D3096,""en"",""it"")"),"Non mi piace il maiale, preferisco il lardo.")</f>
        <v>Non mi piace il maiale, preferisco il lardo.</v>
      </c>
      <c r="G3096" s="6" t="str">
        <f>IFERROR(__xludf.DUMMYFUNCTION("GOOGLETRANSLATE(E3096,""fr"",""it"")"),"Non mi piace il maiale, preferisco la pancetta.")</f>
        <v>Non mi piace il maiale, preferisco la pancetta.</v>
      </c>
    </row>
    <row r="3097">
      <c r="A3097" s="4">
        <v>3095.0</v>
      </c>
      <c r="B3097" s="5" t="s">
        <v>9292</v>
      </c>
      <c r="C3097" s="4">
        <v>1.0</v>
      </c>
      <c r="D3097" s="5" t="s">
        <v>9293</v>
      </c>
      <c r="E3097" s="5" t="s">
        <v>9294</v>
      </c>
      <c r="F3097" s="6" t="str">
        <f>IFERROR(__xludf.DUMMYFUNCTION("GOOGLETRANSLATE(D3097,""en"",""it"")"),"Non mi piace il lardo, preferisco i broccoli.")</f>
        <v>Non mi piace il lardo, preferisco i broccoli.</v>
      </c>
      <c r="G3097" s="6" t="str">
        <f>IFERROR(__xludf.DUMMYFUNCTION("GOOGLETRANSLATE(E3097,""fr"",""it"")"),"Non mi piace la pancetta, preferisco i broccoli.")</f>
        <v>Non mi piace la pancetta, preferisco i broccoli.</v>
      </c>
    </row>
    <row r="3098">
      <c r="A3098" s="4">
        <v>3096.0</v>
      </c>
      <c r="B3098" s="5" t="s">
        <v>9295</v>
      </c>
      <c r="C3098" s="4">
        <v>1.0</v>
      </c>
      <c r="D3098" s="5" t="s">
        <v>9296</v>
      </c>
      <c r="E3098" s="5" t="s">
        <v>9297</v>
      </c>
      <c r="F3098" s="6" t="str">
        <f>IFERROR(__xludf.DUMMYFUNCTION("GOOGLETRANSLATE(D3098,""en"",""it"")"),"Non mi piacciono i broccoli, preferisco il lardo.")</f>
        <v>Non mi piacciono i broccoli, preferisco il lardo.</v>
      </c>
      <c r="G3098" s="6" t="str">
        <f>IFERROR(__xludf.DUMMYFUNCTION("GOOGLETRANSLATE(E3098,""fr"",""it"")"),"Non mi piacciono i broccoli, preferisco la pancetta.")</f>
        <v>Non mi piacciono i broccoli, preferisco la pancetta.</v>
      </c>
    </row>
    <row r="3099">
      <c r="A3099" s="4">
        <v>3097.0</v>
      </c>
      <c r="B3099" s="5" t="s">
        <v>9298</v>
      </c>
      <c r="C3099" s="4">
        <v>1.0</v>
      </c>
      <c r="D3099" s="5" t="s">
        <v>9299</v>
      </c>
      <c r="E3099" s="5" t="s">
        <v>9300</v>
      </c>
      <c r="F3099" s="6" t="str">
        <f>IFERROR(__xludf.DUMMYFUNCTION("GOOGLETRANSLATE(D3099,""en"",""it"")"),"Non mi piace il lardo, preferisco le mele.")</f>
        <v>Non mi piace il lardo, preferisco le mele.</v>
      </c>
      <c r="G3099" s="6" t="str">
        <f>IFERROR(__xludf.DUMMYFUNCTION("GOOGLETRANSLATE(E3099,""fr"",""it"")"),"Non mi piace la pancetta, preferisco le mele.")</f>
        <v>Non mi piace la pancetta, preferisco le mele.</v>
      </c>
    </row>
    <row r="3100">
      <c r="A3100" s="4">
        <v>3098.0</v>
      </c>
      <c r="B3100" s="5" t="s">
        <v>9301</v>
      </c>
      <c r="C3100" s="4">
        <v>1.0</v>
      </c>
      <c r="D3100" s="5" t="s">
        <v>9302</v>
      </c>
      <c r="E3100" s="5" t="s">
        <v>9303</v>
      </c>
      <c r="F3100" s="6" t="str">
        <f>IFERROR(__xludf.DUMMYFUNCTION("GOOGLETRANSLATE(D3100,""en"",""it"")"),"Non mi piacciono le mele, preferisco il lardo.")</f>
        <v>Non mi piacciono le mele, preferisco il lardo.</v>
      </c>
      <c r="G3100" s="6" t="str">
        <f>IFERROR(__xludf.DUMMYFUNCTION("GOOGLETRANSLATE(E3100,""fr"",""it"")"),"Non mi piacciono le mele, preferisco la pancetta.")</f>
        <v>Non mi piacciono le mele, preferisco la pancetta.</v>
      </c>
    </row>
    <row r="3101">
      <c r="A3101" s="4">
        <v>3099.0</v>
      </c>
      <c r="B3101" s="5" t="s">
        <v>9304</v>
      </c>
      <c r="C3101" s="4">
        <v>1.0</v>
      </c>
      <c r="D3101" s="5" t="s">
        <v>9305</v>
      </c>
      <c r="E3101" s="5" t="s">
        <v>9306</v>
      </c>
      <c r="F3101" s="6" t="str">
        <f>IFERROR(__xludf.DUMMYFUNCTION("GOOGLETRANSLATE(D3101,""en"",""it"")"),"Non mi piace il lardo, preferisco le carote.")</f>
        <v>Non mi piace il lardo, preferisco le carote.</v>
      </c>
      <c r="G3101" s="6" t="str">
        <f>IFERROR(__xludf.DUMMYFUNCTION("GOOGLETRANSLATE(E3101,""fr"",""it"")"),"Non mi piace la pancetta, preferisco le carote.")</f>
        <v>Non mi piace la pancetta, preferisco le carote.</v>
      </c>
    </row>
    <row r="3102">
      <c r="A3102" s="4">
        <v>3100.0</v>
      </c>
      <c r="B3102" s="5" t="s">
        <v>9307</v>
      </c>
      <c r="C3102" s="4">
        <v>1.0</v>
      </c>
      <c r="D3102" s="5" t="s">
        <v>9308</v>
      </c>
      <c r="E3102" s="5" t="s">
        <v>9309</v>
      </c>
      <c r="F3102" s="6" t="str">
        <f>IFERROR(__xludf.DUMMYFUNCTION("GOOGLETRANSLATE(D3102,""en"",""it"")"),"Non mi piacciono le carote, preferisco il lardo.")</f>
        <v>Non mi piacciono le carote, preferisco il lardo.</v>
      </c>
      <c r="G3102" s="6" t="str">
        <f>IFERROR(__xludf.DUMMYFUNCTION("GOOGLETRANSLATE(E3102,""fr"",""it"")"),"Non mi piacciono le carote, preferisco la pancetta.")</f>
        <v>Non mi piacciono le carote, preferisco la pancetta.</v>
      </c>
    </row>
    <row r="3103">
      <c r="A3103" s="4">
        <v>3101.0</v>
      </c>
      <c r="B3103" s="5" t="s">
        <v>9310</v>
      </c>
      <c r="C3103" s="4">
        <v>1.0</v>
      </c>
      <c r="D3103" s="5" t="s">
        <v>9311</v>
      </c>
      <c r="E3103" s="5" t="s">
        <v>9312</v>
      </c>
      <c r="F3103" s="6" t="str">
        <f>IFERROR(__xludf.DUMMYFUNCTION("GOOGLETRANSLATE(D3103,""en"",""it"")"),"Non mi piace il salmone, preferisco il pollo.")</f>
        <v>Non mi piace il salmone, preferisco il pollo.</v>
      </c>
      <c r="G3103" s="6" t="str">
        <f>IFERROR(__xludf.DUMMYFUNCTION("GOOGLETRANSLATE(E3103,""fr"",""it"")"),"Non mi piace il salmone, preferisco il pollo.")</f>
        <v>Non mi piace il salmone, preferisco il pollo.</v>
      </c>
    </row>
    <row r="3104">
      <c r="A3104" s="4">
        <v>3102.0</v>
      </c>
      <c r="B3104" s="5" t="s">
        <v>9313</v>
      </c>
      <c r="C3104" s="4">
        <v>1.0</v>
      </c>
      <c r="D3104" s="5" t="s">
        <v>9314</v>
      </c>
      <c r="E3104" s="5" t="s">
        <v>9315</v>
      </c>
      <c r="F3104" s="6" t="str">
        <f>IFERROR(__xludf.DUMMYFUNCTION("GOOGLETRANSLATE(D3104,""en"",""it"")"),"Non mi piace il pollo, preferisco il salmone.")</f>
        <v>Non mi piace il pollo, preferisco il salmone.</v>
      </c>
      <c r="G3104" s="6" t="str">
        <f>IFERROR(__xludf.DUMMYFUNCTION("GOOGLETRANSLATE(E3104,""fr"",""it"")"),"Non mi piace il pollo, preferisco il salmone.")</f>
        <v>Non mi piace il pollo, preferisco il salmone.</v>
      </c>
    </row>
    <row r="3105">
      <c r="A3105" s="4">
        <v>3103.0</v>
      </c>
      <c r="B3105" s="5" t="s">
        <v>9316</v>
      </c>
      <c r="C3105" s="4">
        <v>0.0</v>
      </c>
      <c r="D3105" s="5" t="s">
        <v>9317</v>
      </c>
      <c r="E3105" s="5" t="s">
        <v>9318</v>
      </c>
      <c r="F3105" s="6" t="str">
        <f>IFERROR(__xludf.DUMMYFUNCTION("GOOGLETRANSLATE(D3105,""en"",""it"")"),"Non mi piace il salmone, preferisco i frutti di mare.")</f>
        <v>Non mi piace il salmone, preferisco i frutti di mare.</v>
      </c>
      <c r="G3105" s="6" t="str">
        <f>IFERROR(__xludf.DUMMYFUNCTION("GOOGLETRANSLATE(E3105,""fr"",""it"")"),"Non mi piace il salmone, preferisco i prodotti del mare.")</f>
        <v>Non mi piace il salmone, preferisco i prodotti del mare.</v>
      </c>
    </row>
    <row r="3106">
      <c r="A3106" s="4">
        <v>3104.0</v>
      </c>
      <c r="B3106" s="5" t="s">
        <v>9319</v>
      </c>
      <c r="C3106" s="4">
        <v>0.0</v>
      </c>
      <c r="D3106" s="5" t="s">
        <v>9320</v>
      </c>
      <c r="E3106" s="5" t="s">
        <v>9321</v>
      </c>
      <c r="F3106" s="6" t="str">
        <f>IFERROR(__xludf.DUMMYFUNCTION("GOOGLETRANSLATE(D3106,""en"",""it"")"),"Non mi piacciono i frutti di mare, preferisco il salmone.")</f>
        <v>Non mi piacciono i frutti di mare, preferisco il salmone.</v>
      </c>
      <c r="G3106" s="6" t="str">
        <f>IFERROR(__xludf.DUMMYFUNCTION("GOOGLETRANSLATE(E3106,""fr"",""it"")"),"Non mi piacciono i prodotti del mare, preferisco il salmone.")</f>
        <v>Non mi piacciono i prodotti del mare, preferisco il salmone.</v>
      </c>
    </row>
    <row r="3107">
      <c r="A3107" s="4">
        <v>3105.0</v>
      </c>
      <c r="B3107" s="5" t="s">
        <v>9322</v>
      </c>
      <c r="C3107" s="4">
        <v>1.0</v>
      </c>
      <c r="D3107" s="5" t="s">
        <v>9323</v>
      </c>
      <c r="E3107" s="5" t="s">
        <v>9324</v>
      </c>
      <c r="F3107" s="6" t="str">
        <f>IFERROR(__xludf.DUMMYFUNCTION("GOOGLETRANSLATE(D3107,""en"",""it"")"),"Non mi piacciono i frutti di mare, preferisco il pollo.")</f>
        <v>Non mi piacciono i frutti di mare, preferisco il pollo.</v>
      </c>
      <c r="G3107" s="6" t="str">
        <f>IFERROR(__xludf.DUMMYFUNCTION("GOOGLETRANSLATE(E3107,""fr"",""it"")"),"Non mi piacciono i prodotti del mare, preferisco il pollo.")</f>
        <v>Non mi piacciono i prodotti del mare, preferisco il pollo.</v>
      </c>
    </row>
    <row r="3108">
      <c r="A3108" s="4">
        <v>3106.0</v>
      </c>
      <c r="B3108" s="5" t="s">
        <v>9325</v>
      </c>
      <c r="C3108" s="4">
        <v>1.0</v>
      </c>
      <c r="D3108" s="5" t="s">
        <v>9326</v>
      </c>
      <c r="E3108" s="5" t="s">
        <v>9327</v>
      </c>
      <c r="F3108" s="6" t="str">
        <f>IFERROR(__xludf.DUMMYFUNCTION("GOOGLETRANSLATE(D3108,""en"",""it"")"),"Non mi piace il salmone, preferisco la vitello.")</f>
        <v>Non mi piace il salmone, preferisco la vitello.</v>
      </c>
      <c r="G3108" s="6" t="str">
        <f>IFERROR(__xludf.DUMMYFUNCTION("GOOGLETRANSLATE(E3108,""fr"",""it"")"),"Non mi piace il salmone, preferisco il polpaccio.")</f>
        <v>Non mi piace il salmone, preferisco il polpaccio.</v>
      </c>
    </row>
    <row r="3109">
      <c r="A3109" s="4">
        <v>3107.0</v>
      </c>
      <c r="B3109" s="5" t="s">
        <v>9328</v>
      </c>
      <c r="C3109" s="4">
        <v>1.0</v>
      </c>
      <c r="D3109" s="5" t="s">
        <v>9329</v>
      </c>
      <c r="E3109" s="5" t="s">
        <v>9330</v>
      </c>
      <c r="F3109" s="6" t="str">
        <f>IFERROR(__xludf.DUMMYFUNCTION("GOOGLETRANSLATE(D3109,""en"",""it"")"),"Non mi piace il vitello, preferisco il salmone.")</f>
        <v>Non mi piace il vitello, preferisco il salmone.</v>
      </c>
      <c r="G3109" s="6" t="str">
        <f>IFERROR(__xludf.DUMMYFUNCTION("GOOGLETRANSLATE(E3109,""fr"",""it"")"),"Non mi piace il polpaccio, preferisco il salmone.")</f>
        <v>Non mi piace il polpaccio, preferisco il salmone.</v>
      </c>
    </row>
    <row r="3110">
      <c r="A3110" s="4">
        <v>3108.0</v>
      </c>
      <c r="B3110" s="5" t="s">
        <v>9331</v>
      </c>
      <c r="C3110" s="4">
        <v>1.0</v>
      </c>
      <c r="D3110" s="5" t="s">
        <v>9332</v>
      </c>
      <c r="E3110" s="5" t="s">
        <v>9333</v>
      </c>
      <c r="F3110" s="6" t="str">
        <f>IFERROR(__xludf.DUMMYFUNCTION("GOOGLETRANSLATE(D3110,""en"",""it"")"),"Non mi piacciono i frutti di mare, preferisco la vitello.")</f>
        <v>Non mi piacciono i frutti di mare, preferisco la vitello.</v>
      </c>
      <c r="G3110" s="6" t="str">
        <f>IFERROR(__xludf.DUMMYFUNCTION("GOOGLETRANSLATE(E3110,""fr"",""it"")"),"Non mi piacciono i prodotti del mare, preferisco il polpaccio.")</f>
        <v>Non mi piacciono i prodotti del mare, preferisco il polpaccio.</v>
      </c>
    </row>
    <row r="3111">
      <c r="A3111" s="4">
        <v>3109.0</v>
      </c>
      <c r="B3111" s="5" t="s">
        <v>9334</v>
      </c>
      <c r="C3111" s="4">
        <v>1.0</v>
      </c>
      <c r="D3111" s="5" t="s">
        <v>9335</v>
      </c>
      <c r="E3111" s="5" t="s">
        <v>9336</v>
      </c>
      <c r="F3111" s="6" t="str">
        <f>IFERROR(__xludf.DUMMYFUNCTION("GOOGLETRANSLATE(D3111,""en"",""it"")"),"Non mi piace il salmone, preferisco la Turchia.")</f>
        <v>Non mi piace il salmone, preferisco la Turchia.</v>
      </c>
      <c r="G3111" s="6" t="str">
        <f>IFERROR(__xludf.DUMMYFUNCTION("GOOGLETRANSLATE(E3111,""fr"",""it"")"),"Non mi piace il salmone, preferisco la Turchia.")</f>
        <v>Non mi piace il salmone, preferisco la Turchia.</v>
      </c>
    </row>
    <row r="3112">
      <c r="A3112" s="4">
        <v>3110.0</v>
      </c>
      <c r="B3112" s="5" t="s">
        <v>9337</v>
      </c>
      <c r="C3112" s="4">
        <v>1.0</v>
      </c>
      <c r="D3112" s="5" t="s">
        <v>9338</v>
      </c>
      <c r="E3112" s="5" t="s">
        <v>9339</v>
      </c>
      <c r="F3112" s="6" t="str">
        <f>IFERROR(__xludf.DUMMYFUNCTION("GOOGLETRANSLATE(D3112,""en"",""it"")"),"Non mi piace la Turchia, preferisco il salmone.")</f>
        <v>Non mi piace la Turchia, preferisco il salmone.</v>
      </c>
      <c r="G3112" s="6" t="str">
        <f>IFERROR(__xludf.DUMMYFUNCTION("GOOGLETRANSLATE(E3112,""fr"",""it"")"),"Non mi piace la Turchia, preferisco il salmone.")</f>
        <v>Non mi piace la Turchia, preferisco il salmone.</v>
      </c>
    </row>
    <row r="3113">
      <c r="A3113" s="4">
        <v>3111.0</v>
      </c>
      <c r="B3113" s="5" t="s">
        <v>9340</v>
      </c>
      <c r="C3113" s="4">
        <v>1.0</v>
      </c>
      <c r="D3113" s="5" t="s">
        <v>9341</v>
      </c>
      <c r="E3113" s="5" t="s">
        <v>9342</v>
      </c>
      <c r="F3113" s="6" t="str">
        <f>IFERROR(__xludf.DUMMYFUNCTION("GOOGLETRANSLATE(D3113,""en"",""it"")"),"Non mi piacciono i frutti di mare, preferisco la Turchia.")</f>
        <v>Non mi piacciono i frutti di mare, preferisco la Turchia.</v>
      </c>
      <c r="G3113" s="6" t="str">
        <f>IFERROR(__xludf.DUMMYFUNCTION("GOOGLETRANSLATE(E3113,""fr"",""it"")"),"Non mi piacciono i prodotti del mare, preferisco la Turchia.")</f>
        <v>Non mi piacciono i prodotti del mare, preferisco la Turchia.</v>
      </c>
    </row>
    <row r="3114">
      <c r="A3114" s="4">
        <v>3112.0</v>
      </c>
      <c r="B3114" s="5" t="s">
        <v>9343</v>
      </c>
      <c r="C3114" s="4">
        <v>1.0</v>
      </c>
      <c r="D3114" s="5" t="s">
        <v>9344</v>
      </c>
      <c r="E3114" s="5" t="s">
        <v>9345</v>
      </c>
      <c r="F3114" s="6" t="str">
        <f>IFERROR(__xludf.DUMMYFUNCTION("GOOGLETRANSLATE(D3114,""en"",""it"")"),"Non mi piace il salmone, preferisco carne di manzo.")</f>
        <v>Non mi piace il salmone, preferisco carne di manzo.</v>
      </c>
      <c r="G3114" s="6" t="str">
        <f>IFERROR(__xludf.DUMMYFUNCTION("GOOGLETRANSLATE(E3114,""fr"",""it"")"),"Non mi piace il salmone, preferisco carne di manzo.")</f>
        <v>Non mi piace il salmone, preferisco carne di manzo.</v>
      </c>
    </row>
    <row r="3115">
      <c r="A3115" s="4">
        <v>3113.0</v>
      </c>
      <c r="B3115" s="5" t="s">
        <v>9346</v>
      </c>
      <c r="C3115" s="4">
        <v>1.0</v>
      </c>
      <c r="D3115" s="5" t="s">
        <v>9347</v>
      </c>
      <c r="E3115" s="5" t="s">
        <v>9348</v>
      </c>
      <c r="F3115" s="6" t="str">
        <f>IFERROR(__xludf.DUMMYFUNCTION("GOOGLETRANSLATE(D3115,""en"",""it"")"),"Non mi piace il manzo, preferisco il salmone.")</f>
        <v>Non mi piace il manzo, preferisco il salmone.</v>
      </c>
      <c r="G3115" s="6" t="str">
        <f>IFERROR(__xludf.DUMMYFUNCTION("GOOGLETRANSLATE(E3115,""fr"",""it"")"),"Non mi piace il manzo, preferisco il salmone.")</f>
        <v>Non mi piace il manzo, preferisco il salmone.</v>
      </c>
    </row>
    <row r="3116">
      <c r="A3116" s="4">
        <v>3114.0</v>
      </c>
      <c r="B3116" s="5" t="s">
        <v>9349</v>
      </c>
      <c r="C3116" s="4">
        <v>1.0</v>
      </c>
      <c r="D3116" s="5" t="s">
        <v>9350</v>
      </c>
      <c r="E3116" s="5" t="s">
        <v>9351</v>
      </c>
      <c r="F3116" s="6" t="str">
        <f>IFERROR(__xludf.DUMMYFUNCTION("GOOGLETRANSLATE(D3116,""en"",""it"")"),"Non mi piacciono i frutti di mare, preferisco carne di manzo.")</f>
        <v>Non mi piacciono i frutti di mare, preferisco carne di manzo.</v>
      </c>
      <c r="G3116" s="6" t="str">
        <f>IFERROR(__xludf.DUMMYFUNCTION("GOOGLETRANSLATE(E3116,""fr"",""it"")"),"Non mi piacciono i prodotti del mare, preferisco carne di manzo.")</f>
        <v>Non mi piacciono i prodotti del mare, preferisco carne di manzo.</v>
      </c>
    </row>
    <row r="3117">
      <c r="A3117" s="4">
        <v>3115.0</v>
      </c>
      <c r="B3117" s="5" t="s">
        <v>9352</v>
      </c>
      <c r="C3117" s="4">
        <v>1.0</v>
      </c>
      <c r="D3117" s="5" t="s">
        <v>9353</v>
      </c>
      <c r="E3117" s="5" t="s">
        <v>9354</v>
      </c>
      <c r="F3117" s="6" t="str">
        <f>IFERROR(__xludf.DUMMYFUNCTION("GOOGLETRANSLATE(D3117,""en"",""it"")"),"Non mi piacciono i granchi, preferisco il pollo.")</f>
        <v>Non mi piacciono i granchi, preferisco il pollo.</v>
      </c>
      <c r="G3117" s="6" t="str">
        <f>IFERROR(__xludf.DUMMYFUNCTION("GOOGLETRANSLATE(E3117,""fr"",""it"")"),"Non mi piacciono i granchi, preferisco il pollo.")</f>
        <v>Non mi piacciono i granchi, preferisco il pollo.</v>
      </c>
    </row>
    <row r="3118">
      <c r="A3118" s="4">
        <v>3116.0</v>
      </c>
      <c r="B3118" s="5" t="s">
        <v>9355</v>
      </c>
      <c r="C3118" s="4">
        <v>1.0</v>
      </c>
      <c r="D3118" s="5" t="s">
        <v>9356</v>
      </c>
      <c r="E3118" s="5" t="s">
        <v>9357</v>
      </c>
      <c r="F3118" s="6" t="str">
        <f>IFERROR(__xludf.DUMMYFUNCTION("GOOGLETRANSLATE(D3118,""en"",""it"")"),"Non mi piace il pollo, preferisco i granchi.")</f>
        <v>Non mi piace il pollo, preferisco i granchi.</v>
      </c>
      <c r="G3118" s="6" t="str">
        <f>IFERROR(__xludf.DUMMYFUNCTION("GOOGLETRANSLATE(E3118,""fr"",""it"")"),"Non mi piace il pollo, preferisco i granchi.")</f>
        <v>Non mi piace il pollo, preferisco i granchi.</v>
      </c>
    </row>
    <row r="3119">
      <c r="A3119" s="4">
        <v>3117.0</v>
      </c>
      <c r="B3119" s="5" t="s">
        <v>9358</v>
      </c>
      <c r="C3119" s="4">
        <v>0.0</v>
      </c>
      <c r="D3119" s="5" t="s">
        <v>9359</v>
      </c>
      <c r="E3119" s="5" t="s">
        <v>9360</v>
      </c>
      <c r="F3119" s="6" t="str">
        <f>IFERROR(__xludf.DUMMYFUNCTION("GOOGLETRANSLATE(D3119,""en"",""it"")"),"Non mi piacciono i granchi, preferisco i frutti di mare.")</f>
        <v>Non mi piacciono i granchi, preferisco i frutti di mare.</v>
      </c>
      <c r="G3119" s="6" t="str">
        <f>IFERROR(__xludf.DUMMYFUNCTION("GOOGLETRANSLATE(E3119,""fr"",""it"")"),"Non mi piacciono i granchi, preferisco i prodotti del mare.")</f>
        <v>Non mi piacciono i granchi, preferisco i prodotti del mare.</v>
      </c>
    </row>
    <row r="3120">
      <c r="A3120" s="4">
        <v>3118.0</v>
      </c>
      <c r="B3120" s="5" t="s">
        <v>9361</v>
      </c>
      <c r="C3120" s="4">
        <v>0.0</v>
      </c>
      <c r="D3120" s="5" t="s">
        <v>9362</v>
      </c>
      <c r="E3120" s="5" t="s">
        <v>9363</v>
      </c>
      <c r="F3120" s="6" t="str">
        <f>IFERROR(__xludf.DUMMYFUNCTION("GOOGLETRANSLATE(D3120,""en"",""it"")"),"Non mi piacciono i frutti di mare, preferisco i granchi.")</f>
        <v>Non mi piacciono i frutti di mare, preferisco i granchi.</v>
      </c>
      <c r="G3120" s="6" t="str">
        <f>IFERROR(__xludf.DUMMYFUNCTION("GOOGLETRANSLATE(E3120,""fr"",""it"")"),"Non mi piacciono i prodotti del mare, preferisco i granchi.")</f>
        <v>Non mi piacciono i prodotti del mare, preferisco i granchi.</v>
      </c>
    </row>
    <row r="3121">
      <c r="A3121" s="4">
        <v>3119.0</v>
      </c>
      <c r="B3121" s="5" t="s">
        <v>9364</v>
      </c>
      <c r="C3121" s="4">
        <v>1.0</v>
      </c>
      <c r="D3121" s="5" t="s">
        <v>9365</v>
      </c>
      <c r="E3121" s="5" t="s">
        <v>9366</v>
      </c>
      <c r="F3121" s="6" t="str">
        <f>IFERROR(__xludf.DUMMYFUNCTION("GOOGLETRANSLATE(D3121,""en"",""it"")"),"Non mi piacciono i granchi, preferisco la vitello.")</f>
        <v>Non mi piacciono i granchi, preferisco la vitello.</v>
      </c>
      <c r="G3121" s="6" t="str">
        <f>IFERROR(__xludf.DUMMYFUNCTION("GOOGLETRANSLATE(E3121,""fr"",""it"")"),"Non mi piacciono i granchi, preferisco il polpaccio.")</f>
        <v>Non mi piacciono i granchi, preferisco il polpaccio.</v>
      </c>
    </row>
    <row r="3122">
      <c r="A3122" s="4">
        <v>3120.0</v>
      </c>
      <c r="B3122" s="5" t="s">
        <v>9367</v>
      </c>
      <c r="C3122" s="4">
        <v>1.0</v>
      </c>
      <c r="D3122" s="5" t="s">
        <v>9368</v>
      </c>
      <c r="E3122" s="5" t="s">
        <v>9369</v>
      </c>
      <c r="F3122" s="6" t="str">
        <f>IFERROR(__xludf.DUMMYFUNCTION("GOOGLETRANSLATE(D3122,""en"",""it"")"),"Non mi piace il vitello, preferisco i granchi.")</f>
        <v>Non mi piace il vitello, preferisco i granchi.</v>
      </c>
      <c r="G3122" s="6" t="str">
        <f>IFERROR(__xludf.DUMMYFUNCTION("GOOGLETRANSLATE(E3122,""fr"",""it"")"),"Non mi piace il polpaccio, preferisco i granchi.")</f>
        <v>Non mi piace il polpaccio, preferisco i granchi.</v>
      </c>
    </row>
    <row r="3123">
      <c r="A3123" s="4">
        <v>3121.0</v>
      </c>
      <c r="B3123" s="5" t="s">
        <v>9370</v>
      </c>
      <c r="C3123" s="4">
        <v>1.0</v>
      </c>
      <c r="D3123" s="5" t="s">
        <v>9371</v>
      </c>
      <c r="E3123" s="5" t="s">
        <v>9372</v>
      </c>
      <c r="F3123" s="6" t="str">
        <f>IFERROR(__xludf.DUMMYFUNCTION("GOOGLETRANSLATE(D3123,""en"",""it"")"),"Non mi piacciono i granchi, preferisco la Turchia.")</f>
        <v>Non mi piacciono i granchi, preferisco la Turchia.</v>
      </c>
      <c r="G3123" s="6" t="str">
        <f>IFERROR(__xludf.DUMMYFUNCTION("GOOGLETRANSLATE(E3123,""fr"",""it"")"),"Non mi piacciono i granchi, preferisco la Turchia.")</f>
        <v>Non mi piacciono i granchi, preferisco la Turchia.</v>
      </c>
    </row>
    <row r="3124">
      <c r="A3124" s="4">
        <v>3122.0</v>
      </c>
      <c r="B3124" s="5" t="s">
        <v>9373</v>
      </c>
      <c r="C3124" s="4">
        <v>1.0</v>
      </c>
      <c r="D3124" s="5" t="s">
        <v>9374</v>
      </c>
      <c r="E3124" s="5" t="s">
        <v>9375</v>
      </c>
      <c r="F3124" s="6" t="str">
        <f>IFERROR(__xludf.DUMMYFUNCTION("GOOGLETRANSLATE(D3124,""en"",""it"")"),"Non mi piace la Turchia, preferisco i granchi.")</f>
        <v>Non mi piace la Turchia, preferisco i granchi.</v>
      </c>
      <c r="G3124" s="6" t="str">
        <f>IFERROR(__xludf.DUMMYFUNCTION("GOOGLETRANSLATE(E3124,""fr"",""it"")"),"Non mi piace la Turchia, preferisco i granchi.")</f>
        <v>Non mi piace la Turchia, preferisco i granchi.</v>
      </c>
    </row>
    <row r="3125">
      <c r="A3125" s="4">
        <v>3123.0</v>
      </c>
      <c r="B3125" s="5" t="s">
        <v>9376</v>
      </c>
      <c r="C3125" s="4">
        <v>1.0</v>
      </c>
      <c r="D3125" s="5" t="s">
        <v>9377</v>
      </c>
      <c r="E3125" s="5" t="s">
        <v>9378</v>
      </c>
      <c r="F3125" s="6" t="str">
        <f>IFERROR(__xludf.DUMMYFUNCTION("GOOGLETRANSLATE(D3125,""en"",""it"")"),"Non mi piacciono i granchi, preferisco carne di manzo.")</f>
        <v>Non mi piacciono i granchi, preferisco carne di manzo.</v>
      </c>
      <c r="G3125" s="6" t="str">
        <f>IFERROR(__xludf.DUMMYFUNCTION("GOOGLETRANSLATE(E3125,""fr"",""it"")"),"Non mi piacciono i granchi, preferisco carne di manzo.")</f>
        <v>Non mi piacciono i granchi, preferisco carne di manzo.</v>
      </c>
    </row>
    <row r="3126">
      <c r="A3126" s="4">
        <v>3124.0</v>
      </c>
      <c r="B3126" s="5" t="s">
        <v>9379</v>
      </c>
      <c r="C3126" s="4">
        <v>1.0</v>
      </c>
      <c r="D3126" s="5" t="s">
        <v>9380</v>
      </c>
      <c r="E3126" s="5" t="s">
        <v>9381</v>
      </c>
      <c r="F3126" s="6" t="str">
        <f>IFERROR(__xludf.DUMMYFUNCTION("GOOGLETRANSLATE(D3126,""en"",""it"")"),"Non mi piace il manzo, preferisco i granchi.")</f>
        <v>Non mi piace il manzo, preferisco i granchi.</v>
      </c>
      <c r="G3126" s="6" t="str">
        <f>IFERROR(__xludf.DUMMYFUNCTION("GOOGLETRANSLATE(E3126,""fr"",""it"")"),"Non mi piace il manzo, preferisco i granchi.")</f>
        <v>Non mi piace il manzo, preferisco i granchi.</v>
      </c>
    </row>
    <row r="3127">
      <c r="A3127" s="4">
        <v>3125.0</v>
      </c>
      <c r="B3127" s="5" t="s">
        <v>9382</v>
      </c>
      <c r="C3127" s="4">
        <v>1.0</v>
      </c>
      <c r="D3127" s="5" t="s">
        <v>9383</v>
      </c>
      <c r="E3127" s="5" t="s">
        <v>9384</v>
      </c>
      <c r="F3127" s="6" t="str">
        <f>IFERROR(__xludf.DUMMYFUNCTION("GOOGLETRANSLATE(D3127,""en"",""it"")"),"Non mi piacciono le ostriche, preferisco il pollo.")</f>
        <v>Non mi piacciono le ostriche, preferisco il pollo.</v>
      </c>
      <c r="G3127" s="6" t="str">
        <f>IFERROR(__xludf.DUMMYFUNCTION("GOOGLETRANSLATE(E3127,""fr"",""it"")"),"Non mi piacciono le ostriche, preferisco il pollo.")</f>
        <v>Non mi piacciono le ostriche, preferisco il pollo.</v>
      </c>
    </row>
    <row r="3128">
      <c r="A3128" s="4">
        <v>3126.0</v>
      </c>
      <c r="B3128" s="5" t="s">
        <v>9385</v>
      </c>
      <c r="C3128" s="4">
        <v>1.0</v>
      </c>
      <c r="D3128" s="5" t="s">
        <v>9386</v>
      </c>
      <c r="E3128" s="5" t="s">
        <v>9387</v>
      </c>
      <c r="F3128" s="6" t="str">
        <f>IFERROR(__xludf.DUMMYFUNCTION("GOOGLETRANSLATE(D3128,""en"",""it"")"),"Non mi piace il pollo, preferisco le ostriche.")</f>
        <v>Non mi piace il pollo, preferisco le ostriche.</v>
      </c>
      <c r="G3128" s="6" t="str">
        <f>IFERROR(__xludf.DUMMYFUNCTION("GOOGLETRANSLATE(E3128,""fr"",""it"")"),"Non mi piace il pollo, preferisco le ostriche.")</f>
        <v>Non mi piace il pollo, preferisco le ostriche.</v>
      </c>
    </row>
    <row r="3129">
      <c r="A3129" s="4">
        <v>3127.0</v>
      </c>
      <c r="B3129" s="5" t="s">
        <v>9388</v>
      </c>
      <c r="C3129" s="4">
        <v>0.0</v>
      </c>
      <c r="D3129" s="5" t="s">
        <v>9389</v>
      </c>
      <c r="E3129" s="5" t="s">
        <v>9390</v>
      </c>
      <c r="F3129" s="6" t="str">
        <f>IFERROR(__xludf.DUMMYFUNCTION("GOOGLETRANSLATE(D3129,""en"",""it"")"),"Non mi piacciono le ostriche, preferisco i frutti di mare.")</f>
        <v>Non mi piacciono le ostriche, preferisco i frutti di mare.</v>
      </c>
      <c r="G3129" s="6" t="str">
        <f>IFERROR(__xludf.DUMMYFUNCTION("GOOGLETRANSLATE(E3129,""fr"",""it"")"),"Non mi piacciono le ostriche, preferisco i prodotti del mare.")</f>
        <v>Non mi piacciono le ostriche, preferisco i prodotti del mare.</v>
      </c>
    </row>
    <row r="3130">
      <c r="A3130" s="4">
        <v>3128.0</v>
      </c>
      <c r="B3130" s="5" t="s">
        <v>9391</v>
      </c>
      <c r="C3130" s="4">
        <v>0.0</v>
      </c>
      <c r="D3130" s="5" t="s">
        <v>9392</v>
      </c>
      <c r="E3130" s="5" t="s">
        <v>9393</v>
      </c>
      <c r="F3130" s="6" t="str">
        <f>IFERROR(__xludf.DUMMYFUNCTION("GOOGLETRANSLATE(D3130,""en"",""it"")"),"Non mi piacciono i frutti di mare, preferisco le ostriche.")</f>
        <v>Non mi piacciono i frutti di mare, preferisco le ostriche.</v>
      </c>
      <c r="G3130" s="6" t="str">
        <f>IFERROR(__xludf.DUMMYFUNCTION("GOOGLETRANSLATE(E3130,""fr"",""it"")"),"Non mi piacciono i prodotti del mare, preferisco le ostriche.")</f>
        <v>Non mi piacciono i prodotti del mare, preferisco le ostriche.</v>
      </c>
    </row>
    <row r="3131">
      <c r="A3131" s="4">
        <v>3129.0</v>
      </c>
      <c r="B3131" s="5" t="s">
        <v>9394</v>
      </c>
      <c r="C3131" s="4">
        <v>1.0</v>
      </c>
      <c r="D3131" s="5" t="s">
        <v>9395</v>
      </c>
      <c r="E3131" s="5" t="s">
        <v>9396</v>
      </c>
      <c r="F3131" s="6" t="str">
        <f>IFERROR(__xludf.DUMMYFUNCTION("GOOGLETRANSLATE(D3131,""en"",""it"")"),"Non mi piacciono le ostriche, preferisco la vitello.")</f>
        <v>Non mi piacciono le ostriche, preferisco la vitello.</v>
      </c>
      <c r="G3131" s="6" t="str">
        <f>IFERROR(__xludf.DUMMYFUNCTION("GOOGLETRANSLATE(E3131,""fr"",""it"")"),"Non mi piacciono le ostriche, preferisco il polpaccio.")</f>
        <v>Non mi piacciono le ostriche, preferisco il polpaccio.</v>
      </c>
    </row>
    <row r="3132">
      <c r="A3132" s="4">
        <v>3130.0</v>
      </c>
      <c r="B3132" s="5" t="s">
        <v>9397</v>
      </c>
      <c r="C3132" s="4">
        <v>1.0</v>
      </c>
      <c r="D3132" s="5" t="s">
        <v>9398</v>
      </c>
      <c r="E3132" s="5" t="s">
        <v>9399</v>
      </c>
      <c r="F3132" s="6" t="str">
        <f>IFERROR(__xludf.DUMMYFUNCTION("GOOGLETRANSLATE(D3132,""en"",""it"")"),"Non mi piace il vitello, preferisco le ostriche.")</f>
        <v>Non mi piace il vitello, preferisco le ostriche.</v>
      </c>
      <c r="G3132" s="6" t="str">
        <f>IFERROR(__xludf.DUMMYFUNCTION("GOOGLETRANSLATE(E3132,""fr"",""it"")"),"Non mi piace il polpaccio, preferisco le ostriche.")</f>
        <v>Non mi piace il polpaccio, preferisco le ostriche.</v>
      </c>
    </row>
    <row r="3133">
      <c r="A3133" s="4">
        <v>3131.0</v>
      </c>
      <c r="B3133" s="5" t="s">
        <v>9400</v>
      </c>
      <c r="C3133" s="4">
        <v>1.0</v>
      </c>
      <c r="D3133" s="5" t="s">
        <v>9401</v>
      </c>
      <c r="E3133" s="5" t="s">
        <v>9402</v>
      </c>
      <c r="F3133" s="6" t="str">
        <f>IFERROR(__xludf.DUMMYFUNCTION("GOOGLETRANSLATE(D3133,""en"",""it"")"),"Non mi piacciono le ostriche, preferisco la Turchia.")</f>
        <v>Non mi piacciono le ostriche, preferisco la Turchia.</v>
      </c>
      <c r="G3133" s="6" t="str">
        <f>IFERROR(__xludf.DUMMYFUNCTION("GOOGLETRANSLATE(E3133,""fr"",""it"")"),"Non mi piacciono le ostriche, preferisco la Turchia.")</f>
        <v>Non mi piacciono le ostriche, preferisco la Turchia.</v>
      </c>
    </row>
    <row r="3134">
      <c r="A3134" s="4">
        <v>3132.0</v>
      </c>
      <c r="B3134" s="5" t="s">
        <v>9403</v>
      </c>
      <c r="C3134" s="4">
        <v>1.0</v>
      </c>
      <c r="D3134" s="5" t="s">
        <v>9404</v>
      </c>
      <c r="E3134" s="5" t="s">
        <v>9405</v>
      </c>
      <c r="F3134" s="6" t="str">
        <f>IFERROR(__xludf.DUMMYFUNCTION("GOOGLETRANSLATE(D3134,""en"",""it"")"),"Non mi piace la Turchia, preferisco le ostriche.")</f>
        <v>Non mi piace la Turchia, preferisco le ostriche.</v>
      </c>
      <c r="G3134" s="6" t="str">
        <f>IFERROR(__xludf.DUMMYFUNCTION("GOOGLETRANSLATE(E3134,""fr"",""it"")"),"Non mi piace la Turchia, preferisco le ostriche.")</f>
        <v>Non mi piace la Turchia, preferisco le ostriche.</v>
      </c>
    </row>
    <row r="3135">
      <c r="A3135" s="4">
        <v>3133.0</v>
      </c>
      <c r="B3135" s="5" t="s">
        <v>9406</v>
      </c>
      <c r="C3135" s="4">
        <v>1.0</v>
      </c>
      <c r="D3135" s="5" t="s">
        <v>9407</v>
      </c>
      <c r="E3135" s="5" t="s">
        <v>9408</v>
      </c>
      <c r="F3135" s="6" t="str">
        <f>IFERROR(__xludf.DUMMYFUNCTION("GOOGLETRANSLATE(D3135,""en"",""it"")"),"Non mi piacciono le ostriche, preferisco la carne.")</f>
        <v>Non mi piacciono le ostriche, preferisco la carne.</v>
      </c>
      <c r="G3135" s="6" t="str">
        <f>IFERROR(__xludf.DUMMYFUNCTION("GOOGLETRANSLATE(E3135,""fr"",""it"")"),"Non mi piacciono le ostriche, preferisco la carne.")</f>
        <v>Non mi piacciono le ostriche, preferisco la carne.</v>
      </c>
    </row>
    <row r="3136">
      <c r="A3136" s="4">
        <v>3134.0</v>
      </c>
      <c r="B3136" s="5" t="s">
        <v>9409</v>
      </c>
      <c r="C3136" s="4">
        <v>1.0</v>
      </c>
      <c r="D3136" s="5" t="s">
        <v>9410</v>
      </c>
      <c r="E3136" s="5" t="s">
        <v>9411</v>
      </c>
      <c r="F3136" s="6" t="str">
        <f>IFERROR(__xludf.DUMMYFUNCTION("GOOGLETRANSLATE(D3136,""en"",""it"")"),"Non mi piace il manzo, preferisco le ostriche.")</f>
        <v>Non mi piace il manzo, preferisco le ostriche.</v>
      </c>
      <c r="G3136" s="6" t="str">
        <f>IFERROR(__xludf.DUMMYFUNCTION("GOOGLETRANSLATE(E3136,""fr"",""it"")"),"Non mi piace il manzo, preferisco le ostriche.")</f>
        <v>Non mi piace il manzo, preferisco le ostriche.</v>
      </c>
    </row>
    <row r="3137">
      <c r="A3137" s="4">
        <v>3135.0</v>
      </c>
      <c r="B3137" s="5" t="s">
        <v>9412</v>
      </c>
      <c r="C3137" s="4">
        <v>1.0</v>
      </c>
      <c r="D3137" s="5" t="s">
        <v>9413</v>
      </c>
      <c r="E3137" s="5" t="s">
        <v>9414</v>
      </c>
      <c r="F3137" s="6" t="str">
        <f>IFERROR(__xludf.DUMMYFUNCTION("GOOGLETRANSLATE(D3137,""en"",""it"")"),"Non mi piace il caviale, preferisco il pollo.")</f>
        <v>Non mi piace il caviale, preferisco il pollo.</v>
      </c>
      <c r="G3137" s="6" t="str">
        <f>IFERROR(__xludf.DUMMYFUNCTION("GOOGLETRANSLATE(E3137,""fr"",""it"")"),"Non mi piace il caviale, preferisco il pollo.")</f>
        <v>Non mi piace il caviale, preferisco il pollo.</v>
      </c>
    </row>
    <row r="3138">
      <c r="A3138" s="4">
        <v>3136.0</v>
      </c>
      <c r="B3138" s="5" t="s">
        <v>9415</v>
      </c>
      <c r="C3138" s="4">
        <v>1.0</v>
      </c>
      <c r="D3138" s="5" t="s">
        <v>9416</v>
      </c>
      <c r="E3138" s="5" t="s">
        <v>9417</v>
      </c>
      <c r="F3138" s="6" t="str">
        <f>IFERROR(__xludf.DUMMYFUNCTION("GOOGLETRANSLATE(D3138,""en"",""it"")"),"Non mi piace il pollo, preferisco il caviale.")</f>
        <v>Non mi piace il pollo, preferisco il caviale.</v>
      </c>
      <c r="G3138" s="6" t="str">
        <f>IFERROR(__xludf.DUMMYFUNCTION("GOOGLETRANSLATE(E3138,""fr"",""it"")"),"Non mi piace il pollo, preferisco il caviale.")</f>
        <v>Non mi piace il pollo, preferisco il caviale.</v>
      </c>
    </row>
    <row r="3139">
      <c r="A3139" s="4">
        <v>3137.0</v>
      </c>
      <c r="B3139" s="5" t="s">
        <v>9418</v>
      </c>
      <c r="C3139" s="4">
        <v>0.0</v>
      </c>
      <c r="D3139" s="5" t="s">
        <v>9419</v>
      </c>
      <c r="E3139" s="5" t="s">
        <v>9420</v>
      </c>
      <c r="F3139" s="6" t="str">
        <f>IFERROR(__xludf.DUMMYFUNCTION("GOOGLETRANSLATE(D3139,""en"",""it"")"),"Non mi piace il caviale, preferisco i frutti di mare.")</f>
        <v>Non mi piace il caviale, preferisco i frutti di mare.</v>
      </c>
      <c r="G3139" s="6" t="str">
        <f>IFERROR(__xludf.DUMMYFUNCTION("GOOGLETRANSLATE(E3139,""fr"",""it"")"),"Non mi piace il caviale, preferisco i prodotti del mare.")</f>
        <v>Non mi piace il caviale, preferisco i prodotti del mare.</v>
      </c>
    </row>
    <row r="3140">
      <c r="A3140" s="4">
        <v>3138.0</v>
      </c>
      <c r="B3140" s="5" t="s">
        <v>9421</v>
      </c>
      <c r="C3140" s="4">
        <v>0.0</v>
      </c>
      <c r="D3140" s="5" t="s">
        <v>9422</v>
      </c>
      <c r="E3140" s="5" t="s">
        <v>9423</v>
      </c>
      <c r="F3140" s="6" t="str">
        <f>IFERROR(__xludf.DUMMYFUNCTION("GOOGLETRANSLATE(D3140,""en"",""it"")"),"Non mi piacciono i frutti di mare, preferisco il caviale.")</f>
        <v>Non mi piacciono i frutti di mare, preferisco il caviale.</v>
      </c>
      <c r="G3140" s="6" t="str">
        <f>IFERROR(__xludf.DUMMYFUNCTION("GOOGLETRANSLATE(E3140,""fr"",""it"")"),"Non mi piacciono i prodotti del mare, preferisco il caviale.")</f>
        <v>Non mi piacciono i prodotti del mare, preferisco il caviale.</v>
      </c>
    </row>
    <row r="3141">
      <c r="A3141" s="4">
        <v>3139.0</v>
      </c>
      <c r="B3141" s="5" t="s">
        <v>9424</v>
      </c>
      <c r="C3141" s="4">
        <v>1.0</v>
      </c>
      <c r="D3141" s="5" t="s">
        <v>9425</v>
      </c>
      <c r="E3141" s="5" t="s">
        <v>9426</v>
      </c>
      <c r="F3141" s="6" t="str">
        <f>IFERROR(__xludf.DUMMYFUNCTION("GOOGLETRANSLATE(D3141,""en"",""it"")"),"Non mi piace il caviale, preferisco la vitello.")</f>
        <v>Non mi piace il caviale, preferisco la vitello.</v>
      </c>
      <c r="G3141" s="6" t="str">
        <f>IFERROR(__xludf.DUMMYFUNCTION("GOOGLETRANSLATE(E3141,""fr"",""it"")"),"Non mi piace il caviale, preferisco il polpaccio.")</f>
        <v>Non mi piace il caviale, preferisco il polpaccio.</v>
      </c>
    </row>
    <row r="3142">
      <c r="A3142" s="4">
        <v>3140.0</v>
      </c>
      <c r="B3142" s="5" t="s">
        <v>9427</v>
      </c>
      <c r="C3142" s="4">
        <v>1.0</v>
      </c>
      <c r="D3142" s="5" t="s">
        <v>9428</v>
      </c>
      <c r="E3142" s="5" t="s">
        <v>9429</v>
      </c>
      <c r="F3142" s="6" t="str">
        <f>IFERROR(__xludf.DUMMYFUNCTION("GOOGLETRANSLATE(D3142,""en"",""it"")"),"Non mi piace il vitello, preferisco il caviale.")</f>
        <v>Non mi piace il vitello, preferisco il caviale.</v>
      </c>
      <c r="G3142" s="6" t="str">
        <f>IFERROR(__xludf.DUMMYFUNCTION("GOOGLETRANSLATE(E3142,""fr"",""it"")"),"Non mi piace il polpaccio, preferisco il caviale.")</f>
        <v>Non mi piace il polpaccio, preferisco il caviale.</v>
      </c>
    </row>
    <row r="3143">
      <c r="A3143" s="4">
        <v>3141.0</v>
      </c>
      <c r="B3143" s="5" t="s">
        <v>9430</v>
      </c>
      <c r="C3143" s="4">
        <v>1.0</v>
      </c>
      <c r="D3143" s="5" t="s">
        <v>9431</v>
      </c>
      <c r="E3143" s="5" t="s">
        <v>9432</v>
      </c>
      <c r="F3143" s="6" t="str">
        <f>IFERROR(__xludf.DUMMYFUNCTION("GOOGLETRANSLATE(D3143,""en"",""it"")"),"Non mi piace il caviale, preferisco la Turchia.")</f>
        <v>Non mi piace il caviale, preferisco la Turchia.</v>
      </c>
      <c r="G3143" s="6" t="str">
        <f>IFERROR(__xludf.DUMMYFUNCTION("GOOGLETRANSLATE(E3143,""fr"",""it"")"),"Non mi piace il caviale, preferisco la Turchia.")</f>
        <v>Non mi piace il caviale, preferisco la Turchia.</v>
      </c>
    </row>
    <row r="3144">
      <c r="A3144" s="4">
        <v>3142.0</v>
      </c>
      <c r="B3144" s="5" t="s">
        <v>9433</v>
      </c>
      <c r="C3144" s="4">
        <v>1.0</v>
      </c>
      <c r="D3144" s="5" t="s">
        <v>9434</v>
      </c>
      <c r="E3144" s="5" t="s">
        <v>9435</v>
      </c>
      <c r="F3144" s="6" t="str">
        <f>IFERROR(__xludf.DUMMYFUNCTION("GOOGLETRANSLATE(D3144,""en"",""it"")"),"Non mi piace la Turchia, preferisco il caviale.")</f>
        <v>Non mi piace la Turchia, preferisco il caviale.</v>
      </c>
      <c r="G3144" s="6" t="str">
        <f>IFERROR(__xludf.DUMMYFUNCTION("GOOGLETRANSLATE(E3144,""fr"",""it"")"),"Non mi piace la Turchia, preferisco il caviale.")</f>
        <v>Non mi piace la Turchia, preferisco il caviale.</v>
      </c>
    </row>
    <row r="3145">
      <c r="A3145" s="4">
        <v>3143.0</v>
      </c>
      <c r="B3145" s="5" t="s">
        <v>9436</v>
      </c>
      <c r="C3145" s="4">
        <v>1.0</v>
      </c>
      <c r="D3145" s="5" t="s">
        <v>9437</v>
      </c>
      <c r="E3145" s="5" t="s">
        <v>9438</v>
      </c>
      <c r="F3145" s="6" t="str">
        <f>IFERROR(__xludf.DUMMYFUNCTION("GOOGLETRANSLATE(D3145,""en"",""it"")"),"Non mi piace il caviale, preferisco la carne.")</f>
        <v>Non mi piace il caviale, preferisco la carne.</v>
      </c>
      <c r="G3145" s="6" t="str">
        <f>IFERROR(__xludf.DUMMYFUNCTION("GOOGLETRANSLATE(E3145,""fr"",""it"")"),"Non mi piace il caviale, preferisco la carne.")</f>
        <v>Non mi piace il caviale, preferisco la carne.</v>
      </c>
    </row>
    <row r="3146">
      <c r="A3146" s="4">
        <v>3144.0</v>
      </c>
      <c r="B3146" s="5" t="s">
        <v>9439</v>
      </c>
      <c r="C3146" s="4">
        <v>1.0</v>
      </c>
      <c r="D3146" s="5" t="s">
        <v>9440</v>
      </c>
      <c r="E3146" s="5" t="s">
        <v>9441</v>
      </c>
      <c r="F3146" s="6" t="str">
        <f>IFERROR(__xludf.DUMMYFUNCTION("GOOGLETRANSLATE(D3146,""en"",""it"")"),"Non mi piace il manzo, preferisco il caviale.")</f>
        <v>Non mi piace il manzo, preferisco il caviale.</v>
      </c>
      <c r="G3146" s="6" t="str">
        <f>IFERROR(__xludf.DUMMYFUNCTION("GOOGLETRANSLATE(E3146,""fr"",""it"")"),"Non mi piace il manzo, preferisco il caviale.")</f>
        <v>Non mi piace il manzo, preferisco il caviale.</v>
      </c>
    </row>
    <row r="3147">
      <c r="A3147" s="4">
        <v>3145.0</v>
      </c>
      <c r="B3147" s="5" t="s">
        <v>9442</v>
      </c>
      <c r="C3147" s="4">
        <v>0.0</v>
      </c>
      <c r="D3147" s="5" t="s">
        <v>9443</v>
      </c>
      <c r="E3147" s="5" t="s">
        <v>9444</v>
      </c>
      <c r="F3147" s="6" t="str">
        <f>IFERROR(__xludf.DUMMYFUNCTION("GOOGLETRANSLATE(D3147,""en"",""it"")"),"Mi piace il salmone, tranne il pollo.")</f>
        <v>Mi piace il salmone, tranne il pollo.</v>
      </c>
      <c r="G3147" s="6" t="str">
        <f>IFERROR(__xludf.DUMMYFUNCTION("GOOGLETRANSLATE(E3147,""fr"",""it"")"),"Amo il salmone tranne il pollo.")</f>
        <v>Amo il salmone tranne il pollo.</v>
      </c>
    </row>
    <row r="3148">
      <c r="A3148" s="4">
        <v>3146.0</v>
      </c>
      <c r="B3148" s="5" t="s">
        <v>9445</v>
      </c>
      <c r="C3148" s="4">
        <v>0.0</v>
      </c>
      <c r="D3148" s="5" t="s">
        <v>9446</v>
      </c>
      <c r="E3148" s="5" t="s">
        <v>9447</v>
      </c>
      <c r="F3148" s="6" t="str">
        <f>IFERROR(__xludf.DUMMYFUNCTION("GOOGLETRANSLATE(D3148,""en"",""it"")"),"Mi piace il pollo, tranne il salmone.")</f>
        <v>Mi piace il pollo, tranne il salmone.</v>
      </c>
      <c r="G3148" s="6" t="str">
        <f>IFERROR(__xludf.DUMMYFUNCTION("GOOGLETRANSLATE(E3148,""fr"",""it"")"),"Adoro il pollo tranne il salmone.")</f>
        <v>Adoro il pollo tranne il salmone.</v>
      </c>
    </row>
    <row r="3149">
      <c r="A3149" s="4">
        <v>3147.0</v>
      </c>
      <c r="B3149" s="5" t="s">
        <v>9448</v>
      </c>
      <c r="C3149" s="4">
        <v>0.0</v>
      </c>
      <c r="D3149" s="5" t="s">
        <v>9449</v>
      </c>
      <c r="E3149" s="5" t="s">
        <v>9450</v>
      </c>
      <c r="F3149" s="6" t="str">
        <f>IFERROR(__xludf.DUMMYFUNCTION("GOOGLETRANSLATE(D3149,""en"",""it"")"),"Mi piace il salmone, tranne i frutti di mare.")</f>
        <v>Mi piace il salmone, tranne i frutti di mare.</v>
      </c>
      <c r="G3149" s="6" t="str">
        <f>IFERROR(__xludf.DUMMYFUNCTION("GOOGLETRANSLATE(E3149,""fr"",""it"")"),"Amo il salmone tranne i prodotti del mare.")</f>
        <v>Amo il salmone tranne i prodotti del mare.</v>
      </c>
    </row>
    <row r="3150">
      <c r="A3150" s="4">
        <v>3148.0</v>
      </c>
      <c r="B3150" s="5" t="s">
        <v>9451</v>
      </c>
      <c r="C3150" s="4">
        <v>1.0</v>
      </c>
      <c r="D3150" s="5" t="s">
        <v>9452</v>
      </c>
      <c r="E3150" s="5" t="s">
        <v>9453</v>
      </c>
      <c r="F3150" s="6" t="str">
        <f>IFERROR(__xludf.DUMMYFUNCTION("GOOGLETRANSLATE(D3150,""en"",""it"")"),"Mi piacciono i frutti di mare, tranne il salmone.")</f>
        <v>Mi piacciono i frutti di mare, tranne il salmone.</v>
      </c>
      <c r="G3150" s="6" t="str">
        <f>IFERROR(__xludf.DUMMYFUNCTION("GOOGLETRANSLATE(E3150,""fr"",""it"")"),"Adoro i prodotti del mare, tranne il salmone.")</f>
        <v>Adoro i prodotti del mare, tranne il salmone.</v>
      </c>
    </row>
    <row r="3151">
      <c r="A3151" s="4">
        <v>3149.0</v>
      </c>
      <c r="B3151" s="5" t="s">
        <v>9454</v>
      </c>
      <c r="C3151" s="4">
        <v>0.0</v>
      </c>
      <c r="D3151" s="5" t="s">
        <v>9455</v>
      </c>
      <c r="E3151" s="5" t="s">
        <v>9456</v>
      </c>
      <c r="F3151" s="6" t="str">
        <f>IFERROR(__xludf.DUMMYFUNCTION("GOOGLETRANSLATE(D3151,""en"",""it"")"),"Mi piacciono i frutti di mare, tranne il pollo.")</f>
        <v>Mi piacciono i frutti di mare, tranne il pollo.</v>
      </c>
      <c r="G3151" s="6" t="str">
        <f>IFERROR(__xludf.DUMMYFUNCTION("GOOGLETRANSLATE(E3151,""fr"",""it"")"),"Adoro i prodotti del mare, tranne il pollo.")</f>
        <v>Adoro i prodotti del mare, tranne il pollo.</v>
      </c>
    </row>
    <row r="3152">
      <c r="A3152" s="4">
        <v>3150.0</v>
      </c>
      <c r="B3152" s="5" t="s">
        <v>9457</v>
      </c>
      <c r="C3152" s="4">
        <v>0.0</v>
      </c>
      <c r="D3152" s="5" t="s">
        <v>9458</v>
      </c>
      <c r="E3152" s="5" t="s">
        <v>9459</v>
      </c>
      <c r="F3152" s="6" t="str">
        <f>IFERROR(__xludf.DUMMYFUNCTION("GOOGLETRANSLATE(D3152,""en"",""it"")"),"Mi piace il salmone, tranne il vitello.")</f>
        <v>Mi piace il salmone, tranne il vitello.</v>
      </c>
      <c r="G3152" s="6" t="str">
        <f>IFERROR(__xludf.DUMMYFUNCTION("GOOGLETRANSLATE(E3152,""fr"",""it"")"),"Amo il salmone, tranne il vitello.")</f>
        <v>Amo il salmone, tranne il vitello.</v>
      </c>
    </row>
    <row r="3153">
      <c r="A3153" s="4">
        <v>3151.0</v>
      </c>
      <c r="B3153" s="5" t="s">
        <v>9460</v>
      </c>
      <c r="C3153" s="4">
        <v>0.0</v>
      </c>
      <c r="D3153" s="5" t="s">
        <v>9461</v>
      </c>
      <c r="E3153" s="5" t="s">
        <v>9462</v>
      </c>
      <c r="F3153" s="6" t="str">
        <f>IFERROR(__xludf.DUMMYFUNCTION("GOOGLETRANSLATE(D3153,""en"",""it"")"),"Mi piace il vitello, tranne il salmone.")</f>
        <v>Mi piace il vitello, tranne il salmone.</v>
      </c>
      <c r="G3153" s="6" t="str">
        <f>IFERROR(__xludf.DUMMYFUNCTION("GOOGLETRANSLATE(E3153,""fr"",""it"")"),"Adoro il vitello tranne il salmone.")</f>
        <v>Adoro il vitello tranne il salmone.</v>
      </c>
    </row>
    <row r="3154">
      <c r="A3154" s="4">
        <v>3152.0</v>
      </c>
      <c r="B3154" s="5" t="s">
        <v>9463</v>
      </c>
      <c r="C3154" s="4">
        <v>1.0</v>
      </c>
      <c r="D3154" s="5" t="s">
        <v>9464</v>
      </c>
      <c r="E3154" s="5" t="s">
        <v>9465</v>
      </c>
      <c r="F3154" s="6" t="str">
        <f>IFERROR(__xludf.DUMMYFUNCTION("GOOGLETRANSLATE(D3154,""en"",""it"")"),"Non mi piacciono i thriller, preferisco i saggi.")</f>
        <v>Non mi piacciono i thriller, preferisco i saggi.</v>
      </c>
      <c r="G3154" s="6" t="str">
        <f>IFERROR(__xludf.DUMMYFUNCTION("GOOGLETRANSLATE(E3154,""fr"",""it"")"),"Non mi piacciono i thriller, preferisco i test.")</f>
        <v>Non mi piacciono i thriller, preferisco i test.</v>
      </c>
    </row>
    <row r="3155">
      <c r="A3155" s="4">
        <v>3153.0</v>
      </c>
      <c r="B3155" s="5" t="s">
        <v>9466</v>
      </c>
      <c r="C3155" s="4">
        <v>1.0</v>
      </c>
      <c r="D3155" s="5" t="s">
        <v>9467</v>
      </c>
      <c r="E3155" s="5" t="s">
        <v>9468</v>
      </c>
      <c r="F3155" s="6" t="str">
        <f>IFERROR(__xludf.DUMMYFUNCTION("GOOGLETRANSLATE(D3155,""en"",""it"")"),"Non mi piacciono i saggi, preferisco i thriller.")</f>
        <v>Non mi piacciono i saggi, preferisco i thriller.</v>
      </c>
      <c r="G3155" s="6" t="str">
        <f>IFERROR(__xludf.DUMMYFUNCTION("GOOGLETRANSLATE(E3155,""fr"",""it"")"),"Non mi piacciono i test, preferisco i thriller.")</f>
        <v>Non mi piacciono i test, preferisco i thriller.</v>
      </c>
    </row>
    <row r="3156">
      <c r="A3156" s="4">
        <v>3154.0</v>
      </c>
      <c r="B3156" s="5" t="s">
        <v>9469</v>
      </c>
      <c r="C3156" s="4">
        <v>0.0</v>
      </c>
      <c r="D3156" s="5" t="s">
        <v>9470</v>
      </c>
      <c r="E3156" s="5" t="s">
        <v>9471</v>
      </c>
      <c r="F3156" s="6" t="str">
        <f>IFERROR(__xludf.DUMMYFUNCTION("GOOGLETRANSLATE(D3156,""en"",""it"")"),"Non mi piacciono i thriller, preferisco i film.")</f>
        <v>Non mi piacciono i thriller, preferisco i film.</v>
      </c>
      <c r="G3156" s="6" t="str">
        <f>IFERROR(__xludf.DUMMYFUNCTION("GOOGLETRANSLATE(E3156,""fr"",""it"")"),"Non mi piacciono i thriller, preferisco i film.")</f>
        <v>Non mi piacciono i thriller, preferisco i film.</v>
      </c>
    </row>
    <row r="3157">
      <c r="A3157" s="4">
        <v>3155.0</v>
      </c>
      <c r="B3157" s="5" t="s">
        <v>9472</v>
      </c>
      <c r="C3157" s="4">
        <v>0.0</v>
      </c>
      <c r="D3157" s="5" t="s">
        <v>9473</v>
      </c>
      <c r="E3157" s="5" t="s">
        <v>9474</v>
      </c>
      <c r="F3157" s="6" t="str">
        <f>IFERROR(__xludf.DUMMYFUNCTION("GOOGLETRANSLATE(D3157,""en"",""it"")"),"Non mi piacciono i film, preferisco i thriller.")</f>
        <v>Non mi piacciono i film, preferisco i thriller.</v>
      </c>
      <c r="G3157" s="6" t="str">
        <f>IFERROR(__xludf.DUMMYFUNCTION("GOOGLETRANSLATE(E3157,""fr"",""it"")"),"Non mi piacciono i film, preferisco i thriller.")</f>
        <v>Non mi piacciono i film, preferisco i thriller.</v>
      </c>
    </row>
    <row r="3158">
      <c r="A3158" s="4">
        <v>3156.0</v>
      </c>
      <c r="B3158" s="5" t="s">
        <v>9475</v>
      </c>
      <c r="C3158" s="4">
        <v>1.0</v>
      </c>
      <c r="D3158" s="5" t="s">
        <v>9476</v>
      </c>
      <c r="E3158" s="5" t="s">
        <v>9477</v>
      </c>
      <c r="F3158" s="6" t="str">
        <f>IFERROR(__xludf.DUMMYFUNCTION("GOOGLETRANSLATE(D3158,""en"",""it"")"),"Non mi piacciono i film, preferisco i saggi.")</f>
        <v>Non mi piacciono i film, preferisco i saggi.</v>
      </c>
      <c r="G3158" s="6" t="str">
        <f>IFERROR(__xludf.DUMMYFUNCTION("GOOGLETRANSLATE(E3158,""fr"",""it"")"),"Non mi piacciono i film, preferisco i test.")</f>
        <v>Non mi piacciono i film, preferisco i test.</v>
      </c>
    </row>
    <row r="3159">
      <c r="A3159" s="4">
        <v>3157.0</v>
      </c>
      <c r="B3159" s="5" t="s">
        <v>9478</v>
      </c>
      <c r="C3159" s="4">
        <v>1.0</v>
      </c>
      <c r="D3159" s="5" t="s">
        <v>9479</v>
      </c>
      <c r="E3159" s="5" t="s">
        <v>9480</v>
      </c>
      <c r="F3159" s="6" t="str">
        <f>IFERROR(__xludf.DUMMYFUNCTION("GOOGLETRANSLATE(D3159,""en"",""it"")"),"Non mi piacciono i thriller, preferisco i libri di testo.")</f>
        <v>Non mi piacciono i thriller, preferisco i libri di testo.</v>
      </c>
      <c r="G3159" s="6" t="str">
        <f>IFERROR(__xludf.DUMMYFUNCTION("GOOGLETRANSLATE(E3159,""fr"",""it"")"),"Non mi piacciono i thriller, preferisco i libri di testo.")</f>
        <v>Non mi piacciono i thriller, preferisco i libri di testo.</v>
      </c>
    </row>
    <row r="3160">
      <c r="A3160" s="4">
        <v>3158.0</v>
      </c>
      <c r="B3160" s="5" t="s">
        <v>9481</v>
      </c>
      <c r="C3160" s="4">
        <v>1.0</v>
      </c>
      <c r="D3160" s="5" t="s">
        <v>9482</v>
      </c>
      <c r="E3160" s="5" t="s">
        <v>9483</v>
      </c>
      <c r="F3160" s="6" t="str">
        <f>IFERROR(__xludf.DUMMYFUNCTION("GOOGLETRANSLATE(D3160,""en"",""it"")"),"Non mi piacciono i libri di testo, preferisco i thriller.")</f>
        <v>Non mi piacciono i libri di testo, preferisco i thriller.</v>
      </c>
      <c r="G3160" s="6" t="str">
        <f>IFERROR(__xludf.DUMMYFUNCTION("GOOGLETRANSLATE(E3160,""fr"",""it"")"),"Non mi piacciono i libri di testo, preferisco i thriller.")</f>
        <v>Non mi piacciono i libri di testo, preferisco i thriller.</v>
      </c>
    </row>
    <row r="3161">
      <c r="A3161" s="4">
        <v>3159.0</v>
      </c>
      <c r="B3161" s="5" t="s">
        <v>9484</v>
      </c>
      <c r="C3161" s="4">
        <v>1.0</v>
      </c>
      <c r="D3161" s="5" t="s">
        <v>9485</v>
      </c>
      <c r="E3161" s="5" t="s">
        <v>9486</v>
      </c>
      <c r="F3161" s="6" t="str">
        <f>IFERROR(__xludf.DUMMYFUNCTION("GOOGLETRANSLATE(D3161,""en"",""it"")"),"Non mi piacciono i film, preferisco i libri di testo.")</f>
        <v>Non mi piacciono i film, preferisco i libri di testo.</v>
      </c>
      <c r="G3161" s="6" t="str">
        <f>IFERROR(__xludf.DUMMYFUNCTION("GOOGLETRANSLATE(E3161,""fr"",""it"")"),"Non mi piacciono i film, preferisco i libri di testo.")</f>
        <v>Non mi piacciono i film, preferisco i libri di testo.</v>
      </c>
    </row>
    <row r="3162">
      <c r="A3162" s="4">
        <v>3160.0</v>
      </c>
      <c r="B3162" s="5" t="s">
        <v>9487</v>
      </c>
      <c r="C3162" s="4">
        <v>1.0</v>
      </c>
      <c r="D3162" s="5" t="s">
        <v>9488</v>
      </c>
      <c r="E3162" s="5" t="s">
        <v>9489</v>
      </c>
      <c r="F3162" s="6" t="str">
        <f>IFERROR(__xludf.DUMMYFUNCTION("GOOGLETRANSLATE(D3162,""en"",""it"")"),"Non mi piacciono i thriller, preferisco I Boardgames.")</f>
        <v>Non mi piacciono i thriller, preferisco I Boardgames.</v>
      </c>
      <c r="G3162" s="6" t="str">
        <f>IFERROR(__xludf.DUMMYFUNCTION("GOOGLETRANSLATE(E3162,""fr"",""it"")"),"Non mi piacciono i thriller, preferisco i giochi da tavolo.")</f>
        <v>Non mi piacciono i thriller, preferisco i giochi da tavolo.</v>
      </c>
    </row>
    <row r="3163">
      <c r="A3163" s="4">
        <v>3161.0</v>
      </c>
      <c r="B3163" s="5" t="s">
        <v>9490</v>
      </c>
      <c r="C3163" s="4">
        <v>1.0</v>
      </c>
      <c r="D3163" s="5" t="s">
        <v>9491</v>
      </c>
      <c r="E3163" s="5" t="s">
        <v>9492</v>
      </c>
      <c r="F3163" s="6" t="str">
        <f>IFERROR(__xludf.DUMMYFUNCTION("GOOGLETRANSLATE(D3163,""en"",""it"")"),"Non mi piacciono i Boardgames, preferisco i thriller.")</f>
        <v>Non mi piacciono i Boardgames, preferisco i thriller.</v>
      </c>
      <c r="G3163" s="6" t="str">
        <f>IFERROR(__xludf.DUMMYFUNCTION("GOOGLETRANSLATE(E3163,""fr"",""it"")"),"Non mi piacciono i giochi da tavolo, preferisco i thriller.")</f>
        <v>Non mi piacciono i giochi da tavolo, preferisco i thriller.</v>
      </c>
    </row>
    <row r="3164">
      <c r="A3164" s="4">
        <v>3162.0</v>
      </c>
      <c r="B3164" s="5" t="s">
        <v>9493</v>
      </c>
      <c r="C3164" s="4">
        <v>1.0</v>
      </c>
      <c r="D3164" s="5" t="s">
        <v>9494</v>
      </c>
      <c r="E3164" s="5" t="s">
        <v>9495</v>
      </c>
      <c r="F3164" s="6" t="str">
        <f>IFERROR(__xludf.DUMMYFUNCTION("GOOGLETRANSLATE(D3164,""en"",""it"")"),"Non mi piacciono i film, preferisco I Boardgames.")</f>
        <v>Non mi piacciono i film, preferisco I Boardgames.</v>
      </c>
      <c r="G3164" s="6" t="str">
        <f>IFERROR(__xludf.DUMMYFUNCTION("GOOGLETRANSLATE(E3164,""fr"",""it"")"),"Non mi piacciono i film, preferisco i giochi da tavolo.")</f>
        <v>Non mi piacciono i film, preferisco i giochi da tavolo.</v>
      </c>
    </row>
    <row r="3165">
      <c r="A3165" s="4">
        <v>3163.0</v>
      </c>
      <c r="B3165" s="5" t="s">
        <v>9496</v>
      </c>
      <c r="C3165" s="4">
        <v>1.0</v>
      </c>
      <c r="D3165" s="5" t="s">
        <v>9497</v>
      </c>
      <c r="E3165" s="5" t="s">
        <v>9498</v>
      </c>
      <c r="F3165" s="6" t="str">
        <f>IFERROR(__xludf.DUMMYFUNCTION("GOOGLETRANSLATE(D3165,""en"",""it"")"),"Non mi piacciono i thriller, preferisco i videogiochi.")</f>
        <v>Non mi piacciono i thriller, preferisco i videogiochi.</v>
      </c>
      <c r="G3165" s="6" t="str">
        <f>IFERROR(__xludf.DUMMYFUNCTION("GOOGLETRANSLATE(E3165,""fr"",""it"")"),"Non mi piacciono i thriller, preferisco i videogiochi.")</f>
        <v>Non mi piacciono i thriller, preferisco i videogiochi.</v>
      </c>
    </row>
    <row r="3166">
      <c r="A3166" s="4">
        <v>3164.0</v>
      </c>
      <c r="B3166" s="5" t="s">
        <v>9499</v>
      </c>
      <c r="C3166" s="4">
        <v>1.0</v>
      </c>
      <c r="D3166" s="5" t="s">
        <v>9500</v>
      </c>
      <c r="E3166" s="5" t="s">
        <v>9501</v>
      </c>
      <c r="F3166" s="6" t="str">
        <f>IFERROR(__xludf.DUMMYFUNCTION("GOOGLETRANSLATE(D3166,""en"",""it"")"),"Non mi piacciono i videogiochi, preferisco i thriller.")</f>
        <v>Non mi piacciono i videogiochi, preferisco i thriller.</v>
      </c>
      <c r="G3166" s="6" t="str">
        <f>IFERROR(__xludf.DUMMYFUNCTION("GOOGLETRANSLATE(E3166,""fr"",""it"")"),"Non mi piacciono i videogiochi, preferisco i thriller.")</f>
        <v>Non mi piacciono i videogiochi, preferisco i thriller.</v>
      </c>
    </row>
    <row r="3167">
      <c r="A3167" s="4">
        <v>3165.0</v>
      </c>
      <c r="B3167" s="5" t="s">
        <v>9502</v>
      </c>
      <c r="C3167" s="4">
        <v>1.0</v>
      </c>
      <c r="D3167" s="5" t="s">
        <v>9503</v>
      </c>
      <c r="E3167" s="5" t="s">
        <v>9504</v>
      </c>
      <c r="F3167" s="6" t="str">
        <f>IFERROR(__xludf.DUMMYFUNCTION("GOOGLETRANSLATE(D3167,""en"",""it"")"),"Non mi piacciono i film, preferisco i videogiochi.")</f>
        <v>Non mi piacciono i film, preferisco i videogiochi.</v>
      </c>
      <c r="G3167" s="6" t="str">
        <f>IFERROR(__xludf.DUMMYFUNCTION("GOOGLETRANSLATE(E3167,""fr"",""it"")"),"Non mi piacciono i film, preferisco i videogiochi.")</f>
        <v>Non mi piacciono i film, preferisco i videogiochi.</v>
      </c>
    </row>
    <row r="3168">
      <c r="A3168" s="4">
        <v>3166.0</v>
      </c>
      <c r="B3168" s="5" t="s">
        <v>9505</v>
      </c>
      <c r="C3168" s="4">
        <v>1.0</v>
      </c>
      <c r="D3168" s="5" t="s">
        <v>9506</v>
      </c>
      <c r="E3168" s="5" t="s">
        <v>9507</v>
      </c>
      <c r="F3168" s="6" t="str">
        <f>IFERROR(__xludf.DUMMYFUNCTION("GOOGLETRANSLATE(D3168,""en"",""it"")"),"Non mi piacciono i western, preferisco i saggi.")</f>
        <v>Non mi piacciono i western, preferisco i saggi.</v>
      </c>
      <c r="G3168" s="6" t="str">
        <f>IFERROR(__xludf.DUMMYFUNCTION("GOOGLETRANSLATE(E3168,""fr"",""it"")"),"Non mi piacciono i western, preferisco i test.")</f>
        <v>Non mi piacciono i western, preferisco i test.</v>
      </c>
    </row>
    <row r="3169">
      <c r="A3169" s="4">
        <v>3167.0</v>
      </c>
      <c r="B3169" s="5" t="s">
        <v>9508</v>
      </c>
      <c r="C3169" s="4">
        <v>1.0</v>
      </c>
      <c r="D3169" s="5" t="s">
        <v>9509</v>
      </c>
      <c r="E3169" s="5" t="s">
        <v>9510</v>
      </c>
      <c r="F3169" s="6" t="str">
        <f>IFERROR(__xludf.DUMMYFUNCTION("GOOGLETRANSLATE(D3169,""en"",""it"")"),"Non mi piacciono i saggi, preferisco occidentali.")</f>
        <v>Non mi piacciono i saggi, preferisco occidentali.</v>
      </c>
      <c r="G3169" s="6" t="str">
        <f>IFERROR(__xludf.DUMMYFUNCTION("GOOGLETRANSLATE(E3169,""fr"",""it"")"),"Non mi piace il test, preferisco occidentali.")</f>
        <v>Non mi piace il test, preferisco occidentali.</v>
      </c>
    </row>
    <row r="3170">
      <c r="A3170" s="4">
        <v>3168.0</v>
      </c>
      <c r="B3170" s="5" t="s">
        <v>9511</v>
      </c>
      <c r="C3170" s="4">
        <v>0.0</v>
      </c>
      <c r="D3170" s="5" t="s">
        <v>9512</v>
      </c>
      <c r="E3170" s="5" t="s">
        <v>9513</v>
      </c>
      <c r="F3170" s="6" t="str">
        <f>IFERROR(__xludf.DUMMYFUNCTION("GOOGLETRANSLATE(D3170,""en"",""it"")"),"Non mi piacciono i western, preferisco i film.")</f>
        <v>Non mi piacciono i western, preferisco i film.</v>
      </c>
      <c r="G3170" s="6" t="str">
        <f>IFERROR(__xludf.DUMMYFUNCTION("GOOGLETRANSLATE(E3170,""fr"",""it"")"),"Non mi piacciono i western, preferisco i film.")</f>
        <v>Non mi piacciono i western, preferisco i film.</v>
      </c>
    </row>
    <row r="3171">
      <c r="A3171" s="4">
        <v>3169.0</v>
      </c>
      <c r="B3171" s="5" t="s">
        <v>9514</v>
      </c>
      <c r="C3171" s="4">
        <v>0.0</v>
      </c>
      <c r="D3171" s="5" t="s">
        <v>9515</v>
      </c>
      <c r="E3171" s="5" t="s">
        <v>9516</v>
      </c>
      <c r="F3171" s="6" t="str">
        <f>IFERROR(__xludf.DUMMYFUNCTION("GOOGLETRANSLATE(D3171,""en"",""it"")"),"Non mi piacciono i film, preferisco occidentali.")</f>
        <v>Non mi piacciono i film, preferisco occidentali.</v>
      </c>
      <c r="G3171" s="6" t="str">
        <f>IFERROR(__xludf.DUMMYFUNCTION("GOOGLETRANSLATE(E3171,""fr"",""it"")"),"Non mi piacciono i film, preferisco occidentali.")</f>
        <v>Non mi piacciono i film, preferisco occidentali.</v>
      </c>
    </row>
    <row r="3172">
      <c r="A3172" s="4">
        <v>3170.0</v>
      </c>
      <c r="B3172" s="5" t="s">
        <v>9517</v>
      </c>
      <c r="C3172" s="4">
        <v>1.0</v>
      </c>
      <c r="D3172" s="5" t="s">
        <v>9518</v>
      </c>
      <c r="E3172" s="5" t="s">
        <v>9519</v>
      </c>
      <c r="F3172" s="6" t="str">
        <f>IFERROR(__xludf.DUMMYFUNCTION("GOOGLETRANSLATE(D3172,""en"",""it"")"),"Non mi piacciono i western, preferisco i libri di testo.")</f>
        <v>Non mi piacciono i western, preferisco i libri di testo.</v>
      </c>
      <c r="G3172" s="6" t="str">
        <f>IFERROR(__xludf.DUMMYFUNCTION("GOOGLETRANSLATE(E3172,""fr"",""it"")"),"Non mi piacciono i western, preferisco i libri di testo.")</f>
        <v>Non mi piacciono i western, preferisco i libri di testo.</v>
      </c>
    </row>
    <row r="3173">
      <c r="A3173" s="4">
        <v>3171.0</v>
      </c>
      <c r="B3173" s="5" t="s">
        <v>9520</v>
      </c>
      <c r="C3173" s="4">
        <v>1.0</v>
      </c>
      <c r="D3173" s="5" t="s">
        <v>9521</v>
      </c>
      <c r="E3173" s="5" t="s">
        <v>9522</v>
      </c>
      <c r="F3173" s="6" t="str">
        <f>IFERROR(__xludf.DUMMYFUNCTION("GOOGLETRANSLATE(D3173,""en"",""it"")"),"Non mi piacciono i libri di testo, preferisco occidentali.")</f>
        <v>Non mi piacciono i libri di testo, preferisco occidentali.</v>
      </c>
      <c r="G3173" s="6" t="str">
        <f>IFERROR(__xludf.DUMMYFUNCTION("GOOGLETRANSLATE(E3173,""fr"",""it"")"),"Non mi piacciono i libri di testo, preferisco occidentali.")</f>
        <v>Non mi piacciono i libri di testo, preferisco occidentali.</v>
      </c>
    </row>
    <row r="3174">
      <c r="A3174" s="4">
        <v>3172.0</v>
      </c>
      <c r="B3174" s="5" t="s">
        <v>9523</v>
      </c>
      <c r="C3174" s="4">
        <v>0.0</v>
      </c>
      <c r="D3174" s="5" t="s">
        <v>9524</v>
      </c>
      <c r="E3174" s="5" t="s">
        <v>9525</v>
      </c>
      <c r="F3174" s="6" t="str">
        <f>IFERROR(__xludf.DUMMYFUNCTION("GOOGLETRANSLATE(D3174,""en"",""it"")"),"Mi piacciono i frutti di mare, tranne il vitello.")</f>
        <v>Mi piacciono i frutti di mare, tranne il vitello.</v>
      </c>
      <c r="G3174" s="6" t="str">
        <f>IFERROR(__xludf.DUMMYFUNCTION("GOOGLETRANSLATE(E3174,""fr"",""it"")"),"Adoro i prodotti del mare, tranne il polpaccio.")</f>
        <v>Adoro i prodotti del mare, tranne il polpaccio.</v>
      </c>
    </row>
    <row r="3175">
      <c r="A3175" s="4">
        <v>3173.0</v>
      </c>
      <c r="B3175" s="5" t="s">
        <v>9526</v>
      </c>
      <c r="C3175" s="4">
        <v>1.0</v>
      </c>
      <c r="D3175" s="5" t="s">
        <v>9527</v>
      </c>
      <c r="E3175" s="5" t="s">
        <v>9528</v>
      </c>
      <c r="F3175" s="6" t="str">
        <f>IFERROR(__xludf.DUMMYFUNCTION("GOOGLETRANSLATE(D3175,""en"",""it"")"),"Non mi piacciono i Western, preferisco I Boardgames.")</f>
        <v>Non mi piacciono i Western, preferisco I Boardgames.</v>
      </c>
      <c r="G3175" s="6" t="str">
        <f>IFERROR(__xludf.DUMMYFUNCTION("GOOGLETRANSLATE(E3175,""fr"",""it"")"),"Non mi piacciono i western, preferisco i giochi da tavolo.")</f>
        <v>Non mi piacciono i western, preferisco i giochi da tavolo.</v>
      </c>
    </row>
    <row r="3176">
      <c r="A3176" s="4">
        <v>3174.0</v>
      </c>
      <c r="B3176" s="5" t="s">
        <v>9529</v>
      </c>
      <c r="C3176" s="4">
        <v>1.0</v>
      </c>
      <c r="D3176" s="5" t="s">
        <v>9530</v>
      </c>
      <c r="E3176" s="5" t="s">
        <v>9531</v>
      </c>
      <c r="F3176" s="6" t="str">
        <f>IFERROR(__xludf.DUMMYFUNCTION("GOOGLETRANSLATE(D3176,""en"",""it"")"),"Non mi piacciono i Boardgames, preferisco occidentali.")</f>
        <v>Non mi piacciono i Boardgames, preferisco occidentali.</v>
      </c>
      <c r="G3176" s="6" t="str">
        <f>IFERROR(__xludf.DUMMYFUNCTION("GOOGLETRANSLATE(E3176,""fr"",""it"")"),"Non mi piacciono i giochi da tavolo, preferisco occidentali.")</f>
        <v>Non mi piacciono i giochi da tavolo, preferisco occidentali.</v>
      </c>
    </row>
    <row r="3177">
      <c r="A3177" s="4">
        <v>3175.0</v>
      </c>
      <c r="B3177" s="5" t="s">
        <v>9532</v>
      </c>
      <c r="C3177" s="4">
        <v>1.0</v>
      </c>
      <c r="D3177" s="5" t="s">
        <v>9533</v>
      </c>
      <c r="E3177" s="5" t="s">
        <v>9534</v>
      </c>
      <c r="F3177" s="6" t="str">
        <f>IFERROR(__xludf.DUMMYFUNCTION("GOOGLETRANSLATE(D3177,""en"",""it"")"),"Non mi piacciono i western, preferisco i videogiochi.")</f>
        <v>Non mi piacciono i western, preferisco i videogiochi.</v>
      </c>
      <c r="G3177" s="6" t="str">
        <f>IFERROR(__xludf.DUMMYFUNCTION("GOOGLETRANSLATE(E3177,""fr"",""it"")"),"Non mi piacciono i western, preferisco i videogiochi.")</f>
        <v>Non mi piacciono i western, preferisco i videogiochi.</v>
      </c>
    </row>
    <row r="3178">
      <c r="A3178" s="4">
        <v>3176.0</v>
      </c>
      <c r="B3178" s="5" t="s">
        <v>9535</v>
      </c>
      <c r="C3178" s="4">
        <v>1.0</v>
      </c>
      <c r="D3178" s="5" t="s">
        <v>9536</v>
      </c>
      <c r="E3178" s="5" t="s">
        <v>9537</v>
      </c>
      <c r="F3178" s="6" t="str">
        <f>IFERROR(__xludf.DUMMYFUNCTION("GOOGLETRANSLATE(D3178,""en"",""it"")"),"Non mi piacciono i videogiochi, preferisco occidentali.")</f>
        <v>Non mi piacciono i videogiochi, preferisco occidentali.</v>
      </c>
      <c r="G3178" s="6" t="str">
        <f>IFERROR(__xludf.DUMMYFUNCTION("GOOGLETRANSLATE(E3178,""fr"",""it"")"),"Non mi piacciono i videogiochi, preferisco occidentali.")</f>
        <v>Non mi piacciono i videogiochi, preferisco occidentali.</v>
      </c>
    </row>
    <row r="3179">
      <c r="A3179" s="4">
        <v>3177.0</v>
      </c>
      <c r="B3179" s="5" t="s">
        <v>9538</v>
      </c>
      <c r="C3179" s="4">
        <v>0.0</v>
      </c>
      <c r="D3179" s="5" t="s">
        <v>9539</v>
      </c>
      <c r="E3179" s="5" t="s">
        <v>9540</v>
      </c>
      <c r="F3179" s="6" t="str">
        <f>IFERROR(__xludf.DUMMYFUNCTION("GOOGLETRANSLATE(D3179,""en"",""it"")"),"Mi piace il salmone, tranne il tacchino.")</f>
        <v>Mi piace il salmone, tranne il tacchino.</v>
      </c>
      <c r="G3179" s="6" t="str">
        <f>IFERROR(__xludf.DUMMYFUNCTION("GOOGLETRANSLATE(E3179,""fr"",""it"")"),"Amo il salmone, tranne il tacchino.")</f>
        <v>Amo il salmone, tranne il tacchino.</v>
      </c>
    </row>
    <row r="3180">
      <c r="A3180" s="4">
        <v>3178.0</v>
      </c>
      <c r="B3180" s="5" t="s">
        <v>9541</v>
      </c>
      <c r="C3180" s="4">
        <v>1.0</v>
      </c>
      <c r="D3180" s="5" t="s">
        <v>9542</v>
      </c>
      <c r="E3180" s="5" t="s">
        <v>9543</v>
      </c>
      <c r="F3180" s="6" t="str">
        <f>IFERROR(__xludf.DUMMYFUNCTION("GOOGLETRANSLATE(D3180,""en"",""it"")"),"Non mi piacciono le commedie, preferisco i saggi.")</f>
        <v>Non mi piacciono le commedie, preferisco i saggi.</v>
      </c>
      <c r="G3180" s="6" t="str">
        <f>IFERROR(__xludf.DUMMYFUNCTION("GOOGLETRANSLATE(E3180,""fr"",""it"")"),"Non mi piacciono le commedie, preferisco i test.")</f>
        <v>Non mi piacciono le commedie, preferisco i test.</v>
      </c>
    </row>
    <row r="3181">
      <c r="A3181" s="4">
        <v>3179.0</v>
      </c>
      <c r="B3181" s="5" t="s">
        <v>9544</v>
      </c>
      <c r="C3181" s="4">
        <v>1.0</v>
      </c>
      <c r="D3181" s="5" t="s">
        <v>9545</v>
      </c>
      <c r="E3181" s="5" t="s">
        <v>9546</v>
      </c>
      <c r="F3181" s="6" t="str">
        <f>IFERROR(__xludf.DUMMYFUNCTION("GOOGLETRANSLATE(D3181,""en"",""it"")"),"Non mi piacciono i saggi, preferisco le commedie.")</f>
        <v>Non mi piacciono i saggi, preferisco le commedie.</v>
      </c>
      <c r="G3181" s="6" t="str">
        <f>IFERROR(__xludf.DUMMYFUNCTION("GOOGLETRANSLATE(E3181,""fr"",""it"")"),"Non mi piacciono i test, preferisco le commedie.")</f>
        <v>Non mi piacciono i test, preferisco le commedie.</v>
      </c>
    </row>
    <row r="3182">
      <c r="A3182" s="4">
        <v>3180.0</v>
      </c>
      <c r="B3182" s="5" t="s">
        <v>9547</v>
      </c>
      <c r="C3182" s="4">
        <v>0.0</v>
      </c>
      <c r="D3182" s="5" t="s">
        <v>9548</v>
      </c>
      <c r="E3182" s="5" t="s">
        <v>9549</v>
      </c>
      <c r="F3182" s="6" t="str">
        <f>IFERROR(__xludf.DUMMYFUNCTION("GOOGLETRANSLATE(D3182,""en"",""it"")"),"Non mi piacciono le commedie, preferisco i film.")</f>
        <v>Non mi piacciono le commedie, preferisco i film.</v>
      </c>
      <c r="G3182" s="6" t="str">
        <f>IFERROR(__xludf.DUMMYFUNCTION("GOOGLETRANSLATE(E3182,""fr"",""it"")"),"Non mi piacciono le commedie, preferisco i film.")</f>
        <v>Non mi piacciono le commedie, preferisco i film.</v>
      </c>
    </row>
    <row r="3183">
      <c r="A3183" s="4">
        <v>3181.0</v>
      </c>
      <c r="B3183" s="5" t="s">
        <v>9550</v>
      </c>
      <c r="C3183" s="4">
        <v>0.0</v>
      </c>
      <c r="D3183" s="5" t="s">
        <v>9551</v>
      </c>
      <c r="E3183" s="5" t="s">
        <v>9552</v>
      </c>
      <c r="F3183" s="6" t="str">
        <f>IFERROR(__xludf.DUMMYFUNCTION("GOOGLETRANSLATE(D3183,""en"",""it"")"),"Non mi piacciono i film, preferisco le commedie.")</f>
        <v>Non mi piacciono i film, preferisco le commedie.</v>
      </c>
      <c r="G3183" s="6" t="str">
        <f>IFERROR(__xludf.DUMMYFUNCTION("GOOGLETRANSLATE(E3183,""fr"",""it"")"),"Non mi piacciono i film, preferisco le commedie.")</f>
        <v>Non mi piacciono i film, preferisco le commedie.</v>
      </c>
    </row>
    <row r="3184">
      <c r="A3184" s="4">
        <v>3182.0</v>
      </c>
      <c r="B3184" s="5" t="s">
        <v>9553</v>
      </c>
      <c r="C3184" s="4">
        <v>1.0</v>
      </c>
      <c r="D3184" s="5" t="s">
        <v>9554</v>
      </c>
      <c r="E3184" s="5" t="s">
        <v>9555</v>
      </c>
      <c r="F3184" s="6" t="str">
        <f>IFERROR(__xludf.DUMMYFUNCTION("GOOGLETRANSLATE(D3184,""en"",""it"")"),"Non mi piacciono le commedie, preferisco i libri di testo.")</f>
        <v>Non mi piacciono le commedie, preferisco i libri di testo.</v>
      </c>
      <c r="G3184" s="6" t="str">
        <f>IFERROR(__xludf.DUMMYFUNCTION("GOOGLETRANSLATE(E3184,""fr"",""it"")"),"Non mi piacciono le commedie, preferisco i libri di testo.")</f>
        <v>Non mi piacciono le commedie, preferisco i libri di testo.</v>
      </c>
    </row>
    <row r="3185">
      <c r="A3185" s="4">
        <v>3183.0</v>
      </c>
      <c r="B3185" s="5" t="s">
        <v>9556</v>
      </c>
      <c r="C3185" s="4">
        <v>1.0</v>
      </c>
      <c r="D3185" s="5" t="s">
        <v>9557</v>
      </c>
      <c r="E3185" s="5" t="s">
        <v>9558</v>
      </c>
      <c r="F3185" s="6" t="str">
        <f>IFERROR(__xludf.DUMMYFUNCTION("GOOGLETRANSLATE(D3185,""en"",""it"")"),"Non mi piacciono i libri di testo, preferisco le commedie.")</f>
        <v>Non mi piacciono i libri di testo, preferisco le commedie.</v>
      </c>
      <c r="G3185" s="6" t="str">
        <f>IFERROR(__xludf.DUMMYFUNCTION("GOOGLETRANSLATE(E3185,""fr"",""it"")"),"Non mi piacciono i libri di testo, preferisco le commedie.")</f>
        <v>Non mi piacciono i libri di testo, preferisco le commedie.</v>
      </c>
    </row>
    <row r="3186">
      <c r="A3186" s="4">
        <v>3184.0</v>
      </c>
      <c r="B3186" s="5" t="s">
        <v>9559</v>
      </c>
      <c r="C3186" s="4">
        <v>0.0</v>
      </c>
      <c r="D3186" s="5" t="s">
        <v>9560</v>
      </c>
      <c r="E3186" s="5" t="s">
        <v>9561</v>
      </c>
      <c r="F3186" s="6" t="str">
        <f>IFERROR(__xludf.DUMMYFUNCTION("GOOGLETRANSLATE(D3186,""en"",""it"")"),"Mi piace la Turchia, tranne il salmone.")</f>
        <v>Mi piace la Turchia, tranne il salmone.</v>
      </c>
      <c r="G3186" s="6" t="str">
        <f>IFERROR(__xludf.DUMMYFUNCTION("GOOGLETRANSLATE(E3186,""fr"",""it"")"),"Amo il tacchino, tranne il salmone.")</f>
        <v>Amo il tacchino, tranne il salmone.</v>
      </c>
    </row>
    <row r="3187">
      <c r="A3187" s="4">
        <v>3185.0</v>
      </c>
      <c r="B3187" s="5" t="s">
        <v>9562</v>
      </c>
      <c r="C3187" s="4">
        <v>1.0</v>
      </c>
      <c r="D3187" s="5" t="s">
        <v>9563</v>
      </c>
      <c r="E3187" s="5" t="s">
        <v>9564</v>
      </c>
      <c r="F3187" s="6" t="str">
        <f>IFERROR(__xludf.DUMMYFUNCTION("GOOGLETRANSLATE(D3187,""en"",""it"")"),"Non mi piacciono le commedie, preferisco I Boardgames.")</f>
        <v>Non mi piacciono le commedie, preferisco I Boardgames.</v>
      </c>
      <c r="G3187" s="6" t="str">
        <f>IFERROR(__xludf.DUMMYFUNCTION("GOOGLETRANSLATE(E3187,""fr"",""it"")"),"Non mi piacciono le commedie, preferisco i giochi da tavolo.")</f>
        <v>Non mi piacciono le commedie, preferisco i giochi da tavolo.</v>
      </c>
    </row>
    <row r="3188">
      <c r="A3188" s="4">
        <v>3186.0</v>
      </c>
      <c r="B3188" s="5" t="s">
        <v>9565</v>
      </c>
      <c r="C3188" s="4">
        <v>1.0</v>
      </c>
      <c r="D3188" s="5" t="s">
        <v>9566</v>
      </c>
      <c r="E3188" s="5" t="s">
        <v>9567</v>
      </c>
      <c r="F3188" s="6" t="str">
        <f>IFERROR(__xludf.DUMMYFUNCTION("GOOGLETRANSLATE(D3188,""en"",""it"")"),"Non mi piacciono i Boardgames, preferisco le commedie.")</f>
        <v>Non mi piacciono i Boardgames, preferisco le commedie.</v>
      </c>
      <c r="G3188" s="6" t="str">
        <f>IFERROR(__xludf.DUMMYFUNCTION("GOOGLETRANSLATE(E3188,""fr"",""it"")"),"Non mi piacciono i giochi da tavolo, preferisco le commedie.")</f>
        <v>Non mi piacciono i giochi da tavolo, preferisco le commedie.</v>
      </c>
    </row>
    <row r="3189">
      <c r="A3189" s="4">
        <v>3187.0</v>
      </c>
      <c r="B3189" s="5" t="s">
        <v>9568</v>
      </c>
      <c r="C3189" s="4">
        <v>1.0</v>
      </c>
      <c r="D3189" s="5" t="s">
        <v>9569</v>
      </c>
      <c r="E3189" s="5" t="s">
        <v>9570</v>
      </c>
      <c r="F3189" s="6" t="str">
        <f>IFERROR(__xludf.DUMMYFUNCTION("GOOGLETRANSLATE(D3189,""en"",""it"")"),"Non mi piacciono le commedie, preferisco i videogiochi.")</f>
        <v>Non mi piacciono le commedie, preferisco i videogiochi.</v>
      </c>
      <c r="G3189" s="6" t="str">
        <f>IFERROR(__xludf.DUMMYFUNCTION("GOOGLETRANSLATE(E3189,""fr"",""it"")"),"Non mi piacciono le commedie, preferisco i videogiochi.")</f>
        <v>Non mi piacciono le commedie, preferisco i videogiochi.</v>
      </c>
    </row>
    <row r="3190">
      <c r="A3190" s="4">
        <v>3188.0</v>
      </c>
      <c r="B3190" s="5" t="s">
        <v>9571</v>
      </c>
      <c r="C3190" s="4">
        <v>1.0</v>
      </c>
      <c r="D3190" s="5" t="s">
        <v>9572</v>
      </c>
      <c r="E3190" s="5" t="s">
        <v>9573</v>
      </c>
      <c r="F3190" s="6" t="str">
        <f>IFERROR(__xludf.DUMMYFUNCTION("GOOGLETRANSLATE(D3190,""en"",""it"")"),"Non mi piacciono i videogiochi, preferisco le commedie.")</f>
        <v>Non mi piacciono i videogiochi, preferisco le commedie.</v>
      </c>
      <c r="G3190" s="6" t="str">
        <f>IFERROR(__xludf.DUMMYFUNCTION("GOOGLETRANSLATE(E3190,""fr"",""it"")"),"Non mi piacciono i videogiochi, preferisco le commedie.")</f>
        <v>Non mi piacciono i videogiochi, preferisco le commedie.</v>
      </c>
    </row>
    <row r="3191">
      <c r="A3191" s="4">
        <v>3189.0</v>
      </c>
      <c r="B3191" s="5" t="s">
        <v>9574</v>
      </c>
      <c r="C3191" s="4">
        <v>1.0</v>
      </c>
      <c r="D3191" s="5" t="s">
        <v>9575</v>
      </c>
      <c r="E3191" s="5" t="s">
        <v>9576</v>
      </c>
      <c r="F3191" s="6" t="str">
        <f>IFERROR(__xludf.DUMMYFUNCTION("GOOGLETRANSLATE(D3191,""en"",""it"")"),"Non mi piacciono i documentari, preferisco i saggi.")</f>
        <v>Non mi piacciono i documentari, preferisco i saggi.</v>
      </c>
      <c r="G3191" s="6" t="str">
        <f>IFERROR(__xludf.DUMMYFUNCTION("GOOGLETRANSLATE(E3191,""fr"",""it"")"),"Non mi piacciono i documentari, preferisco i test.")</f>
        <v>Non mi piacciono i documentari, preferisco i test.</v>
      </c>
    </row>
    <row r="3192">
      <c r="A3192" s="4">
        <v>3190.0</v>
      </c>
      <c r="B3192" s="5" t="s">
        <v>9577</v>
      </c>
      <c r="C3192" s="4">
        <v>1.0</v>
      </c>
      <c r="D3192" s="5" t="s">
        <v>9578</v>
      </c>
      <c r="E3192" s="5" t="s">
        <v>9579</v>
      </c>
      <c r="F3192" s="6" t="str">
        <f>IFERROR(__xludf.DUMMYFUNCTION("GOOGLETRANSLATE(D3192,""en"",""it"")"),"Non mi piacciono i saggi, preferisco i documentari.")</f>
        <v>Non mi piacciono i saggi, preferisco i documentari.</v>
      </c>
      <c r="G3192" s="6" t="str">
        <f>IFERROR(__xludf.DUMMYFUNCTION("GOOGLETRANSLATE(E3192,""fr"",""it"")"),"Non mi piace il test, preferisco documentari.")</f>
        <v>Non mi piace il test, preferisco documentari.</v>
      </c>
    </row>
    <row r="3193">
      <c r="A3193" s="4">
        <v>3191.0</v>
      </c>
      <c r="B3193" s="5" t="s">
        <v>9580</v>
      </c>
      <c r="C3193" s="4">
        <v>0.0</v>
      </c>
      <c r="D3193" s="5" t="s">
        <v>9581</v>
      </c>
      <c r="E3193" s="5" t="s">
        <v>9582</v>
      </c>
      <c r="F3193" s="6" t="str">
        <f>IFERROR(__xludf.DUMMYFUNCTION("GOOGLETRANSLATE(D3193,""en"",""it"")"),"Non mi piacciono i documentari, preferisco i film.")</f>
        <v>Non mi piacciono i documentari, preferisco i film.</v>
      </c>
      <c r="G3193" s="6" t="str">
        <f>IFERROR(__xludf.DUMMYFUNCTION("GOOGLETRANSLATE(E3193,""fr"",""it"")"),"Non mi piacciono i documentari, preferisco i film.")</f>
        <v>Non mi piacciono i documentari, preferisco i film.</v>
      </c>
    </row>
    <row r="3194">
      <c r="A3194" s="4">
        <v>3192.0</v>
      </c>
      <c r="B3194" s="5" t="s">
        <v>9583</v>
      </c>
      <c r="C3194" s="4">
        <v>0.0</v>
      </c>
      <c r="D3194" s="5" t="s">
        <v>9584</v>
      </c>
      <c r="E3194" s="5" t="s">
        <v>9585</v>
      </c>
      <c r="F3194" s="6" t="str">
        <f>IFERROR(__xludf.DUMMYFUNCTION("GOOGLETRANSLATE(D3194,""en"",""it"")"),"Non mi piacciono i film, preferisco documentari.")</f>
        <v>Non mi piacciono i film, preferisco documentari.</v>
      </c>
      <c r="G3194" s="6" t="str">
        <f>IFERROR(__xludf.DUMMYFUNCTION("GOOGLETRANSLATE(E3194,""fr"",""it"")"),"Non mi piacciono i film, preferisco documentari.")</f>
        <v>Non mi piacciono i film, preferisco documentari.</v>
      </c>
    </row>
    <row r="3195">
      <c r="A3195" s="4">
        <v>3193.0</v>
      </c>
      <c r="B3195" s="5" t="s">
        <v>9586</v>
      </c>
      <c r="C3195" s="4">
        <v>1.0</v>
      </c>
      <c r="D3195" s="5" t="s">
        <v>9587</v>
      </c>
      <c r="E3195" s="5" t="s">
        <v>9588</v>
      </c>
      <c r="F3195" s="6" t="str">
        <f>IFERROR(__xludf.DUMMYFUNCTION("GOOGLETRANSLATE(D3195,""en"",""it"")"),"Non mi piacciono i documentari, preferisco i libri di testo.")</f>
        <v>Non mi piacciono i documentari, preferisco i libri di testo.</v>
      </c>
      <c r="G3195" s="6" t="str">
        <f>IFERROR(__xludf.DUMMYFUNCTION("GOOGLETRANSLATE(E3195,""fr"",""it"")"),"Non mi piacciono i documentari, preferisco i libri di testo.")</f>
        <v>Non mi piacciono i documentari, preferisco i libri di testo.</v>
      </c>
    </row>
    <row r="3196">
      <c r="A3196" s="4">
        <v>3194.0</v>
      </c>
      <c r="B3196" s="5" t="s">
        <v>9589</v>
      </c>
      <c r="C3196" s="4">
        <v>1.0</v>
      </c>
      <c r="D3196" s="5" t="s">
        <v>9590</v>
      </c>
      <c r="E3196" s="5" t="s">
        <v>9591</v>
      </c>
      <c r="F3196" s="6" t="str">
        <f>IFERROR(__xludf.DUMMYFUNCTION("GOOGLETRANSLATE(D3196,""en"",""it"")"),"Non mi piacciono i libri di testo, preferisco i documentari.")</f>
        <v>Non mi piacciono i libri di testo, preferisco i documentari.</v>
      </c>
      <c r="G3196" s="6" t="str">
        <f>IFERROR(__xludf.DUMMYFUNCTION("GOOGLETRANSLATE(E3196,""fr"",""it"")"),"Non mi piacciono i libri di testo, preferisco i documentari.")</f>
        <v>Non mi piacciono i libri di testo, preferisco i documentari.</v>
      </c>
    </row>
    <row r="3197">
      <c r="A3197" s="4">
        <v>3195.0</v>
      </c>
      <c r="B3197" s="5" t="s">
        <v>9592</v>
      </c>
      <c r="C3197" s="4">
        <v>1.0</v>
      </c>
      <c r="D3197" s="5" t="s">
        <v>9593</v>
      </c>
      <c r="E3197" s="5" t="s">
        <v>9594</v>
      </c>
      <c r="F3197" s="6" t="str">
        <f>IFERROR(__xludf.DUMMYFUNCTION("GOOGLETRANSLATE(D3197,""en"",""it"")"),"Non mi piacciono i documentari, preferisco I Boardgames.")</f>
        <v>Non mi piacciono i documentari, preferisco I Boardgames.</v>
      </c>
      <c r="G3197" s="6" t="str">
        <f>IFERROR(__xludf.DUMMYFUNCTION("GOOGLETRANSLATE(E3197,""fr"",""it"")"),"Non mi piacciono i documentari, preferisco i giochi da tavolo.")</f>
        <v>Non mi piacciono i documentari, preferisco i giochi da tavolo.</v>
      </c>
    </row>
    <row r="3198">
      <c r="A3198" s="4">
        <v>3196.0</v>
      </c>
      <c r="B3198" s="5" t="s">
        <v>9595</v>
      </c>
      <c r="C3198" s="4">
        <v>1.0</v>
      </c>
      <c r="D3198" s="5" t="s">
        <v>9596</v>
      </c>
      <c r="E3198" s="5" t="s">
        <v>9597</v>
      </c>
      <c r="F3198" s="6" t="str">
        <f>IFERROR(__xludf.DUMMYFUNCTION("GOOGLETRANSLATE(D3198,""en"",""it"")"),"Non mi piacciono i Boardgames, preferisco documentari.")</f>
        <v>Non mi piacciono i Boardgames, preferisco documentari.</v>
      </c>
      <c r="G3198" s="6" t="str">
        <f>IFERROR(__xludf.DUMMYFUNCTION("GOOGLETRANSLATE(E3198,""fr"",""it"")"),"Non mi piacciono i giochi da tavolo, preferisco i documentari.")</f>
        <v>Non mi piacciono i giochi da tavolo, preferisco i documentari.</v>
      </c>
    </row>
    <row r="3199">
      <c r="A3199" s="4">
        <v>3197.0</v>
      </c>
      <c r="B3199" s="5" t="s">
        <v>9598</v>
      </c>
      <c r="C3199" s="4">
        <v>1.0</v>
      </c>
      <c r="D3199" s="5" t="s">
        <v>9599</v>
      </c>
      <c r="E3199" s="5" t="s">
        <v>9600</v>
      </c>
      <c r="F3199" s="6" t="str">
        <f>IFERROR(__xludf.DUMMYFUNCTION("GOOGLETRANSLATE(D3199,""en"",""it"")"),"Non mi piacciono i documentari, preferisco i videogiochi.")</f>
        <v>Non mi piacciono i documentari, preferisco i videogiochi.</v>
      </c>
      <c r="G3199" s="6" t="str">
        <f>IFERROR(__xludf.DUMMYFUNCTION("GOOGLETRANSLATE(E3199,""fr"",""it"")"),"Non mi piacciono i documentari, preferisco i videogiochi.")</f>
        <v>Non mi piacciono i documentari, preferisco i videogiochi.</v>
      </c>
    </row>
    <row r="3200">
      <c r="A3200" s="4">
        <v>3198.0</v>
      </c>
      <c r="B3200" s="5" t="s">
        <v>9601</v>
      </c>
      <c r="C3200" s="4">
        <v>1.0</v>
      </c>
      <c r="D3200" s="5" t="s">
        <v>9602</v>
      </c>
      <c r="E3200" s="5" t="s">
        <v>9603</v>
      </c>
      <c r="F3200" s="6" t="str">
        <f>IFERROR(__xludf.DUMMYFUNCTION("GOOGLETRANSLATE(D3200,""en"",""it"")"),"Non mi piacciono i videogiochi, preferisco i documentari.")</f>
        <v>Non mi piacciono i videogiochi, preferisco i documentari.</v>
      </c>
      <c r="G3200" s="6" t="str">
        <f>IFERROR(__xludf.DUMMYFUNCTION("GOOGLETRANSLATE(E3200,""fr"",""it"")"),"Non mi piacciono i videogiochi, preferisco i documentari.")</f>
        <v>Non mi piacciono i videogiochi, preferisco i documentari.</v>
      </c>
    </row>
    <row r="3201">
      <c r="A3201" s="4">
        <v>3199.0</v>
      </c>
      <c r="B3201" s="5" t="s">
        <v>9604</v>
      </c>
      <c r="C3201" s="4">
        <v>0.0</v>
      </c>
      <c r="D3201" s="5" t="s">
        <v>9605</v>
      </c>
      <c r="E3201" s="5" t="s">
        <v>9606</v>
      </c>
      <c r="F3201" s="6" t="str">
        <f>IFERROR(__xludf.DUMMYFUNCTION("GOOGLETRANSLATE(D3201,""en"",""it"")"),"Mi piacciono i frutti di mare, tranne il tacchino.")</f>
        <v>Mi piacciono i frutti di mare, tranne il tacchino.</v>
      </c>
      <c r="G3201" s="6" t="str">
        <f>IFERROR(__xludf.DUMMYFUNCTION("GOOGLETRANSLATE(E3201,""fr"",""it"")"),"Adoro i prodotti del mare, tranne la Turchia.")</f>
        <v>Adoro i prodotti del mare, tranne la Turchia.</v>
      </c>
    </row>
    <row r="3202">
      <c r="A3202" s="4">
        <v>3200.0</v>
      </c>
      <c r="B3202" s="5" t="s">
        <v>9607</v>
      </c>
      <c r="C3202" s="4">
        <v>1.0</v>
      </c>
      <c r="D3202" s="5" t="s">
        <v>9608</v>
      </c>
      <c r="E3202" s="5" t="s">
        <v>9609</v>
      </c>
      <c r="F3202" s="6" t="str">
        <f>IFERROR(__xludf.DUMMYFUNCTION("GOOGLETRANSLATE(D3202,""en"",""it"")"),"Non mi piacciono i braccialetti, preferisco le borse.")</f>
        <v>Non mi piacciono i braccialetti, preferisco le borse.</v>
      </c>
      <c r="G3202" s="6" t="str">
        <f>IFERROR(__xludf.DUMMYFUNCTION("GOOGLETRANSLATE(E3202,""fr"",""it"")"),"Non mi piacciono i braccialetti, preferisco le borse.")</f>
        <v>Non mi piacciono i braccialetti, preferisco le borse.</v>
      </c>
    </row>
    <row r="3203">
      <c r="A3203" s="4">
        <v>3201.0</v>
      </c>
      <c r="B3203" s="5" t="s">
        <v>9610</v>
      </c>
      <c r="C3203" s="4">
        <v>1.0</v>
      </c>
      <c r="D3203" s="5" t="s">
        <v>9611</v>
      </c>
      <c r="E3203" s="5" t="s">
        <v>9612</v>
      </c>
      <c r="F3203" s="6" t="str">
        <f>IFERROR(__xludf.DUMMYFUNCTION("GOOGLETRANSLATE(D3203,""en"",""it"")"),"Non mi piacciono le borse, preferisco i braccialetti.")</f>
        <v>Non mi piacciono le borse, preferisco i braccialetti.</v>
      </c>
      <c r="G3203" s="6" t="str">
        <f>IFERROR(__xludf.DUMMYFUNCTION("GOOGLETRANSLATE(E3203,""fr"",""it"")"),"Non mi piacciono le borse, preferisco i braccialetti.")</f>
        <v>Non mi piacciono le borse, preferisco i braccialetti.</v>
      </c>
    </row>
    <row r="3204">
      <c r="A3204" s="4">
        <v>3202.0</v>
      </c>
      <c r="B3204" s="5" t="s">
        <v>9613</v>
      </c>
      <c r="C3204" s="4">
        <v>0.0</v>
      </c>
      <c r="D3204" s="5" t="s">
        <v>9614</v>
      </c>
      <c r="E3204" s="5" t="s">
        <v>9615</v>
      </c>
      <c r="F3204" s="6" t="str">
        <f>IFERROR(__xludf.DUMMYFUNCTION("GOOGLETRANSLATE(D3204,""en"",""it"")"),"Non mi piacciono i braccialetti, preferisco i gioielli.")</f>
        <v>Non mi piacciono i braccialetti, preferisco i gioielli.</v>
      </c>
      <c r="G3204" s="6" t="str">
        <f>IFERROR(__xludf.DUMMYFUNCTION("GOOGLETRANSLATE(E3204,""fr"",""it"")"),"Non mi piacciono i braccialetti, preferisco i gioielli.")</f>
        <v>Non mi piacciono i braccialetti, preferisco i gioielli.</v>
      </c>
    </row>
    <row r="3205">
      <c r="A3205" s="4">
        <v>3203.0</v>
      </c>
      <c r="B3205" s="5" t="s">
        <v>9616</v>
      </c>
      <c r="C3205" s="4">
        <v>0.0</v>
      </c>
      <c r="D3205" s="5" t="s">
        <v>9617</v>
      </c>
      <c r="E3205" s="5" t="s">
        <v>9618</v>
      </c>
      <c r="F3205" s="6" t="str">
        <f>IFERROR(__xludf.DUMMYFUNCTION("GOOGLETRANSLATE(D3205,""en"",""it"")"),"Non mi piacciono i gioielli, preferisco i braccialetti.")</f>
        <v>Non mi piacciono i gioielli, preferisco i braccialetti.</v>
      </c>
      <c r="G3205" s="6" t="str">
        <f>IFERROR(__xludf.DUMMYFUNCTION("GOOGLETRANSLATE(E3205,""fr"",""it"")"),"Non mi piacciono i gioielli, preferisco i braccialetti.")</f>
        <v>Non mi piacciono i gioielli, preferisco i braccialetti.</v>
      </c>
    </row>
    <row r="3206">
      <c r="A3206" s="4">
        <v>3204.0</v>
      </c>
      <c r="B3206" s="5" t="s">
        <v>9619</v>
      </c>
      <c r="C3206" s="4">
        <v>1.0</v>
      </c>
      <c r="D3206" s="5" t="s">
        <v>9620</v>
      </c>
      <c r="E3206" s="5" t="s">
        <v>9621</v>
      </c>
      <c r="F3206" s="6" t="str">
        <f>IFERROR(__xludf.DUMMYFUNCTION("GOOGLETRANSLATE(D3206,""en"",""it"")"),"Non mi piacciono i gioielli, preferisco le borse.")</f>
        <v>Non mi piacciono i gioielli, preferisco le borse.</v>
      </c>
      <c r="G3206" s="6" t="str">
        <f>IFERROR(__xludf.DUMMYFUNCTION("GOOGLETRANSLATE(E3206,""fr"",""it"")"),"Non mi piacciono i gioielli, preferisco le borse.")</f>
        <v>Non mi piacciono i gioielli, preferisco le borse.</v>
      </c>
    </row>
    <row r="3207">
      <c r="A3207" s="4">
        <v>3205.0</v>
      </c>
      <c r="B3207" s="5" t="s">
        <v>9622</v>
      </c>
      <c r="C3207" s="4">
        <v>1.0</v>
      </c>
      <c r="D3207" s="5" t="s">
        <v>9623</v>
      </c>
      <c r="E3207" s="5" t="s">
        <v>9624</v>
      </c>
      <c r="F3207" s="6" t="str">
        <f>IFERROR(__xludf.DUMMYFUNCTION("GOOGLETRANSLATE(D3207,""en"",""it"")"),"Non mi piacciono i braccialetti, preferisco le sciarpe.")</f>
        <v>Non mi piacciono i braccialetti, preferisco le sciarpe.</v>
      </c>
      <c r="G3207" s="6" t="str">
        <f>IFERROR(__xludf.DUMMYFUNCTION("GOOGLETRANSLATE(E3207,""fr"",""it"")"),"Non mi piacciono i braccialetti, preferisco sciarpe.")</f>
        <v>Non mi piacciono i braccialetti, preferisco sciarpe.</v>
      </c>
    </row>
    <row r="3208">
      <c r="A3208" s="4">
        <v>3206.0</v>
      </c>
      <c r="B3208" s="5" t="s">
        <v>9625</v>
      </c>
      <c r="C3208" s="4">
        <v>1.0</v>
      </c>
      <c r="D3208" s="5" t="s">
        <v>9626</v>
      </c>
      <c r="E3208" s="5" t="s">
        <v>9627</v>
      </c>
      <c r="F3208" s="6" t="str">
        <f>IFERROR(__xludf.DUMMYFUNCTION("GOOGLETRANSLATE(D3208,""en"",""it"")"),"Non mi piacciono le sciarpe, preferisco i braccialetti.")</f>
        <v>Non mi piacciono le sciarpe, preferisco i braccialetti.</v>
      </c>
      <c r="G3208" s="6" t="str">
        <f>IFERROR(__xludf.DUMMYFUNCTION("GOOGLETRANSLATE(E3208,""fr"",""it"")"),"Non mi piacciono le sciarpe, preferisco i braccialetti.")</f>
        <v>Non mi piacciono le sciarpe, preferisco i braccialetti.</v>
      </c>
    </row>
    <row r="3209">
      <c r="A3209" s="4">
        <v>3207.0</v>
      </c>
      <c r="B3209" s="5" t="s">
        <v>9628</v>
      </c>
      <c r="C3209" s="4">
        <v>0.0</v>
      </c>
      <c r="D3209" s="5" t="s">
        <v>9629</v>
      </c>
      <c r="E3209" s="5" t="s">
        <v>9630</v>
      </c>
      <c r="F3209" s="6" t="str">
        <f>IFERROR(__xludf.DUMMYFUNCTION("GOOGLETRANSLATE(D3209,""en"",""it"")"),"Mi piace il salmone, tranne il manzo.")</f>
        <v>Mi piace il salmone, tranne il manzo.</v>
      </c>
      <c r="G3209" s="6" t="str">
        <f>IFERROR(__xludf.DUMMYFUNCTION("GOOGLETRANSLATE(E3209,""fr"",""it"")"),"Amo il salmone, tranne la carne.")</f>
        <v>Amo il salmone, tranne la carne.</v>
      </c>
    </row>
    <row r="3210">
      <c r="A3210" s="4">
        <v>3208.0</v>
      </c>
      <c r="B3210" s="5" t="s">
        <v>9631</v>
      </c>
      <c r="C3210" s="4">
        <v>1.0</v>
      </c>
      <c r="D3210" s="5" t="s">
        <v>9632</v>
      </c>
      <c r="E3210" s="5" t="s">
        <v>9633</v>
      </c>
      <c r="F3210" s="6" t="str">
        <f>IFERROR(__xludf.DUMMYFUNCTION("GOOGLETRANSLATE(D3210,""en"",""it"")"),"Non mi piacciono i gioielli, preferisco le sciarpe.")</f>
        <v>Non mi piacciono i gioielli, preferisco le sciarpe.</v>
      </c>
      <c r="G3210" s="6" t="str">
        <f>IFERROR(__xludf.DUMMYFUNCTION("GOOGLETRANSLATE(E3210,""fr"",""it"")"),"Non mi piacciono i gioielli, preferisco sciarpe.")</f>
        <v>Non mi piacciono i gioielli, preferisco sciarpe.</v>
      </c>
    </row>
    <row r="3211">
      <c r="A3211" s="4">
        <v>3209.0</v>
      </c>
      <c r="B3211" s="5" t="s">
        <v>9634</v>
      </c>
      <c r="C3211" s="4">
        <v>1.0</v>
      </c>
      <c r="D3211" s="5" t="s">
        <v>9635</v>
      </c>
      <c r="E3211" s="5" t="s">
        <v>9636</v>
      </c>
      <c r="F3211" s="6" t="str">
        <f>IFERROR(__xludf.DUMMYFUNCTION("GOOGLETRANSLATE(D3211,""en"",""it"")"),"Non mi piacciono i braccialetti, preferisco gli occhiali.")</f>
        <v>Non mi piacciono i braccialetti, preferisco gli occhiali.</v>
      </c>
      <c r="G3211" s="6" t="str">
        <f>IFERROR(__xludf.DUMMYFUNCTION("GOOGLETRANSLATE(E3211,""fr"",""it"")"),"Non mi piacciono i braccialetti, preferisco gli occhiali.")</f>
        <v>Non mi piacciono i braccialetti, preferisco gli occhiali.</v>
      </c>
    </row>
    <row r="3212">
      <c r="A3212" s="4">
        <v>3210.0</v>
      </c>
      <c r="B3212" s="5" t="s">
        <v>9637</v>
      </c>
      <c r="C3212" s="4">
        <v>1.0</v>
      </c>
      <c r="D3212" s="5" t="s">
        <v>9638</v>
      </c>
      <c r="E3212" s="5" t="s">
        <v>9639</v>
      </c>
      <c r="F3212" s="6" t="str">
        <f>IFERROR(__xludf.DUMMYFUNCTION("GOOGLETRANSLATE(D3212,""en"",""it"")"),"Non mi piacciono gli occhiali, preferisco i braccialetti.")</f>
        <v>Non mi piacciono gli occhiali, preferisco i braccialetti.</v>
      </c>
      <c r="G3212" s="6" t="str">
        <f>IFERROR(__xludf.DUMMYFUNCTION("GOOGLETRANSLATE(E3212,""fr"",""it"")"),"Non mi piacciono gli occhiali, preferisco i braccialetti.")</f>
        <v>Non mi piacciono gli occhiali, preferisco i braccialetti.</v>
      </c>
    </row>
    <row r="3213">
      <c r="A3213" s="4">
        <v>3211.0</v>
      </c>
      <c r="B3213" s="5" t="s">
        <v>9640</v>
      </c>
      <c r="C3213" s="4">
        <v>1.0</v>
      </c>
      <c r="D3213" s="5" t="s">
        <v>9641</v>
      </c>
      <c r="E3213" s="5" t="s">
        <v>9642</v>
      </c>
      <c r="F3213" s="6" t="str">
        <f>IFERROR(__xludf.DUMMYFUNCTION("GOOGLETRANSLATE(D3213,""en"",""it"")"),"Non mi piacciono i gioielli, preferisco gli occhiali.")</f>
        <v>Non mi piacciono i gioielli, preferisco gli occhiali.</v>
      </c>
      <c r="G3213" s="6" t="str">
        <f>IFERROR(__xludf.DUMMYFUNCTION("GOOGLETRANSLATE(E3213,""fr"",""it"")"),"Non mi piacciono i gioielli, preferisco gli occhiali.")</f>
        <v>Non mi piacciono i gioielli, preferisco gli occhiali.</v>
      </c>
    </row>
    <row r="3214">
      <c r="A3214" s="4">
        <v>3212.0</v>
      </c>
      <c r="B3214" s="5" t="s">
        <v>9643</v>
      </c>
      <c r="C3214" s="4">
        <v>1.0</v>
      </c>
      <c r="D3214" s="5" t="s">
        <v>9644</v>
      </c>
      <c r="E3214" s="5" t="s">
        <v>9645</v>
      </c>
      <c r="F3214" s="6" t="str">
        <f>IFERROR(__xludf.DUMMYFUNCTION("GOOGLETRANSLATE(D3214,""en"",""it"")"),"Non mi piacciono i braccialetti, preferisco le scarpe.")</f>
        <v>Non mi piacciono i braccialetti, preferisco le scarpe.</v>
      </c>
      <c r="G3214" s="6" t="str">
        <f>IFERROR(__xludf.DUMMYFUNCTION("GOOGLETRANSLATE(E3214,""fr"",""it"")"),"Non mi piacciono i braccialetti, preferisco le scarpe.")</f>
        <v>Non mi piacciono i braccialetti, preferisco le scarpe.</v>
      </c>
    </row>
    <row r="3215">
      <c r="A3215" s="4">
        <v>3213.0</v>
      </c>
      <c r="B3215" s="5" t="s">
        <v>9646</v>
      </c>
      <c r="C3215" s="4">
        <v>1.0</v>
      </c>
      <c r="D3215" s="5" t="s">
        <v>9647</v>
      </c>
      <c r="E3215" s="5" t="s">
        <v>9648</v>
      </c>
      <c r="F3215" s="6" t="str">
        <f>IFERROR(__xludf.DUMMYFUNCTION("GOOGLETRANSLATE(D3215,""en"",""it"")"),"Non mi piacciono le scarpe, preferisco i braccialetti.")</f>
        <v>Non mi piacciono le scarpe, preferisco i braccialetti.</v>
      </c>
      <c r="G3215" s="6" t="str">
        <f>IFERROR(__xludf.DUMMYFUNCTION("GOOGLETRANSLATE(E3215,""fr"",""it"")"),"Non mi piacciono le scarpe, preferisco i braccialetti.")</f>
        <v>Non mi piacciono le scarpe, preferisco i braccialetti.</v>
      </c>
    </row>
    <row r="3216">
      <c r="A3216" s="4">
        <v>3214.0</v>
      </c>
      <c r="B3216" s="5" t="s">
        <v>9649</v>
      </c>
      <c r="C3216" s="4">
        <v>0.0</v>
      </c>
      <c r="D3216" s="5" t="s">
        <v>9650</v>
      </c>
      <c r="E3216" s="5" t="s">
        <v>9651</v>
      </c>
      <c r="F3216" s="6" t="str">
        <f>IFERROR(__xludf.DUMMYFUNCTION("GOOGLETRANSLATE(D3216,""en"",""it"")"),"Mi piace il manzo, tranne il salmone.")</f>
        <v>Mi piace il manzo, tranne il salmone.</v>
      </c>
      <c r="G3216" s="6" t="str">
        <f>IFERROR(__xludf.DUMMYFUNCTION("GOOGLETRANSLATE(E3216,""fr"",""it"")"),"Amo la carne, tranne il salmone.")</f>
        <v>Amo la carne, tranne il salmone.</v>
      </c>
    </row>
    <row r="3217">
      <c r="A3217" s="4">
        <v>3215.0</v>
      </c>
      <c r="B3217" s="5" t="s">
        <v>9652</v>
      </c>
      <c r="C3217" s="4">
        <v>1.0</v>
      </c>
      <c r="D3217" s="5" t="s">
        <v>9653</v>
      </c>
      <c r="E3217" s="5" t="s">
        <v>9654</v>
      </c>
      <c r="F3217" s="6" t="str">
        <f>IFERROR(__xludf.DUMMYFUNCTION("GOOGLETRANSLATE(D3217,""en"",""it"")"),"Non mi piacciono i gioielli, preferisco le scarpe.")</f>
        <v>Non mi piacciono i gioielli, preferisco le scarpe.</v>
      </c>
      <c r="G3217" s="6" t="str">
        <f>IFERROR(__xludf.DUMMYFUNCTION("GOOGLETRANSLATE(E3217,""fr"",""it"")"),"Non mi piacciono i gioielli, preferisco le scarpe.")</f>
        <v>Non mi piacciono i gioielli, preferisco le scarpe.</v>
      </c>
    </row>
    <row r="3218">
      <c r="A3218" s="4">
        <v>3216.0</v>
      </c>
      <c r="B3218" s="5" t="s">
        <v>9655</v>
      </c>
      <c r="C3218" s="4">
        <v>1.0</v>
      </c>
      <c r="D3218" s="5" t="s">
        <v>9656</v>
      </c>
      <c r="E3218" s="5" t="s">
        <v>9657</v>
      </c>
      <c r="F3218" s="6" t="str">
        <f>IFERROR(__xludf.DUMMYFUNCTION("GOOGLETRANSLATE(D3218,""en"",""it"")"),"Non mi piacciono le collane, preferisco le borse.")</f>
        <v>Non mi piacciono le collane, preferisco le borse.</v>
      </c>
      <c r="G3218" s="6" t="str">
        <f>IFERROR(__xludf.DUMMYFUNCTION("GOOGLETRANSLATE(E3218,""fr"",""it"")"),"Non mi piacciono le collane, preferisco le borse.")</f>
        <v>Non mi piacciono le collane, preferisco le borse.</v>
      </c>
    </row>
    <row r="3219">
      <c r="A3219" s="4">
        <v>3217.0</v>
      </c>
      <c r="B3219" s="5" t="s">
        <v>9658</v>
      </c>
      <c r="C3219" s="4">
        <v>1.0</v>
      </c>
      <c r="D3219" s="5" t="s">
        <v>9659</v>
      </c>
      <c r="E3219" s="5" t="s">
        <v>9660</v>
      </c>
      <c r="F3219" s="6" t="str">
        <f>IFERROR(__xludf.DUMMYFUNCTION("GOOGLETRANSLATE(D3219,""en"",""it"")"),"Non mi piacciono le borse, preferisco le collane.")</f>
        <v>Non mi piacciono le borse, preferisco le collane.</v>
      </c>
      <c r="G3219" s="6" t="str">
        <f>IFERROR(__xludf.DUMMYFUNCTION("GOOGLETRANSLATE(E3219,""fr"",""it"")"),"Non mi piacciono le borse, preferisco le collane.")</f>
        <v>Non mi piacciono le borse, preferisco le collane.</v>
      </c>
    </row>
    <row r="3220">
      <c r="A3220" s="4">
        <v>3218.0</v>
      </c>
      <c r="B3220" s="5" t="s">
        <v>9661</v>
      </c>
      <c r="C3220" s="4">
        <v>0.0</v>
      </c>
      <c r="D3220" s="5" t="s">
        <v>9662</v>
      </c>
      <c r="E3220" s="5" t="s">
        <v>9663</v>
      </c>
      <c r="F3220" s="6" t="str">
        <f>IFERROR(__xludf.DUMMYFUNCTION("GOOGLETRANSLATE(D3220,""en"",""it"")"),"Non mi piacciono le collane, preferisco i gioielli.")</f>
        <v>Non mi piacciono le collane, preferisco i gioielli.</v>
      </c>
      <c r="G3220" s="6" t="str">
        <f>IFERROR(__xludf.DUMMYFUNCTION("GOOGLETRANSLATE(E3220,""fr"",""it"")"),"Non mi piacciono le collane, preferisco i gioielli.")</f>
        <v>Non mi piacciono le collane, preferisco i gioielli.</v>
      </c>
    </row>
    <row r="3221">
      <c r="A3221" s="4">
        <v>3219.0</v>
      </c>
      <c r="B3221" s="5" t="s">
        <v>9664</v>
      </c>
      <c r="C3221" s="4">
        <v>0.0</v>
      </c>
      <c r="D3221" s="5" t="s">
        <v>9665</v>
      </c>
      <c r="E3221" s="5" t="s">
        <v>9666</v>
      </c>
      <c r="F3221" s="6" t="str">
        <f>IFERROR(__xludf.DUMMYFUNCTION("GOOGLETRANSLATE(D3221,""en"",""it"")"),"Non mi piacciono i gioielli, preferisco le collane.")</f>
        <v>Non mi piacciono i gioielli, preferisco le collane.</v>
      </c>
      <c r="G3221" s="6" t="str">
        <f>IFERROR(__xludf.DUMMYFUNCTION("GOOGLETRANSLATE(E3221,""fr"",""it"")"),"Non mi piacciono i gioielli, preferisco le collane.")</f>
        <v>Non mi piacciono i gioielli, preferisco le collane.</v>
      </c>
    </row>
    <row r="3222">
      <c r="A3222" s="4">
        <v>3220.0</v>
      </c>
      <c r="B3222" s="5" t="s">
        <v>9667</v>
      </c>
      <c r="C3222" s="4">
        <v>1.0</v>
      </c>
      <c r="D3222" s="5" t="s">
        <v>9668</v>
      </c>
      <c r="E3222" s="5" t="s">
        <v>9669</v>
      </c>
      <c r="F3222" s="6" t="str">
        <f>IFERROR(__xludf.DUMMYFUNCTION("GOOGLETRANSLATE(D3222,""en"",""it"")"),"Non mi piacciono le collane, preferisco le sciarpe.")</f>
        <v>Non mi piacciono le collane, preferisco le sciarpe.</v>
      </c>
      <c r="G3222" s="6" t="str">
        <f>IFERROR(__xludf.DUMMYFUNCTION("GOOGLETRANSLATE(E3222,""fr"",""it"")"),"Non mi piacciono le collane, preferisco sciarpe.")</f>
        <v>Non mi piacciono le collane, preferisco sciarpe.</v>
      </c>
    </row>
    <row r="3223">
      <c r="A3223" s="4">
        <v>3221.0</v>
      </c>
      <c r="B3223" s="5" t="s">
        <v>9670</v>
      </c>
      <c r="C3223" s="4">
        <v>1.0</v>
      </c>
      <c r="D3223" s="5" t="s">
        <v>9671</v>
      </c>
      <c r="E3223" s="5" t="s">
        <v>9672</v>
      </c>
      <c r="F3223" s="6" t="str">
        <f>IFERROR(__xludf.DUMMYFUNCTION("GOOGLETRANSLATE(D3223,""en"",""it"")"),"Non mi piacciono le sciarpe, preferisco le collane.")</f>
        <v>Non mi piacciono le sciarpe, preferisco le collane.</v>
      </c>
      <c r="G3223" s="6" t="str">
        <f>IFERROR(__xludf.DUMMYFUNCTION("GOOGLETRANSLATE(E3223,""fr"",""it"")"),"Non mi piacciono le sciarpe, preferisco le collane.")</f>
        <v>Non mi piacciono le sciarpe, preferisco le collane.</v>
      </c>
    </row>
    <row r="3224">
      <c r="A3224" s="4">
        <v>3222.0</v>
      </c>
      <c r="B3224" s="5" t="s">
        <v>9673</v>
      </c>
      <c r="C3224" s="4">
        <v>1.0</v>
      </c>
      <c r="D3224" s="5" t="s">
        <v>9674</v>
      </c>
      <c r="E3224" s="5" t="s">
        <v>9675</v>
      </c>
      <c r="F3224" s="6" t="str">
        <f>IFERROR(__xludf.DUMMYFUNCTION("GOOGLETRANSLATE(D3224,""en"",""it"")"),"Non mi piacciono le collane, preferisco gli occhiali.")</f>
        <v>Non mi piacciono le collane, preferisco gli occhiali.</v>
      </c>
      <c r="G3224" s="6" t="str">
        <f>IFERROR(__xludf.DUMMYFUNCTION("GOOGLETRANSLATE(E3224,""fr"",""it"")"),"Non mi piacciono le collane, preferisco gli occhiali.")</f>
        <v>Non mi piacciono le collane, preferisco gli occhiali.</v>
      </c>
    </row>
    <row r="3225">
      <c r="A3225" s="4">
        <v>3223.0</v>
      </c>
      <c r="B3225" s="5" t="s">
        <v>9676</v>
      </c>
      <c r="C3225" s="4">
        <v>1.0</v>
      </c>
      <c r="D3225" s="5" t="s">
        <v>9677</v>
      </c>
      <c r="E3225" s="5" t="s">
        <v>9678</v>
      </c>
      <c r="F3225" s="6" t="str">
        <f>IFERROR(__xludf.DUMMYFUNCTION("GOOGLETRANSLATE(D3225,""en"",""it"")"),"Non mi piacciono gli occhiali, preferisco le collane.")</f>
        <v>Non mi piacciono gli occhiali, preferisco le collane.</v>
      </c>
      <c r="G3225" s="6" t="str">
        <f>IFERROR(__xludf.DUMMYFUNCTION("GOOGLETRANSLATE(E3225,""fr"",""it"")"),"Non mi piacciono gli occhiali, preferisco le collane.")</f>
        <v>Non mi piacciono gli occhiali, preferisco le collane.</v>
      </c>
    </row>
    <row r="3226">
      <c r="A3226" s="4">
        <v>3224.0</v>
      </c>
      <c r="B3226" s="5" t="s">
        <v>9679</v>
      </c>
      <c r="C3226" s="4">
        <v>1.0</v>
      </c>
      <c r="D3226" s="5" t="s">
        <v>9680</v>
      </c>
      <c r="E3226" s="5" t="s">
        <v>9681</v>
      </c>
      <c r="F3226" s="6" t="str">
        <f>IFERROR(__xludf.DUMMYFUNCTION("GOOGLETRANSLATE(D3226,""en"",""it"")"),"Non mi piacciono le collane, preferisco le scarpe.")</f>
        <v>Non mi piacciono le collane, preferisco le scarpe.</v>
      </c>
      <c r="G3226" s="6" t="str">
        <f>IFERROR(__xludf.DUMMYFUNCTION("GOOGLETRANSLATE(E3226,""fr"",""it"")"),"Non mi piacciono le collane, preferisco le scarpe.")</f>
        <v>Non mi piacciono le collane, preferisco le scarpe.</v>
      </c>
    </row>
    <row r="3227">
      <c r="A3227" s="4">
        <v>3225.0</v>
      </c>
      <c r="B3227" s="5" t="s">
        <v>9682</v>
      </c>
      <c r="C3227" s="4">
        <v>1.0</v>
      </c>
      <c r="D3227" s="5" t="s">
        <v>9683</v>
      </c>
      <c r="E3227" s="5" t="s">
        <v>9684</v>
      </c>
      <c r="F3227" s="6" t="str">
        <f>IFERROR(__xludf.DUMMYFUNCTION("GOOGLETRANSLATE(D3227,""en"",""it"")"),"Non mi piacciono le scarpe, preferisco le collane.")</f>
        <v>Non mi piacciono le scarpe, preferisco le collane.</v>
      </c>
      <c r="G3227" s="6" t="str">
        <f>IFERROR(__xludf.DUMMYFUNCTION("GOOGLETRANSLATE(E3227,""fr"",""it"")"),"Non mi piacciono le scarpe, preferisco le collane.")</f>
        <v>Non mi piacciono le scarpe, preferisco le collane.</v>
      </c>
    </row>
    <row r="3228">
      <c r="A3228" s="4">
        <v>3226.0</v>
      </c>
      <c r="B3228" s="5" t="s">
        <v>9685</v>
      </c>
      <c r="C3228" s="4">
        <v>1.0</v>
      </c>
      <c r="D3228" s="5" t="s">
        <v>9686</v>
      </c>
      <c r="E3228" s="5" t="s">
        <v>9687</v>
      </c>
      <c r="F3228" s="6" t="str">
        <f>IFERROR(__xludf.DUMMYFUNCTION("GOOGLETRANSLATE(D3228,""en"",""it"")"),"Non mi piacciono gli orecchini, preferisco le borse.")</f>
        <v>Non mi piacciono gli orecchini, preferisco le borse.</v>
      </c>
      <c r="G3228" s="6" t="str">
        <f>IFERROR(__xludf.DUMMYFUNCTION("GOOGLETRANSLATE(E3228,""fr"",""it"")"),"Non mi piacciono gli orecchini, preferisco le borse.")</f>
        <v>Non mi piacciono gli orecchini, preferisco le borse.</v>
      </c>
    </row>
    <row r="3229">
      <c r="A3229" s="4">
        <v>3227.0</v>
      </c>
      <c r="B3229" s="5" t="s">
        <v>9688</v>
      </c>
      <c r="C3229" s="4">
        <v>1.0</v>
      </c>
      <c r="D3229" s="5" t="s">
        <v>9689</v>
      </c>
      <c r="E3229" s="5" t="s">
        <v>9690</v>
      </c>
      <c r="F3229" s="6" t="str">
        <f>IFERROR(__xludf.DUMMYFUNCTION("GOOGLETRANSLATE(D3229,""en"",""it"")"),"Non mi piacciono le borse, preferisco gli orecchini.")</f>
        <v>Non mi piacciono le borse, preferisco gli orecchini.</v>
      </c>
      <c r="G3229" s="6" t="str">
        <f>IFERROR(__xludf.DUMMYFUNCTION("GOOGLETRANSLATE(E3229,""fr"",""it"")"),"Non mi piacciono le borse, preferisco gli orecchini.")</f>
        <v>Non mi piacciono le borse, preferisco gli orecchini.</v>
      </c>
    </row>
    <row r="3230">
      <c r="A3230" s="4">
        <v>3228.0</v>
      </c>
      <c r="B3230" s="5" t="s">
        <v>9691</v>
      </c>
      <c r="C3230" s="4">
        <v>0.0</v>
      </c>
      <c r="D3230" s="5" t="s">
        <v>9692</v>
      </c>
      <c r="E3230" s="5" t="s">
        <v>9693</v>
      </c>
      <c r="F3230" s="6" t="str">
        <f>IFERROR(__xludf.DUMMYFUNCTION("GOOGLETRANSLATE(D3230,""en"",""it"")"),"Non mi piacciono gli orecchini, preferisco i gioielli.")</f>
        <v>Non mi piacciono gli orecchini, preferisco i gioielli.</v>
      </c>
      <c r="G3230" s="6" t="str">
        <f>IFERROR(__xludf.DUMMYFUNCTION("GOOGLETRANSLATE(E3230,""fr"",""it"")"),"Non mi piacciono gli orecchini, preferisco i gioielli.")</f>
        <v>Non mi piacciono gli orecchini, preferisco i gioielli.</v>
      </c>
    </row>
    <row r="3231">
      <c r="A3231" s="4">
        <v>3229.0</v>
      </c>
      <c r="B3231" s="5" t="s">
        <v>9694</v>
      </c>
      <c r="C3231" s="4">
        <v>0.0</v>
      </c>
      <c r="D3231" s="5" t="s">
        <v>9695</v>
      </c>
      <c r="E3231" s="5" t="s">
        <v>9696</v>
      </c>
      <c r="F3231" s="6" t="str">
        <f>IFERROR(__xludf.DUMMYFUNCTION("GOOGLETRANSLATE(D3231,""en"",""it"")"),"Non mi piacciono i gioielli, preferisco gli orecchini.")</f>
        <v>Non mi piacciono i gioielli, preferisco gli orecchini.</v>
      </c>
      <c r="G3231" s="6" t="str">
        <f>IFERROR(__xludf.DUMMYFUNCTION("GOOGLETRANSLATE(E3231,""fr"",""it"")"),"Non mi piacciono i gioielli, preferisco gli orecchini.")</f>
        <v>Non mi piacciono i gioielli, preferisco gli orecchini.</v>
      </c>
    </row>
    <row r="3232">
      <c r="A3232" s="4">
        <v>3230.0</v>
      </c>
      <c r="B3232" s="5" t="s">
        <v>9697</v>
      </c>
      <c r="C3232" s="4">
        <v>1.0</v>
      </c>
      <c r="D3232" s="5" t="s">
        <v>9698</v>
      </c>
      <c r="E3232" s="5" t="s">
        <v>9699</v>
      </c>
      <c r="F3232" s="6" t="str">
        <f>IFERROR(__xludf.DUMMYFUNCTION("GOOGLETRANSLATE(D3232,""en"",""it"")"),"Non mi piacciono gli orecchini, preferisco le sciarpe.")</f>
        <v>Non mi piacciono gli orecchini, preferisco le sciarpe.</v>
      </c>
      <c r="G3232" s="6" t="str">
        <f>IFERROR(__xludf.DUMMYFUNCTION("GOOGLETRANSLATE(E3232,""fr"",""it"")"),"Non mi piacciono gli orecchini, preferisco sciarpe.")</f>
        <v>Non mi piacciono gli orecchini, preferisco sciarpe.</v>
      </c>
    </row>
    <row r="3233">
      <c r="A3233" s="4">
        <v>3231.0</v>
      </c>
      <c r="B3233" s="5" t="s">
        <v>9700</v>
      </c>
      <c r="C3233" s="4">
        <v>1.0</v>
      </c>
      <c r="D3233" s="5" t="s">
        <v>9701</v>
      </c>
      <c r="E3233" s="5" t="s">
        <v>9702</v>
      </c>
      <c r="F3233" s="6" t="str">
        <f>IFERROR(__xludf.DUMMYFUNCTION("GOOGLETRANSLATE(D3233,""en"",""it"")"),"Non mi piacciono le sciarpe, preferisco gli orecchini.")</f>
        <v>Non mi piacciono le sciarpe, preferisco gli orecchini.</v>
      </c>
      <c r="G3233" s="6" t="str">
        <f>IFERROR(__xludf.DUMMYFUNCTION("GOOGLETRANSLATE(E3233,""fr"",""it"")"),"Non mi piacciono le sciarpe, preferisco gli orecchini.")</f>
        <v>Non mi piacciono le sciarpe, preferisco gli orecchini.</v>
      </c>
    </row>
    <row r="3234">
      <c r="A3234" s="4">
        <v>3232.0</v>
      </c>
      <c r="B3234" s="5" t="s">
        <v>9703</v>
      </c>
      <c r="C3234" s="4">
        <v>0.0</v>
      </c>
      <c r="D3234" s="5" t="s">
        <v>9704</v>
      </c>
      <c r="E3234" s="5" t="s">
        <v>9705</v>
      </c>
      <c r="F3234" s="6" t="str">
        <f>IFERROR(__xludf.DUMMYFUNCTION("GOOGLETRANSLATE(D3234,""en"",""it"")"),"Mi piacciono i frutti di mare, tranne la carne bovina.")</f>
        <v>Mi piacciono i frutti di mare, tranne la carne bovina.</v>
      </c>
      <c r="G3234" s="6" t="str">
        <f>IFERROR(__xludf.DUMMYFUNCTION("GOOGLETRANSLATE(E3234,""fr"",""it"")"),"Adoro i prodotti del mare, tranne il manzo.")</f>
        <v>Adoro i prodotti del mare, tranne il manzo.</v>
      </c>
    </row>
    <row r="3235">
      <c r="A3235" s="4">
        <v>3233.0</v>
      </c>
      <c r="B3235" s="5" t="s">
        <v>9706</v>
      </c>
      <c r="C3235" s="4">
        <v>1.0</v>
      </c>
      <c r="D3235" s="5" t="s">
        <v>9707</v>
      </c>
      <c r="E3235" s="5" t="s">
        <v>9708</v>
      </c>
      <c r="F3235" s="6" t="str">
        <f>IFERROR(__xludf.DUMMYFUNCTION("GOOGLETRANSLATE(D3235,""en"",""it"")"),"Non mi piacciono gli orecchini, preferisco gli occhiali.")</f>
        <v>Non mi piacciono gli orecchini, preferisco gli occhiali.</v>
      </c>
      <c r="G3235" s="6" t="str">
        <f>IFERROR(__xludf.DUMMYFUNCTION("GOOGLETRANSLATE(E3235,""fr"",""it"")"),"Non mi piacciono gli orecchini, preferisco gli occhiali.")</f>
        <v>Non mi piacciono gli orecchini, preferisco gli occhiali.</v>
      </c>
    </row>
    <row r="3236">
      <c r="A3236" s="4">
        <v>3234.0</v>
      </c>
      <c r="B3236" s="5" t="s">
        <v>9709</v>
      </c>
      <c r="C3236" s="4">
        <v>1.0</v>
      </c>
      <c r="D3236" s="5" t="s">
        <v>9710</v>
      </c>
      <c r="E3236" s="5" t="s">
        <v>9711</v>
      </c>
      <c r="F3236" s="6" t="str">
        <f>IFERROR(__xludf.DUMMYFUNCTION("GOOGLETRANSLATE(D3236,""en"",""it"")"),"Non mi piacciono gli occhiali, preferisco gli orecchini.")</f>
        <v>Non mi piacciono gli occhiali, preferisco gli orecchini.</v>
      </c>
      <c r="G3236" s="6" t="str">
        <f>IFERROR(__xludf.DUMMYFUNCTION("GOOGLETRANSLATE(E3236,""fr"",""it"")"),"Non mi piacciono gli occhiali, preferisco gli orecchini.")</f>
        <v>Non mi piacciono gli occhiali, preferisco gli orecchini.</v>
      </c>
    </row>
    <row r="3237">
      <c r="A3237" s="4">
        <v>3235.0</v>
      </c>
      <c r="B3237" s="5" t="s">
        <v>9712</v>
      </c>
      <c r="C3237" s="4">
        <v>1.0</v>
      </c>
      <c r="D3237" s="5" t="s">
        <v>9713</v>
      </c>
      <c r="E3237" s="5" t="s">
        <v>9714</v>
      </c>
      <c r="F3237" s="6" t="str">
        <f>IFERROR(__xludf.DUMMYFUNCTION("GOOGLETRANSLATE(D3237,""en"",""it"")"),"Non mi piacciono gli orecchini, preferisco le scarpe.")</f>
        <v>Non mi piacciono gli orecchini, preferisco le scarpe.</v>
      </c>
      <c r="G3237" s="6" t="str">
        <f>IFERROR(__xludf.DUMMYFUNCTION("GOOGLETRANSLATE(E3237,""fr"",""it"")"),"Non mi piacciono gli orecchini, preferisco le scarpe.")</f>
        <v>Non mi piacciono gli orecchini, preferisco le scarpe.</v>
      </c>
    </row>
    <row r="3238">
      <c r="A3238" s="4">
        <v>3236.0</v>
      </c>
      <c r="B3238" s="5" t="s">
        <v>9715</v>
      </c>
      <c r="C3238" s="4">
        <v>1.0</v>
      </c>
      <c r="D3238" s="5" t="s">
        <v>9716</v>
      </c>
      <c r="E3238" s="5" t="s">
        <v>9717</v>
      </c>
      <c r="F3238" s="6" t="str">
        <f>IFERROR(__xludf.DUMMYFUNCTION("GOOGLETRANSLATE(D3238,""en"",""it"")"),"Non mi piacciono le scarpe, preferisco gli orecchini.")</f>
        <v>Non mi piacciono le scarpe, preferisco gli orecchini.</v>
      </c>
      <c r="G3238" s="6" t="str">
        <f>IFERROR(__xludf.DUMMYFUNCTION("GOOGLETRANSLATE(E3238,""fr"",""it"")"),"Non mi piacciono le scarpe, preferisco gli orecchini.")</f>
        <v>Non mi piacciono le scarpe, preferisco gli orecchini.</v>
      </c>
    </row>
    <row r="3239">
      <c r="A3239" s="4">
        <v>3237.0</v>
      </c>
      <c r="B3239" s="5" t="s">
        <v>9718</v>
      </c>
      <c r="C3239" s="4">
        <v>1.0</v>
      </c>
      <c r="D3239" s="5" t="s">
        <v>9719</v>
      </c>
      <c r="E3239" s="5" t="s">
        <v>9720</v>
      </c>
      <c r="F3239" s="6" t="str">
        <f>IFERROR(__xludf.DUMMYFUNCTION("GOOGLETRANSLATE(D3239,""en"",""it"")"),"Non mi piacciono gli anelli, preferisco le borse.")</f>
        <v>Non mi piacciono gli anelli, preferisco le borse.</v>
      </c>
      <c r="G3239" s="6" t="str">
        <f>IFERROR(__xludf.DUMMYFUNCTION("GOOGLETRANSLATE(E3239,""fr"",""it"")"),"Non mi piacciono gli anelli, preferisco le borse.")</f>
        <v>Non mi piacciono gli anelli, preferisco le borse.</v>
      </c>
    </row>
    <row r="3240">
      <c r="A3240" s="4">
        <v>3238.0</v>
      </c>
      <c r="B3240" s="5" t="s">
        <v>9721</v>
      </c>
      <c r="C3240" s="4">
        <v>1.0</v>
      </c>
      <c r="D3240" s="5" t="s">
        <v>9722</v>
      </c>
      <c r="E3240" s="5" t="s">
        <v>9723</v>
      </c>
      <c r="F3240" s="6" t="str">
        <f>IFERROR(__xludf.DUMMYFUNCTION("GOOGLETRANSLATE(D3240,""en"",""it"")"),"Non mi piacciono le borse, preferisco gli anelli.")</f>
        <v>Non mi piacciono le borse, preferisco gli anelli.</v>
      </c>
      <c r="G3240" s="6" t="str">
        <f>IFERROR(__xludf.DUMMYFUNCTION("GOOGLETRANSLATE(E3240,""fr"",""it"")"),"Non mi piacciono le borse, preferisco gli anelli.")</f>
        <v>Non mi piacciono le borse, preferisco gli anelli.</v>
      </c>
    </row>
    <row r="3241">
      <c r="A3241" s="4">
        <v>3239.0</v>
      </c>
      <c r="B3241" s="5" t="s">
        <v>9724</v>
      </c>
      <c r="C3241" s="4">
        <v>0.0</v>
      </c>
      <c r="D3241" s="5" t="s">
        <v>9725</v>
      </c>
      <c r="E3241" s="5" t="s">
        <v>9726</v>
      </c>
      <c r="F3241" s="6" t="str">
        <f>IFERROR(__xludf.DUMMYFUNCTION("GOOGLETRANSLATE(D3241,""en"",""it"")"),"Non mi piacciono gli anelli, preferisco i gioielli.")</f>
        <v>Non mi piacciono gli anelli, preferisco i gioielli.</v>
      </c>
      <c r="G3241" s="6" t="str">
        <f>IFERROR(__xludf.DUMMYFUNCTION("GOOGLETRANSLATE(E3241,""fr"",""it"")"),"Non mi piacciono gli anelli, preferisco i gioielli.")</f>
        <v>Non mi piacciono gli anelli, preferisco i gioielli.</v>
      </c>
    </row>
    <row r="3242">
      <c r="A3242" s="4">
        <v>3240.0</v>
      </c>
      <c r="B3242" s="5" t="s">
        <v>9727</v>
      </c>
      <c r="C3242" s="4">
        <v>0.0</v>
      </c>
      <c r="D3242" s="5" t="s">
        <v>9728</v>
      </c>
      <c r="E3242" s="5" t="s">
        <v>9729</v>
      </c>
      <c r="F3242" s="6" t="str">
        <f>IFERROR(__xludf.DUMMYFUNCTION("GOOGLETRANSLATE(D3242,""en"",""it"")"),"Non mi piacciono i gioielli, preferisco gli anelli.")</f>
        <v>Non mi piacciono i gioielli, preferisco gli anelli.</v>
      </c>
      <c r="G3242" s="6" t="str">
        <f>IFERROR(__xludf.DUMMYFUNCTION("GOOGLETRANSLATE(E3242,""fr"",""it"")"),"Non mi piacciono i gioielli, preferisco gli anelli.")</f>
        <v>Non mi piacciono i gioielli, preferisco gli anelli.</v>
      </c>
    </row>
    <row r="3243">
      <c r="A3243" s="4">
        <v>3241.0</v>
      </c>
      <c r="B3243" s="5" t="s">
        <v>9730</v>
      </c>
      <c r="C3243" s="4">
        <v>1.0</v>
      </c>
      <c r="D3243" s="5" t="s">
        <v>9731</v>
      </c>
      <c r="E3243" s="5" t="s">
        <v>9732</v>
      </c>
      <c r="F3243" s="6" t="str">
        <f>IFERROR(__xludf.DUMMYFUNCTION("GOOGLETRANSLATE(D3243,""en"",""it"")"),"Non mi piacciono gli anelli, preferisco le sciarpe.")</f>
        <v>Non mi piacciono gli anelli, preferisco le sciarpe.</v>
      </c>
      <c r="G3243" s="6" t="str">
        <f>IFERROR(__xludf.DUMMYFUNCTION("GOOGLETRANSLATE(E3243,""fr"",""it"")"),"Non mi piacciono gli anelli, preferisco le sciarpe.")</f>
        <v>Non mi piacciono gli anelli, preferisco le sciarpe.</v>
      </c>
    </row>
    <row r="3244">
      <c r="A3244" s="4">
        <v>3242.0</v>
      </c>
      <c r="B3244" s="5" t="s">
        <v>9733</v>
      </c>
      <c r="C3244" s="4">
        <v>1.0</v>
      </c>
      <c r="D3244" s="5" t="s">
        <v>9734</v>
      </c>
      <c r="E3244" s="5" t="s">
        <v>9735</v>
      </c>
      <c r="F3244" s="6" t="str">
        <f>IFERROR(__xludf.DUMMYFUNCTION("GOOGLETRANSLATE(D3244,""en"",""it"")"),"Non mi piacciono le sciarpe, preferisco gli anelli.")</f>
        <v>Non mi piacciono le sciarpe, preferisco gli anelli.</v>
      </c>
      <c r="G3244" s="6" t="str">
        <f>IFERROR(__xludf.DUMMYFUNCTION("GOOGLETRANSLATE(E3244,""fr"",""it"")"),"Non mi piacciono le sciarpe, preferisco gli anelli.")</f>
        <v>Non mi piacciono le sciarpe, preferisco gli anelli.</v>
      </c>
    </row>
    <row r="3245">
      <c r="A3245" s="4">
        <v>3243.0</v>
      </c>
      <c r="B3245" s="5" t="s">
        <v>9736</v>
      </c>
      <c r="C3245" s="4">
        <v>1.0</v>
      </c>
      <c r="D3245" s="5" t="s">
        <v>9737</v>
      </c>
      <c r="E3245" s="5" t="s">
        <v>9738</v>
      </c>
      <c r="F3245" s="6" t="str">
        <f>IFERROR(__xludf.DUMMYFUNCTION("GOOGLETRANSLATE(D3245,""en"",""it"")"),"Non mi piacciono gli anelli, preferisco gli occhiali.")</f>
        <v>Non mi piacciono gli anelli, preferisco gli occhiali.</v>
      </c>
      <c r="G3245" s="6" t="str">
        <f>IFERROR(__xludf.DUMMYFUNCTION("GOOGLETRANSLATE(E3245,""fr"",""it"")"),"Non mi piacciono gli anelli, preferisco gli occhiali.")</f>
        <v>Non mi piacciono gli anelli, preferisco gli occhiali.</v>
      </c>
    </row>
    <row r="3246">
      <c r="A3246" s="4">
        <v>3244.0</v>
      </c>
      <c r="B3246" s="5" t="s">
        <v>9739</v>
      </c>
      <c r="C3246" s="4">
        <v>1.0</v>
      </c>
      <c r="D3246" s="5" t="s">
        <v>9740</v>
      </c>
      <c r="E3246" s="5" t="s">
        <v>9741</v>
      </c>
      <c r="F3246" s="6" t="str">
        <f>IFERROR(__xludf.DUMMYFUNCTION("GOOGLETRANSLATE(D3246,""en"",""it"")"),"Non mi piacciono gli occhiali, preferisco gli anelli.")</f>
        <v>Non mi piacciono gli occhiali, preferisco gli anelli.</v>
      </c>
      <c r="G3246" s="6" t="str">
        <f>IFERROR(__xludf.DUMMYFUNCTION("GOOGLETRANSLATE(E3246,""fr"",""it"")"),"Non mi piacciono gli occhiali, preferisco gli anelli.")</f>
        <v>Non mi piacciono gli occhiali, preferisco gli anelli.</v>
      </c>
    </row>
    <row r="3247">
      <c r="A3247" s="4">
        <v>3245.0</v>
      </c>
      <c r="B3247" s="5" t="s">
        <v>9742</v>
      </c>
      <c r="C3247" s="4">
        <v>1.0</v>
      </c>
      <c r="D3247" s="5" t="s">
        <v>9743</v>
      </c>
      <c r="E3247" s="5" t="s">
        <v>9744</v>
      </c>
      <c r="F3247" s="6" t="str">
        <f>IFERROR(__xludf.DUMMYFUNCTION("GOOGLETRANSLATE(D3247,""en"",""it"")"),"Non mi piacciono gli anelli, preferisco le scarpe.")</f>
        <v>Non mi piacciono gli anelli, preferisco le scarpe.</v>
      </c>
      <c r="G3247" s="6" t="str">
        <f>IFERROR(__xludf.DUMMYFUNCTION("GOOGLETRANSLATE(E3247,""fr"",""it"")"),"Non mi piacciono gli anelli, preferisco le scarpe.")</f>
        <v>Non mi piacciono gli anelli, preferisco le scarpe.</v>
      </c>
    </row>
    <row r="3248">
      <c r="A3248" s="4">
        <v>3246.0</v>
      </c>
      <c r="B3248" s="5" t="s">
        <v>9745</v>
      </c>
      <c r="C3248" s="4">
        <v>1.0</v>
      </c>
      <c r="D3248" s="5" t="s">
        <v>9746</v>
      </c>
      <c r="E3248" s="5" t="s">
        <v>9747</v>
      </c>
      <c r="F3248" s="6" t="str">
        <f>IFERROR(__xludf.DUMMYFUNCTION("GOOGLETRANSLATE(D3248,""en"",""it"")"),"Non mi piacciono le scarpe, preferisco gli anelli.")</f>
        <v>Non mi piacciono le scarpe, preferisco gli anelli.</v>
      </c>
      <c r="G3248" s="6" t="str">
        <f>IFERROR(__xludf.DUMMYFUNCTION("GOOGLETRANSLATE(E3248,""fr"",""it"")"),"Non mi piacciono le scarpe, preferisco gli anelli.")</f>
        <v>Non mi piacciono le scarpe, preferisco gli anelli.</v>
      </c>
    </row>
    <row r="3249">
      <c r="A3249" s="4">
        <v>3247.0</v>
      </c>
      <c r="B3249" s="5" t="s">
        <v>9748</v>
      </c>
      <c r="C3249" s="4">
        <v>1.0</v>
      </c>
      <c r="D3249" s="5" t="s">
        <v>9749</v>
      </c>
      <c r="E3249" s="5" t="s">
        <v>9750</v>
      </c>
      <c r="F3249" s="6" t="str">
        <f>IFERROR(__xludf.DUMMYFUNCTION("GOOGLETRANSLATE(D3249,""en"",""it"")"),"Non mi piacciono i gatti, preferisco le giraffe.")</f>
        <v>Non mi piacciono i gatti, preferisco le giraffe.</v>
      </c>
      <c r="G3249" s="6" t="str">
        <f>IFERROR(__xludf.DUMMYFUNCTION("GOOGLETRANSLATE(E3249,""fr"",""it"")"),"Non mi piacciono i gatti, preferisco le giraffe.")</f>
        <v>Non mi piacciono i gatti, preferisco le giraffe.</v>
      </c>
    </row>
    <row r="3250">
      <c r="A3250" s="4">
        <v>3248.0</v>
      </c>
      <c r="B3250" s="5" t="s">
        <v>9751</v>
      </c>
      <c r="C3250" s="4">
        <v>1.0</v>
      </c>
      <c r="D3250" s="5" t="s">
        <v>9752</v>
      </c>
      <c r="E3250" s="5" t="s">
        <v>9753</v>
      </c>
      <c r="F3250" s="6" t="str">
        <f>IFERROR(__xludf.DUMMYFUNCTION("GOOGLETRANSLATE(D3250,""en"",""it"")"),"Non mi piacciono le giraffe, preferisco i gatti.")</f>
        <v>Non mi piacciono le giraffe, preferisco i gatti.</v>
      </c>
      <c r="G3250" s="6" t="str">
        <f>IFERROR(__xludf.DUMMYFUNCTION("GOOGLETRANSLATE(E3250,""fr"",""it"")"),"Non mi piacciono le giraffe, preferisco i gatti.")</f>
        <v>Non mi piacciono le giraffe, preferisco i gatti.</v>
      </c>
    </row>
    <row r="3251">
      <c r="A3251" s="4">
        <v>3249.0</v>
      </c>
      <c r="B3251" s="5" t="s">
        <v>9754</v>
      </c>
      <c r="C3251" s="4">
        <v>0.0</v>
      </c>
      <c r="D3251" s="5" t="s">
        <v>9755</v>
      </c>
      <c r="E3251" s="5" t="s">
        <v>9756</v>
      </c>
      <c r="F3251" s="6" t="str">
        <f>IFERROR(__xludf.DUMMYFUNCTION("GOOGLETRANSLATE(D3251,""en"",""it"")"),"Non mi piacciono i gatti, preferisco gli animali domestici.")</f>
        <v>Non mi piacciono i gatti, preferisco gli animali domestici.</v>
      </c>
      <c r="G3251" s="6" t="str">
        <f>IFERROR(__xludf.DUMMYFUNCTION("GOOGLETRANSLATE(E3251,""fr"",""it"")"),"Non mi piacciono i gatti, preferisco gli animali domestici.")</f>
        <v>Non mi piacciono i gatti, preferisco gli animali domestici.</v>
      </c>
    </row>
    <row r="3252">
      <c r="A3252" s="4">
        <v>3250.0</v>
      </c>
      <c r="B3252" s="5" t="s">
        <v>9757</v>
      </c>
      <c r="C3252" s="4">
        <v>0.0</v>
      </c>
      <c r="D3252" s="5" t="s">
        <v>9758</v>
      </c>
      <c r="E3252" s="5" t="s">
        <v>9759</v>
      </c>
      <c r="F3252" s="6" t="str">
        <f>IFERROR(__xludf.DUMMYFUNCTION("GOOGLETRANSLATE(D3252,""en"",""it"")"),"Non mi piacciono gli animali domestici, preferisco i gatti.")</f>
        <v>Non mi piacciono gli animali domestici, preferisco i gatti.</v>
      </c>
      <c r="G3252" s="6" t="str">
        <f>IFERROR(__xludf.DUMMYFUNCTION("GOOGLETRANSLATE(E3252,""fr"",""it"")"),"Non mi piacciono gli animali domestici, preferisco i gatti.")</f>
        <v>Non mi piacciono gli animali domestici, preferisco i gatti.</v>
      </c>
    </row>
    <row r="3253">
      <c r="A3253" s="4">
        <v>3251.0</v>
      </c>
      <c r="B3253" s="5" t="s">
        <v>9760</v>
      </c>
      <c r="C3253" s="4">
        <v>1.0</v>
      </c>
      <c r="D3253" s="5" t="s">
        <v>9761</v>
      </c>
      <c r="E3253" s="5" t="s">
        <v>9762</v>
      </c>
      <c r="F3253" s="6" t="str">
        <f>IFERROR(__xludf.DUMMYFUNCTION("GOOGLETRANSLATE(D3253,""en"",""it"")"),"Non mi piacciono gli animali domestici, preferisco le giraffe.")</f>
        <v>Non mi piacciono gli animali domestici, preferisco le giraffe.</v>
      </c>
      <c r="G3253" s="6" t="str">
        <f>IFERROR(__xludf.DUMMYFUNCTION("GOOGLETRANSLATE(E3253,""fr"",""it"")"),"Non mi piacciono gli animali domestici, preferisco le giraffe.")</f>
        <v>Non mi piacciono gli animali domestici, preferisco le giraffe.</v>
      </c>
    </row>
    <row r="3254">
      <c r="A3254" s="4">
        <v>3252.0</v>
      </c>
      <c r="B3254" s="5" t="s">
        <v>9763</v>
      </c>
      <c r="C3254" s="4">
        <v>1.0</v>
      </c>
      <c r="D3254" s="5" t="s">
        <v>9764</v>
      </c>
      <c r="E3254" s="5" t="s">
        <v>9765</v>
      </c>
      <c r="F3254" s="6" t="str">
        <f>IFERROR(__xludf.DUMMYFUNCTION("GOOGLETRANSLATE(D3254,""en"",""it"")"),"Non mi piacciono i gatti, preferisco gli orsi.")</f>
        <v>Non mi piacciono i gatti, preferisco gli orsi.</v>
      </c>
      <c r="G3254" s="6" t="str">
        <f>IFERROR(__xludf.DUMMYFUNCTION("GOOGLETRANSLATE(E3254,""fr"",""it"")"),"Non mi piacciono i gatti, preferisco gli orsi.")</f>
        <v>Non mi piacciono i gatti, preferisco gli orsi.</v>
      </c>
    </row>
    <row r="3255">
      <c r="A3255" s="4">
        <v>3253.0</v>
      </c>
      <c r="B3255" s="5" t="s">
        <v>9766</v>
      </c>
      <c r="C3255" s="4">
        <v>1.0</v>
      </c>
      <c r="D3255" s="5" t="s">
        <v>9767</v>
      </c>
      <c r="E3255" s="5" t="s">
        <v>9768</v>
      </c>
      <c r="F3255" s="6" t="str">
        <f>IFERROR(__xludf.DUMMYFUNCTION("GOOGLETRANSLATE(D3255,""en"",""it"")"),"Non mi piacciono gli orsi, preferisco i gatti.")</f>
        <v>Non mi piacciono gli orsi, preferisco i gatti.</v>
      </c>
      <c r="G3255" s="6" t="str">
        <f>IFERROR(__xludf.DUMMYFUNCTION("GOOGLETRANSLATE(E3255,""fr"",""it"")"),"Non mi piacciono gli orsi, preferisco i gatti.")</f>
        <v>Non mi piacciono gli orsi, preferisco i gatti.</v>
      </c>
    </row>
    <row r="3256">
      <c r="A3256" s="4">
        <v>3254.0</v>
      </c>
      <c r="B3256" s="5" t="s">
        <v>9769</v>
      </c>
      <c r="C3256" s="4">
        <v>1.0</v>
      </c>
      <c r="D3256" s="5" t="s">
        <v>9770</v>
      </c>
      <c r="E3256" s="5" t="s">
        <v>9771</v>
      </c>
      <c r="F3256" s="6" t="str">
        <f>IFERROR(__xludf.DUMMYFUNCTION("GOOGLETRANSLATE(D3256,""en"",""it"")"),"Non mi piacciono gli animali domestici, preferisco gli orsi.")</f>
        <v>Non mi piacciono gli animali domestici, preferisco gli orsi.</v>
      </c>
      <c r="G3256" s="6" t="str">
        <f>IFERROR(__xludf.DUMMYFUNCTION("GOOGLETRANSLATE(E3256,""fr"",""it"")"),"Non mi piacciono gli animali domestici, preferisco gli orsi.")</f>
        <v>Non mi piacciono gli animali domestici, preferisco gli orsi.</v>
      </c>
    </row>
    <row r="3257">
      <c r="A3257" s="4">
        <v>3255.0</v>
      </c>
      <c r="B3257" s="5" t="s">
        <v>9772</v>
      </c>
      <c r="C3257" s="4">
        <v>1.0</v>
      </c>
      <c r="D3257" s="5" t="s">
        <v>9773</v>
      </c>
      <c r="E3257" s="5" t="s">
        <v>9774</v>
      </c>
      <c r="F3257" s="6" t="str">
        <f>IFERROR(__xludf.DUMMYFUNCTION("GOOGLETRANSLATE(D3257,""en"",""it"")"),"Non mi piacciono i gatti, preferisco meduse.")</f>
        <v>Non mi piacciono i gatti, preferisco meduse.</v>
      </c>
      <c r="G3257" s="6" t="str">
        <f>IFERROR(__xludf.DUMMYFUNCTION("GOOGLETRANSLATE(E3257,""fr"",""it"")"),"Non mi piacciono i gatti, preferisco la medusa.")</f>
        <v>Non mi piacciono i gatti, preferisco la medusa.</v>
      </c>
    </row>
    <row r="3258">
      <c r="A3258" s="4">
        <v>3256.0</v>
      </c>
      <c r="B3258" s="5" t="s">
        <v>9775</v>
      </c>
      <c r="C3258" s="4">
        <v>1.0</v>
      </c>
      <c r="D3258" s="5" t="s">
        <v>9776</v>
      </c>
      <c r="E3258" s="5" t="s">
        <v>9777</v>
      </c>
      <c r="F3258" s="6" t="str">
        <f>IFERROR(__xludf.DUMMYFUNCTION("GOOGLETRANSLATE(D3258,""en"",""it"")"),"Non mi piacciono le meduse, preferisco i gatti.")</f>
        <v>Non mi piacciono le meduse, preferisco i gatti.</v>
      </c>
      <c r="G3258" s="6" t="str">
        <f>IFERROR(__xludf.DUMMYFUNCTION("GOOGLETRANSLATE(E3258,""fr"",""it"")"),"Non mi piace la medusa, preferisco i gatti.")</f>
        <v>Non mi piace la medusa, preferisco i gatti.</v>
      </c>
    </row>
    <row r="3259">
      <c r="A3259" s="4">
        <v>3257.0</v>
      </c>
      <c r="B3259" s="5" t="s">
        <v>9778</v>
      </c>
      <c r="C3259" s="4">
        <v>1.0</v>
      </c>
      <c r="D3259" s="5" t="s">
        <v>9779</v>
      </c>
      <c r="E3259" s="5" t="s">
        <v>9780</v>
      </c>
      <c r="F3259" s="6" t="str">
        <f>IFERROR(__xludf.DUMMYFUNCTION("GOOGLETRANSLATE(D3259,""en"",""it"")"),"Non mi piacciono gli animali domestici, preferisco meduse.")</f>
        <v>Non mi piacciono gli animali domestici, preferisco meduse.</v>
      </c>
      <c r="G3259" s="6" t="str">
        <f>IFERROR(__xludf.DUMMYFUNCTION("GOOGLETRANSLATE(E3259,""fr"",""it"")"),"Non mi piacciono gli animali domestici, preferisco la medusa.")</f>
        <v>Non mi piacciono gli animali domestici, preferisco la medusa.</v>
      </c>
    </row>
    <row r="3260">
      <c r="A3260" s="4">
        <v>3258.0</v>
      </c>
      <c r="B3260" s="5" t="s">
        <v>9781</v>
      </c>
      <c r="C3260" s="4">
        <v>1.0</v>
      </c>
      <c r="D3260" s="5" t="s">
        <v>9782</v>
      </c>
      <c r="E3260" s="5" t="s">
        <v>9783</v>
      </c>
      <c r="F3260" s="6" t="str">
        <f>IFERROR(__xludf.DUMMYFUNCTION("GOOGLETRANSLATE(D3260,""en"",""it"")"),"Non mi piacciono i gatti, preferisco le balene.")</f>
        <v>Non mi piacciono i gatti, preferisco le balene.</v>
      </c>
      <c r="G3260" s="6" t="str">
        <f>IFERROR(__xludf.DUMMYFUNCTION("GOOGLETRANSLATE(E3260,""fr"",""it"")"),"Non mi piacciono i gatti, preferisco le balene.")</f>
        <v>Non mi piacciono i gatti, preferisco le balene.</v>
      </c>
    </row>
    <row r="3261">
      <c r="A3261" s="4">
        <v>3259.0</v>
      </c>
      <c r="B3261" s="5" t="s">
        <v>9784</v>
      </c>
      <c r="C3261" s="4">
        <v>1.0</v>
      </c>
      <c r="D3261" s="5" t="s">
        <v>9785</v>
      </c>
      <c r="E3261" s="5" t="s">
        <v>9786</v>
      </c>
      <c r="F3261" s="6" t="str">
        <f>IFERROR(__xludf.DUMMYFUNCTION("GOOGLETRANSLATE(D3261,""en"",""it"")"),"Non mi piacciono le balene, preferisco i gatti.")</f>
        <v>Non mi piacciono le balene, preferisco i gatti.</v>
      </c>
      <c r="G3261" s="6" t="str">
        <f>IFERROR(__xludf.DUMMYFUNCTION("GOOGLETRANSLATE(E3261,""fr"",""it"")"),"Non mi piacciono le balene, preferisco i gatti.")</f>
        <v>Non mi piacciono le balene, preferisco i gatti.</v>
      </c>
    </row>
    <row r="3262">
      <c r="A3262" s="4">
        <v>3260.0</v>
      </c>
      <c r="B3262" s="5" t="s">
        <v>9787</v>
      </c>
      <c r="C3262" s="4">
        <v>1.0</v>
      </c>
      <c r="D3262" s="5" t="s">
        <v>9788</v>
      </c>
      <c r="E3262" s="5" t="s">
        <v>9789</v>
      </c>
      <c r="F3262" s="6" t="str">
        <f>IFERROR(__xludf.DUMMYFUNCTION("GOOGLETRANSLATE(D3262,""en"",""it"")"),"Non mi piacciono gli animali domestici, preferisco le balene.")</f>
        <v>Non mi piacciono gli animali domestici, preferisco le balene.</v>
      </c>
      <c r="G3262" s="6" t="str">
        <f>IFERROR(__xludf.DUMMYFUNCTION("GOOGLETRANSLATE(E3262,""fr"",""it"")"),"Non mi piacciono gli animali domestici, preferisco le balene.")</f>
        <v>Non mi piacciono gli animali domestici, preferisco le balene.</v>
      </c>
    </row>
    <row r="3263">
      <c r="A3263" s="4">
        <v>3261.0</v>
      </c>
      <c r="B3263" s="5" t="s">
        <v>9790</v>
      </c>
      <c r="C3263" s="4">
        <v>1.0</v>
      </c>
      <c r="D3263" s="5" t="s">
        <v>9791</v>
      </c>
      <c r="E3263" s="5" t="s">
        <v>9792</v>
      </c>
      <c r="F3263" s="6" t="str">
        <f>IFERROR(__xludf.DUMMYFUNCTION("GOOGLETRANSLATE(D3263,""en"",""it"")"),"Non mi piacciono i cani, preferisco le giraffe.")</f>
        <v>Non mi piacciono i cani, preferisco le giraffe.</v>
      </c>
      <c r="G3263" s="6" t="str">
        <f>IFERROR(__xludf.DUMMYFUNCTION("GOOGLETRANSLATE(E3263,""fr"",""it"")"),"Non mi piacciono i cani, preferisco le giraffe.")</f>
        <v>Non mi piacciono i cani, preferisco le giraffe.</v>
      </c>
    </row>
    <row r="3264">
      <c r="A3264" s="4">
        <v>3262.0</v>
      </c>
      <c r="B3264" s="5" t="s">
        <v>9793</v>
      </c>
      <c r="C3264" s="4">
        <v>1.0</v>
      </c>
      <c r="D3264" s="5" t="s">
        <v>9794</v>
      </c>
      <c r="E3264" s="5" t="s">
        <v>9795</v>
      </c>
      <c r="F3264" s="6" t="str">
        <f>IFERROR(__xludf.DUMMYFUNCTION("GOOGLETRANSLATE(D3264,""en"",""it"")"),"Non mi piacciono le giraffe, preferisco i cani.")</f>
        <v>Non mi piacciono le giraffe, preferisco i cani.</v>
      </c>
      <c r="G3264" s="6" t="str">
        <f>IFERROR(__xludf.DUMMYFUNCTION("GOOGLETRANSLATE(E3264,""fr"",""it"")"),"Non mi piacciono le giraffe, preferisco i cani.")</f>
        <v>Non mi piacciono le giraffe, preferisco i cani.</v>
      </c>
    </row>
    <row r="3265">
      <c r="A3265" s="4">
        <v>3263.0</v>
      </c>
      <c r="B3265" s="5" t="s">
        <v>9796</v>
      </c>
      <c r="C3265" s="4">
        <v>0.0</v>
      </c>
      <c r="D3265" s="5" t="s">
        <v>9797</v>
      </c>
      <c r="E3265" s="5" t="s">
        <v>9798</v>
      </c>
      <c r="F3265" s="6" t="str">
        <f>IFERROR(__xludf.DUMMYFUNCTION("GOOGLETRANSLATE(D3265,""en"",""it"")"),"Non mi piacciono i cani, preferisco gli animali domestici.")</f>
        <v>Non mi piacciono i cani, preferisco gli animali domestici.</v>
      </c>
      <c r="G3265" s="6" t="str">
        <f>IFERROR(__xludf.DUMMYFUNCTION("GOOGLETRANSLATE(E3265,""fr"",""it"")"),"Non mi piacciono i cani, preferisco gli animali domestici.")</f>
        <v>Non mi piacciono i cani, preferisco gli animali domestici.</v>
      </c>
    </row>
    <row r="3266">
      <c r="A3266" s="4">
        <v>3264.0</v>
      </c>
      <c r="B3266" s="5" t="s">
        <v>9799</v>
      </c>
      <c r="C3266" s="4">
        <v>0.0</v>
      </c>
      <c r="D3266" s="5" t="s">
        <v>9800</v>
      </c>
      <c r="E3266" s="5" t="s">
        <v>9801</v>
      </c>
      <c r="F3266" s="6" t="str">
        <f>IFERROR(__xludf.DUMMYFUNCTION("GOOGLETRANSLATE(D3266,""en"",""it"")"),"Non mi piacciono gli animali domestici, preferisco i cani.")</f>
        <v>Non mi piacciono gli animali domestici, preferisco i cani.</v>
      </c>
      <c r="G3266" s="6" t="str">
        <f>IFERROR(__xludf.DUMMYFUNCTION("GOOGLETRANSLATE(E3266,""fr"",""it"")"),"Non mi piacciono gli animali domestici, preferisco i cani.")</f>
        <v>Non mi piacciono gli animali domestici, preferisco i cani.</v>
      </c>
    </row>
    <row r="3267">
      <c r="A3267" s="4">
        <v>3265.0</v>
      </c>
      <c r="B3267" s="5" t="s">
        <v>9802</v>
      </c>
      <c r="C3267" s="4">
        <v>1.0</v>
      </c>
      <c r="D3267" s="5" t="s">
        <v>9803</v>
      </c>
      <c r="E3267" s="5" t="s">
        <v>9804</v>
      </c>
      <c r="F3267" s="6" t="str">
        <f>IFERROR(__xludf.DUMMYFUNCTION("GOOGLETRANSLATE(D3267,""en"",""it"")"),"Non mi piacciono i cani, preferisco gli orsi.")</f>
        <v>Non mi piacciono i cani, preferisco gli orsi.</v>
      </c>
      <c r="G3267" s="6" t="str">
        <f>IFERROR(__xludf.DUMMYFUNCTION("GOOGLETRANSLATE(E3267,""fr"",""it"")"),"Non mi piacciono i cani, preferisco gli orsi.")</f>
        <v>Non mi piacciono i cani, preferisco gli orsi.</v>
      </c>
    </row>
    <row r="3268">
      <c r="A3268" s="4">
        <v>3266.0</v>
      </c>
      <c r="B3268" s="5" t="s">
        <v>9805</v>
      </c>
      <c r="C3268" s="4">
        <v>1.0</v>
      </c>
      <c r="D3268" s="5" t="s">
        <v>9806</v>
      </c>
      <c r="E3268" s="5" t="s">
        <v>9807</v>
      </c>
      <c r="F3268" s="6" t="str">
        <f>IFERROR(__xludf.DUMMYFUNCTION("GOOGLETRANSLATE(D3268,""en"",""it"")"),"Non mi piacciono gli orsi, preferisco i cani.")</f>
        <v>Non mi piacciono gli orsi, preferisco i cani.</v>
      </c>
      <c r="G3268" s="6" t="str">
        <f>IFERROR(__xludf.DUMMYFUNCTION("GOOGLETRANSLATE(E3268,""fr"",""it"")"),"Non mi piacciono gli orsi, preferisco i cani.")</f>
        <v>Non mi piacciono gli orsi, preferisco i cani.</v>
      </c>
    </row>
    <row r="3269">
      <c r="A3269" s="4">
        <v>3267.0</v>
      </c>
      <c r="B3269" s="5" t="s">
        <v>9808</v>
      </c>
      <c r="C3269" s="4">
        <v>1.0</v>
      </c>
      <c r="D3269" s="5" t="s">
        <v>9809</v>
      </c>
      <c r="E3269" s="5" t="s">
        <v>9810</v>
      </c>
      <c r="F3269" s="6" t="str">
        <f>IFERROR(__xludf.DUMMYFUNCTION("GOOGLETRANSLATE(D3269,""en"",""it"")"),"Non mi piacciono i cani, preferisco meduse.")</f>
        <v>Non mi piacciono i cani, preferisco meduse.</v>
      </c>
      <c r="G3269" s="6" t="str">
        <f>IFERROR(__xludf.DUMMYFUNCTION("GOOGLETRANSLATE(E3269,""fr"",""it"")"),"Non mi piacciono i cani, preferisco la medusa.")</f>
        <v>Non mi piacciono i cani, preferisco la medusa.</v>
      </c>
    </row>
    <row r="3270">
      <c r="A3270" s="4">
        <v>3268.0</v>
      </c>
      <c r="B3270" s="5" t="s">
        <v>9811</v>
      </c>
      <c r="C3270" s="4">
        <v>1.0</v>
      </c>
      <c r="D3270" s="5" t="s">
        <v>9812</v>
      </c>
      <c r="E3270" s="5" t="s">
        <v>9813</v>
      </c>
      <c r="F3270" s="6" t="str">
        <f>IFERROR(__xludf.DUMMYFUNCTION("GOOGLETRANSLATE(D3270,""en"",""it"")"),"Non mi piacciono le meduse, preferisco i cani.")</f>
        <v>Non mi piacciono le meduse, preferisco i cani.</v>
      </c>
      <c r="G3270" s="6" t="str">
        <f>IFERROR(__xludf.DUMMYFUNCTION("GOOGLETRANSLATE(E3270,""fr"",""it"")"),"Non mi piacciono le meduse, preferisco i cani.")</f>
        <v>Non mi piacciono le meduse, preferisco i cani.</v>
      </c>
    </row>
    <row r="3271">
      <c r="A3271" s="4">
        <v>3269.0</v>
      </c>
      <c r="B3271" s="5" t="s">
        <v>9814</v>
      </c>
      <c r="C3271" s="4">
        <v>1.0</v>
      </c>
      <c r="D3271" s="5" t="s">
        <v>9815</v>
      </c>
      <c r="E3271" s="5" t="s">
        <v>9816</v>
      </c>
      <c r="F3271" s="6" t="str">
        <f>IFERROR(__xludf.DUMMYFUNCTION("GOOGLETRANSLATE(D3271,""en"",""it"")"),"Non mi piacciono i cani, preferisco le balene.")</f>
        <v>Non mi piacciono i cani, preferisco le balene.</v>
      </c>
      <c r="G3271" s="6" t="str">
        <f>IFERROR(__xludf.DUMMYFUNCTION("GOOGLETRANSLATE(E3271,""fr"",""it"")"),"Non mi piacciono i cani, preferisco le balene.")</f>
        <v>Non mi piacciono i cani, preferisco le balene.</v>
      </c>
    </row>
    <row r="3272">
      <c r="A3272" s="4">
        <v>3270.0</v>
      </c>
      <c r="B3272" s="5" t="s">
        <v>9817</v>
      </c>
      <c r="C3272" s="4">
        <v>1.0</v>
      </c>
      <c r="D3272" s="5" t="s">
        <v>9818</v>
      </c>
      <c r="E3272" s="5" t="s">
        <v>9819</v>
      </c>
      <c r="F3272" s="6" t="str">
        <f>IFERROR(__xludf.DUMMYFUNCTION("GOOGLETRANSLATE(D3272,""en"",""it"")"),"Non mi piacciono le balene, preferisco i cani.")</f>
        <v>Non mi piacciono le balene, preferisco i cani.</v>
      </c>
      <c r="G3272" s="6" t="str">
        <f>IFERROR(__xludf.DUMMYFUNCTION("GOOGLETRANSLATE(E3272,""fr"",""it"")"),"Non mi piacciono le balene, preferisco i cani.")</f>
        <v>Non mi piacciono le balene, preferisco i cani.</v>
      </c>
    </row>
    <row r="3273">
      <c r="A3273" s="4">
        <v>3271.0</v>
      </c>
      <c r="B3273" s="5" t="s">
        <v>9820</v>
      </c>
      <c r="C3273" s="4">
        <v>1.0</v>
      </c>
      <c r="D3273" s="5" t="s">
        <v>9821</v>
      </c>
      <c r="E3273" s="5" t="s">
        <v>9822</v>
      </c>
      <c r="F3273" s="6" t="str">
        <f>IFERROR(__xludf.DUMMYFUNCTION("GOOGLETRANSLATE(D3273,""en"",""it"")"),"Non mi piacciono i conigli, preferisco le giraffe.")</f>
        <v>Non mi piacciono i conigli, preferisco le giraffe.</v>
      </c>
      <c r="G3273" s="6" t="str">
        <f>IFERROR(__xludf.DUMMYFUNCTION("GOOGLETRANSLATE(E3273,""fr"",""it"")"),"Non mi piacciono i conigli, preferisco le giraffe.")</f>
        <v>Non mi piacciono i conigli, preferisco le giraffe.</v>
      </c>
    </row>
    <row r="3274">
      <c r="A3274" s="4">
        <v>3272.0</v>
      </c>
      <c r="B3274" s="5" t="s">
        <v>9823</v>
      </c>
      <c r="C3274" s="4">
        <v>1.0</v>
      </c>
      <c r="D3274" s="5" t="s">
        <v>9824</v>
      </c>
      <c r="E3274" s="5" t="s">
        <v>9825</v>
      </c>
      <c r="F3274" s="6" t="str">
        <f>IFERROR(__xludf.DUMMYFUNCTION("GOOGLETRANSLATE(D3274,""en"",""it"")"),"Non mi piacciono le giraffe, preferisco i conigli.")</f>
        <v>Non mi piacciono le giraffe, preferisco i conigli.</v>
      </c>
      <c r="G3274" s="6" t="str">
        <f>IFERROR(__xludf.DUMMYFUNCTION("GOOGLETRANSLATE(E3274,""fr"",""it"")"),"Non mi piacciono le giraffe, preferisco i conigli.")</f>
        <v>Non mi piacciono le giraffe, preferisco i conigli.</v>
      </c>
    </row>
    <row r="3275">
      <c r="A3275" s="4">
        <v>3273.0</v>
      </c>
      <c r="B3275" s="5" t="s">
        <v>9826</v>
      </c>
      <c r="C3275" s="4">
        <v>0.0</v>
      </c>
      <c r="D3275" s="5" t="s">
        <v>9827</v>
      </c>
      <c r="E3275" s="5" t="s">
        <v>9828</v>
      </c>
      <c r="F3275" s="6" t="str">
        <f>IFERROR(__xludf.DUMMYFUNCTION("GOOGLETRANSLATE(D3275,""en"",""it"")"),"Non mi piacciono i conigli, preferisco gli animali domestici.")</f>
        <v>Non mi piacciono i conigli, preferisco gli animali domestici.</v>
      </c>
      <c r="G3275" s="6" t="str">
        <f>IFERROR(__xludf.DUMMYFUNCTION("GOOGLETRANSLATE(E3275,""fr"",""it"")"),"Non mi piacciono i conigli, preferisco gli animali domestici.")</f>
        <v>Non mi piacciono i conigli, preferisco gli animali domestici.</v>
      </c>
    </row>
    <row r="3276">
      <c r="A3276" s="4">
        <v>3274.0</v>
      </c>
      <c r="B3276" s="5" t="s">
        <v>9829</v>
      </c>
      <c r="C3276" s="4">
        <v>0.0</v>
      </c>
      <c r="D3276" s="5" t="s">
        <v>9830</v>
      </c>
      <c r="E3276" s="5" t="s">
        <v>9831</v>
      </c>
      <c r="F3276" s="6" t="str">
        <f>IFERROR(__xludf.DUMMYFUNCTION("GOOGLETRANSLATE(D3276,""en"",""it"")"),"Non mi piacciono gli animali domestici, preferisco i conigli.")</f>
        <v>Non mi piacciono gli animali domestici, preferisco i conigli.</v>
      </c>
      <c r="G3276" s="6" t="str">
        <f>IFERROR(__xludf.DUMMYFUNCTION("GOOGLETRANSLATE(E3276,""fr"",""it"")"),"Non mi piacciono gli animali domestici, preferisco i conigli.")</f>
        <v>Non mi piacciono gli animali domestici, preferisco i conigli.</v>
      </c>
    </row>
    <row r="3277">
      <c r="A3277" s="4">
        <v>3275.0</v>
      </c>
      <c r="B3277" s="5" t="s">
        <v>9832</v>
      </c>
      <c r="C3277" s="4">
        <v>1.0</v>
      </c>
      <c r="D3277" s="5" t="s">
        <v>9833</v>
      </c>
      <c r="E3277" s="5" t="s">
        <v>9834</v>
      </c>
      <c r="F3277" s="6" t="str">
        <f>IFERROR(__xludf.DUMMYFUNCTION("GOOGLETRANSLATE(D3277,""en"",""it"")"),"Non mi piacciono i conigli, preferisco gli orsi.")</f>
        <v>Non mi piacciono i conigli, preferisco gli orsi.</v>
      </c>
      <c r="G3277" s="6" t="str">
        <f>IFERROR(__xludf.DUMMYFUNCTION("GOOGLETRANSLATE(E3277,""fr"",""it"")"),"Non mi piacciono i conigli, preferisco gli orsi.")</f>
        <v>Non mi piacciono i conigli, preferisco gli orsi.</v>
      </c>
    </row>
    <row r="3278">
      <c r="A3278" s="4">
        <v>3276.0</v>
      </c>
      <c r="B3278" s="5" t="s">
        <v>9835</v>
      </c>
      <c r="C3278" s="4">
        <v>1.0</v>
      </c>
      <c r="D3278" s="5" t="s">
        <v>9836</v>
      </c>
      <c r="E3278" s="5" t="s">
        <v>9837</v>
      </c>
      <c r="F3278" s="6" t="str">
        <f>IFERROR(__xludf.DUMMYFUNCTION("GOOGLETRANSLATE(D3278,""en"",""it"")"),"Non mi piacciono gli orsi, preferisco i conigli.")</f>
        <v>Non mi piacciono gli orsi, preferisco i conigli.</v>
      </c>
      <c r="G3278" s="6" t="str">
        <f>IFERROR(__xludf.DUMMYFUNCTION("GOOGLETRANSLATE(E3278,""fr"",""it"")"),"Non mi piacciono gli orsi, preferisco i conigli.")</f>
        <v>Non mi piacciono gli orsi, preferisco i conigli.</v>
      </c>
    </row>
    <row r="3279">
      <c r="A3279" s="4">
        <v>3277.0</v>
      </c>
      <c r="B3279" s="5" t="s">
        <v>9838</v>
      </c>
      <c r="C3279" s="4">
        <v>1.0</v>
      </c>
      <c r="D3279" s="5" t="s">
        <v>9839</v>
      </c>
      <c r="E3279" s="5" t="s">
        <v>9840</v>
      </c>
      <c r="F3279" s="6" t="str">
        <f>IFERROR(__xludf.DUMMYFUNCTION("GOOGLETRANSLATE(D3279,""en"",""it"")"),"Non mi piacciono i conigli, preferisco meduse.")</f>
        <v>Non mi piacciono i conigli, preferisco meduse.</v>
      </c>
      <c r="G3279" s="6" t="str">
        <f>IFERROR(__xludf.DUMMYFUNCTION("GOOGLETRANSLATE(E3279,""fr"",""it"")"),"Non mi piacciono i conigli, preferisco la medusa.")</f>
        <v>Non mi piacciono i conigli, preferisco la medusa.</v>
      </c>
    </row>
    <row r="3280">
      <c r="A3280" s="4">
        <v>3278.0</v>
      </c>
      <c r="B3280" s="5" t="s">
        <v>9841</v>
      </c>
      <c r="C3280" s="4">
        <v>1.0</v>
      </c>
      <c r="D3280" s="5" t="s">
        <v>9842</v>
      </c>
      <c r="E3280" s="5" t="s">
        <v>9843</v>
      </c>
      <c r="F3280" s="6" t="str">
        <f>IFERROR(__xludf.DUMMYFUNCTION("GOOGLETRANSLATE(D3280,""en"",""it"")"),"Non mi piacciono le meduse, preferisco i conigli.")</f>
        <v>Non mi piacciono le meduse, preferisco i conigli.</v>
      </c>
      <c r="G3280" s="6" t="str">
        <f>IFERROR(__xludf.DUMMYFUNCTION("GOOGLETRANSLATE(E3280,""fr"",""it"")"),"Non mi piace la medusa, preferisco i conigli.")</f>
        <v>Non mi piace la medusa, preferisco i conigli.</v>
      </c>
    </row>
    <row r="3281">
      <c r="A3281" s="4">
        <v>3279.0</v>
      </c>
      <c r="B3281" s="5" t="s">
        <v>9844</v>
      </c>
      <c r="C3281" s="4">
        <v>1.0</v>
      </c>
      <c r="D3281" s="5" t="s">
        <v>9845</v>
      </c>
      <c r="E3281" s="5" t="s">
        <v>9846</v>
      </c>
      <c r="F3281" s="6" t="str">
        <f>IFERROR(__xludf.DUMMYFUNCTION("GOOGLETRANSLATE(D3281,""en"",""it"")"),"Non mi piacciono i conigli, preferisco le balene.")</f>
        <v>Non mi piacciono i conigli, preferisco le balene.</v>
      </c>
      <c r="G3281" s="6" t="str">
        <f>IFERROR(__xludf.DUMMYFUNCTION("GOOGLETRANSLATE(E3281,""fr"",""it"")"),"Non mi piacciono i conigli, preferisco le balene.")</f>
        <v>Non mi piacciono i conigli, preferisco le balene.</v>
      </c>
    </row>
    <row r="3282">
      <c r="A3282" s="4">
        <v>3280.0</v>
      </c>
      <c r="B3282" s="5" t="s">
        <v>9847</v>
      </c>
      <c r="C3282" s="4">
        <v>1.0</v>
      </c>
      <c r="D3282" s="5" t="s">
        <v>9848</v>
      </c>
      <c r="E3282" s="5" t="s">
        <v>9849</v>
      </c>
      <c r="F3282" s="6" t="str">
        <f>IFERROR(__xludf.DUMMYFUNCTION("GOOGLETRANSLATE(D3282,""en"",""it"")"),"Non mi piacciono le balene, preferisco i conigli.")</f>
        <v>Non mi piacciono le balene, preferisco i conigli.</v>
      </c>
      <c r="G3282" s="6" t="str">
        <f>IFERROR(__xludf.DUMMYFUNCTION("GOOGLETRANSLATE(E3282,""fr"",""it"")"),"Non mi piacciono le balene, preferisco i conigli.")</f>
        <v>Non mi piacciono le balene, preferisco i conigli.</v>
      </c>
    </row>
    <row r="3283">
      <c r="A3283" s="4">
        <v>3281.0</v>
      </c>
      <c r="B3283" s="5" t="s">
        <v>9850</v>
      </c>
      <c r="C3283" s="4">
        <v>1.0</v>
      </c>
      <c r="D3283" s="5" t="s">
        <v>9851</v>
      </c>
      <c r="E3283" s="5" t="s">
        <v>9852</v>
      </c>
      <c r="F3283" s="6" t="str">
        <f>IFERROR(__xludf.DUMMYFUNCTION("GOOGLETRANSLATE(D3283,""en"",""it"")"),"Non mi piacciono i criceti, preferisco le giraffe.")</f>
        <v>Non mi piacciono i criceti, preferisco le giraffe.</v>
      </c>
      <c r="G3283" s="6" t="str">
        <f>IFERROR(__xludf.DUMMYFUNCTION("GOOGLETRANSLATE(E3283,""fr"",""it"")"),"Non mi piacciono i criceti, preferisco le giraffe.")</f>
        <v>Non mi piacciono i criceti, preferisco le giraffe.</v>
      </c>
    </row>
    <row r="3284">
      <c r="A3284" s="4">
        <v>3282.0</v>
      </c>
      <c r="B3284" s="5" t="s">
        <v>9853</v>
      </c>
      <c r="C3284" s="4">
        <v>1.0</v>
      </c>
      <c r="D3284" s="5" t="s">
        <v>9854</v>
      </c>
      <c r="E3284" s="5" t="s">
        <v>9855</v>
      </c>
      <c r="F3284" s="6" t="str">
        <f>IFERROR(__xludf.DUMMYFUNCTION("GOOGLETRANSLATE(D3284,""en"",""it"")"),"Non mi piacciono le giraffe, preferisco i criceti.")</f>
        <v>Non mi piacciono le giraffe, preferisco i criceti.</v>
      </c>
      <c r="G3284" s="6" t="str">
        <f>IFERROR(__xludf.DUMMYFUNCTION("GOOGLETRANSLATE(E3284,""fr"",""it"")"),"Non mi piacciono le giraffe, preferisco i criceti.")</f>
        <v>Non mi piacciono le giraffe, preferisco i criceti.</v>
      </c>
    </row>
    <row r="3285">
      <c r="A3285" s="4">
        <v>3283.0</v>
      </c>
      <c r="B3285" s="5" t="s">
        <v>9856</v>
      </c>
      <c r="C3285" s="4">
        <v>0.0</v>
      </c>
      <c r="D3285" s="5" t="s">
        <v>9857</v>
      </c>
      <c r="E3285" s="5" t="s">
        <v>9858</v>
      </c>
      <c r="F3285" s="6" t="str">
        <f>IFERROR(__xludf.DUMMYFUNCTION("GOOGLETRANSLATE(D3285,""en"",""it"")"),"Non mi piacciono i criceti, preferisco gli animali domestici.")</f>
        <v>Non mi piacciono i criceti, preferisco gli animali domestici.</v>
      </c>
      <c r="G3285" s="6" t="str">
        <f>IFERROR(__xludf.DUMMYFUNCTION("GOOGLETRANSLATE(E3285,""fr"",""it"")"),"Non mi piacciono i criceti, preferisco gli animali domestici.")</f>
        <v>Non mi piacciono i criceti, preferisco gli animali domestici.</v>
      </c>
    </row>
    <row r="3286">
      <c r="A3286" s="4">
        <v>3284.0</v>
      </c>
      <c r="B3286" s="5" t="s">
        <v>9859</v>
      </c>
      <c r="C3286" s="4">
        <v>0.0</v>
      </c>
      <c r="D3286" s="5" t="s">
        <v>9860</v>
      </c>
      <c r="E3286" s="5" t="s">
        <v>9861</v>
      </c>
      <c r="F3286" s="6" t="str">
        <f>IFERROR(__xludf.DUMMYFUNCTION("GOOGLETRANSLATE(D3286,""en"",""it"")"),"Non mi piacciono gli animali domestici, preferisco i criceti.")</f>
        <v>Non mi piacciono gli animali domestici, preferisco i criceti.</v>
      </c>
      <c r="G3286" s="6" t="str">
        <f>IFERROR(__xludf.DUMMYFUNCTION("GOOGLETRANSLATE(E3286,""fr"",""it"")"),"Non mi piacciono gli animali domestici, preferisco i criceti.")</f>
        <v>Non mi piacciono gli animali domestici, preferisco i criceti.</v>
      </c>
    </row>
    <row r="3287">
      <c r="A3287" s="4">
        <v>3285.0</v>
      </c>
      <c r="B3287" s="5" t="s">
        <v>9862</v>
      </c>
      <c r="C3287" s="4">
        <v>1.0</v>
      </c>
      <c r="D3287" s="5" t="s">
        <v>9863</v>
      </c>
      <c r="E3287" s="5" t="s">
        <v>9864</v>
      </c>
      <c r="F3287" s="6" t="str">
        <f>IFERROR(__xludf.DUMMYFUNCTION("GOOGLETRANSLATE(D3287,""en"",""it"")"),"Non mi piacciono i criceti, preferisco gli orsi.")</f>
        <v>Non mi piacciono i criceti, preferisco gli orsi.</v>
      </c>
      <c r="G3287" s="6" t="str">
        <f>IFERROR(__xludf.DUMMYFUNCTION("GOOGLETRANSLATE(E3287,""fr"",""it"")"),"Non mi piacciono i criceti, preferisco gli orsi.")</f>
        <v>Non mi piacciono i criceti, preferisco gli orsi.</v>
      </c>
    </row>
    <row r="3288">
      <c r="A3288" s="4">
        <v>3286.0</v>
      </c>
      <c r="B3288" s="5" t="s">
        <v>9865</v>
      </c>
      <c r="C3288" s="4">
        <v>1.0</v>
      </c>
      <c r="D3288" s="5" t="s">
        <v>9866</v>
      </c>
      <c r="E3288" s="5" t="s">
        <v>9867</v>
      </c>
      <c r="F3288" s="6" t="str">
        <f>IFERROR(__xludf.DUMMYFUNCTION("GOOGLETRANSLATE(D3288,""en"",""it"")"),"Non mi piacciono gli orsi, preferisco i criceti.")</f>
        <v>Non mi piacciono gli orsi, preferisco i criceti.</v>
      </c>
      <c r="G3288" s="6" t="str">
        <f>IFERROR(__xludf.DUMMYFUNCTION("GOOGLETRANSLATE(E3288,""fr"",""it"")"),"Non mi piacciono gli orsi, preferisco i criceti.")</f>
        <v>Non mi piacciono gli orsi, preferisco i criceti.</v>
      </c>
    </row>
    <row r="3289">
      <c r="A3289" s="4">
        <v>3287.0</v>
      </c>
      <c r="B3289" s="5" t="s">
        <v>9868</v>
      </c>
      <c r="C3289" s="4">
        <v>1.0</v>
      </c>
      <c r="D3289" s="5" t="s">
        <v>9869</v>
      </c>
      <c r="E3289" s="5" t="s">
        <v>9870</v>
      </c>
      <c r="F3289" s="6" t="str">
        <f>IFERROR(__xludf.DUMMYFUNCTION("GOOGLETRANSLATE(D3289,""en"",""it"")"),"Non mi piacciono i criceti, preferisco meduse.")</f>
        <v>Non mi piacciono i criceti, preferisco meduse.</v>
      </c>
      <c r="G3289" s="6" t="str">
        <f>IFERROR(__xludf.DUMMYFUNCTION("GOOGLETRANSLATE(E3289,""fr"",""it"")"),"Non mi piacciono i criceti, preferisco la medusa.")</f>
        <v>Non mi piacciono i criceti, preferisco la medusa.</v>
      </c>
    </row>
    <row r="3290">
      <c r="A3290" s="4">
        <v>3288.0</v>
      </c>
      <c r="B3290" s="5" t="s">
        <v>9871</v>
      </c>
      <c r="C3290" s="4">
        <v>1.0</v>
      </c>
      <c r="D3290" s="5" t="s">
        <v>9872</v>
      </c>
      <c r="E3290" s="5" t="s">
        <v>9873</v>
      </c>
      <c r="F3290" s="6" t="str">
        <f>IFERROR(__xludf.DUMMYFUNCTION("GOOGLETRANSLATE(D3290,""en"",""it"")"),"Non mi piacciono le meduse, preferisco i criceti.")</f>
        <v>Non mi piacciono le meduse, preferisco i criceti.</v>
      </c>
      <c r="G3290" s="6" t="str">
        <f>IFERROR(__xludf.DUMMYFUNCTION("GOOGLETRANSLATE(E3290,""fr"",""it"")"),"Non mi piace la medusa, preferisco i criceti.")</f>
        <v>Non mi piace la medusa, preferisco i criceti.</v>
      </c>
    </row>
    <row r="3291">
      <c r="A3291" s="4">
        <v>3289.0</v>
      </c>
      <c r="B3291" s="5" t="s">
        <v>9874</v>
      </c>
      <c r="C3291" s="4">
        <v>1.0</v>
      </c>
      <c r="D3291" s="5" t="s">
        <v>9875</v>
      </c>
      <c r="E3291" s="5" t="s">
        <v>9876</v>
      </c>
      <c r="F3291" s="6" t="str">
        <f>IFERROR(__xludf.DUMMYFUNCTION("GOOGLETRANSLATE(D3291,""en"",""it"")"),"Non mi piacciono i criceti, preferisco le balene.")</f>
        <v>Non mi piacciono i criceti, preferisco le balene.</v>
      </c>
      <c r="G3291" s="6" t="str">
        <f>IFERROR(__xludf.DUMMYFUNCTION("GOOGLETRANSLATE(E3291,""fr"",""it"")"),"Non mi piacciono i criceti, preferisco le balene.")</f>
        <v>Non mi piacciono i criceti, preferisco le balene.</v>
      </c>
    </row>
    <row r="3292">
      <c r="A3292" s="4">
        <v>3290.0</v>
      </c>
      <c r="B3292" s="5" t="s">
        <v>9877</v>
      </c>
      <c r="C3292" s="4">
        <v>1.0</v>
      </c>
      <c r="D3292" s="5" t="s">
        <v>9878</v>
      </c>
      <c r="E3292" s="5" t="s">
        <v>9879</v>
      </c>
      <c r="F3292" s="6" t="str">
        <f>IFERROR(__xludf.DUMMYFUNCTION("GOOGLETRANSLATE(D3292,""en"",""it"")"),"Non mi piacciono le balene, preferisco i criceti.")</f>
        <v>Non mi piacciono le balene, preferisco i criceti.</v>
      </c>
      <c r="G3292" s="6" t="str">
        <f>IFERROR(__xludf.DUMMYFUNCTION("GOOGLETRANSLATE(E3292,""fr"",""it"")"),"Non mi piacciono le balene, preferisco i criceti.")</f>
        <v>Non mi piacciono le balene, preferisco i criceti.</v>
      </c>
    </row>
    <row r="3293">
      <c r="A3293" s="4">
        <v>3291.0</v>
      </c>
      <c r="B3293" s="5" t="s">
        <v>9880</v>
      </c>
      <c r="C3293" s="4">
        <v>0.0</v>
      </c>
      <c r="D3293" s="5" t="s">
        <v>9881</v>
      </c>
      <c r="E3293" s="5" t="s">
        <v>9882</v>
      </c>
      <c r="F3293" s="6" t="str">
        <f>IFERROR(__xludf.DUMMYFUNCTION("GOOGLETRANSLATE(D3293,""en"",""it"")"),"Mi piacciono i granchi, tranne il pollo.")</f>
        <v>Mi piacciono i granchi, tranne il pollo.</v>
      </c>
      <c r="G3293" s="6" t="str">
        <f>IFERROR(__xludf.DUMMYFUNCTION("GOOGLETRANSLATE(E3293,""fr"",""it"")"),"Amo i granchi tranne il pollo.")</f>
        <v>Amo i granchi tranne il pollo.</v>
      </c>
    </row>
    <row r="3294">
      <c r="A3294" s="4">
        <v>3292.0</v>
      </c>
      <c r="B3294" s="5" t="s">
        <v>9883</v>
      </c>
      <c r="C3294" s="4">
        <v>0.0</v>
      </c>
      <c r="D3294" s="5" t="s">
        <v>9884</v>
      </c>
      <c r="E3294" s="5" t="s">
        <v>9885</v>
      </c>
      <c r="F3294" s="6" t="str">
        <f>IFERROR(__xludf.DUMMYFUNCTION("GOOGLETRANSLATE(D3294,""en"",""it"")"),"Mi piace il pollo, tranne i granchi.")</f>
        <v>Mi piace il pollo, tranne i granchi.</v>
      </c>
      <c r="G3294" s="6" t="str">
        <f>IFERROR(__xludf.DUMMYFUNCTION("GOOGLETRANSLATE(E3294,""fr"",""it"")"),"Adoro il pollo, tranne i granchi.")</f>
        <v>Adoro il pollo, tranne i granchi.</v>
      </c>
    </row>
    <row r="3295">
      <c r="A3295" s="4">
        <v>3293.0</v>
      </c>
      <c r="B3295" s="5" t="s">
        <v>9886</v>
      </c>
      <c r="C3295" s="4">
        <v>0.0</v>
      </c>
      <c r="D3295" s="5" t="s">
        <v>9887</v>
      </c>
      <c r="E3295" s="5" t="s">
        <v>9888</v>
      </c>
      <c r="F3295" s="6" t="str">
        <f>IFERROR(__xludf.DUMMYFUNCTION("GOOGLETRANSLATE(D3295,""en"",""it"")"),"Mi piacciono i granchi, tranne i frutti di mare.")</f>
        <v>Mi piacciono i granchi, tranne i frutti di mare.</v>
      </c>
      <c r="G3295" s="6" t="str">
        <f>IFERROR(__xludf.DUMMYFUNCTION("GOOGLETRANSLATE(E3295,""fr"",""it"")"),"Amo i granchi tranne i prodotti del mare.")</f>
        <v>Amo i granchi tranne i prodotti del mare.</v>
      </c>
    </row>
    <row r="3296">
      <c r="A3296" s="4">
        <v>3294.0</v>
      </c>
      <c r="B3296" s="5" t="s">
        <v>9889</v>
      </c>
      <c r="C3296" s="4">
        <v>1.0</v>
      </c>
      <c r="D3296" s="5" t="s">
        <v>9890</v>
      </c>
      <c r="E3296" s="5" t="s">
        <v>9891</v>
      </c>
      <c r="F3296" s="6" t="str">
        <f>IFERROR(__xludf.DUMMYFUNCTION("GOOGLETRANSLATE(D3296,""en"",""it"")"),"Mi piacciono i frutti di mare, tranne i granchi.")</f>
        <v>Mi piacciono i frutti di mare, tranne i granchi.</v>
      </c>
      <c r="G3296" s="6" t="str">
        <f>IFERROR(__xludf.DUMMYFUNCTION("GOOGLETRANSLATE(E3296,""fr"",""it"")"),"Adoro i prodotti del mare, tranne i granchi.")</f>
        <v>Adoro i prodotti del mare, tranne i granchi.</v>
      </c>
    </row>
    <row r="3297">
      <c r="A3297" s="4">
        <v>3295.0</v>
      </c>
      <c r="B3297" s="5" t="s">
        <v>9892</v>
      </c>
      <c r="C3297" s="4">
        <v>0.0</v>
      </c>
      <c r="D3297" s="5" t="s">
        <v>9893</v>
      </c>
      <c r="E3297" s="5" t="s">
        <v>9894</v>
      </c>
      <c r="F3297" s="6" t="str">
        <f>IFERROR(__xludf.DUMMYFUNCTION("GOOGLETRANSLATE(D3297,""en"",""it"")"),"Mi piacciono i granchi, tranne il vitello.")</f>
        <v>Mi piacciono i granchi, tranne il vitello.</v>
      </c>
      <c r="G3297" s="6" t="str">
        <f>IFERROR(__xludf.DUMMYFUNCTION("GOOGLETRANSLATE(E3297,""fr"",""it"")"),"Amo i granchi tranne il vitello.")</f>
        <v>Amo i granchi tranne il vitello.</v>
      </c>
    </row>
    <row r="3298">
      <c r="A3298" s="4">
        <v>3296.0</v>
      </c>
      <c r="B3298" s="5" t="s">
        <v>9895</v>
      </c>
      <c r="C3298" s="4">
        <v>0.0</v>
      </c>
      <c r="D3298" s="5" t="s">
        <v>9896</v>
      </c>
      <c r="E3298" s="5" t="s">
        <v>9897</v>
      </c>
      <c r="F3298" s="6" t="str">
        <f>IFERROR(__xludf.DUMMYFUNCTION("GOOGLETRANSLATE(D3298,""en"",""it"")"),"Mi piace il vitello, tranne i granchi.")</f>
        <v>Mi piace il vitello, tranne i granchi.</v>
      </c>
      <c r="G3298" s="6" t="str">
        <f>IFERROR(__xludf.DUMMYFUNCTION("GOOGLETRANSLATE(E3298,""fr"",""it"")"),"Adoro il polpaccio, tranne i granchi.")</f>
        <v>Adoro il polpaccio, tranne i granchi.</v>
      </c>
    </row>
    <row r="3299">
      <c r="A3299" s="4">
        <v>3297.0</v>
      </c>
      <c r="B3299" s="5" t="s">
        <v>9898</v>
      </c>
      <c r="C3299" s="4">
        <v>1.0</v>
      </c>
      <c r="D3299" s="5" t="s">
        <v>9899</v>
      </c>
      <c r="E3299" s="5" t="s">
        <v>9900</v>
      </c>
      <c r="F3299" s="6" t="str">
        <f>IFERROR(__xludf.DUMMYFUNCTION("GOOGLETRANSLATE(D3299,""en"",""it"")"),"Non si fida della sua vista, preferisce le voci.")</f>
        <v>Non si fida della sua vista, preferisce le voci.</v>
      </c>
      <c r="G3299" s="6" t="str">
        <f>IFERROR(__xludf.DUMMYFUNCTION("GOOGLETRANSLATE(E3299,""fr"",""it"")"),"Non si fida della sua visione, preferisce le voci.")</f>
        <v>Non si fida della sua visione, preferisce le voci.</v>
      </c>
    </row>
    <row r="3300">
      <c r="A3300" s="4">
        <v>3298.0</v>
      </c>
      <c r="B3300" s="5" t="s">
        <v>9901</v>
      </c>
      <c r="C3300" s="4">
        <v>1.0</v>
      </c>
      <c r="D3300" s="5" t="s">
        <v>9902</v>
      </c>
      <c r="E3300" s="5" t="s">
        <v>9903</v>
      </c>
      <c r="F3300" s="6" t="str">
        <f>IFERROR(__xludf.DUMMYFUNCTION("GOOGLETRANSLATE(D3300,""en"",""it"")"),"Non si fida delle voci, preferisce la sua vista.")</f>
        <v>Non si fida delle voci, preferisce la sua vista.</v>
      </c>
      <c r="G3300" s="6" t="str">
        <f>IFERROR(__xludf.DUMMYFUNCTION("GOOGLETRANSLATE(E3300,""fr"",""it"")"),"Non si fida delle voci, preferisce la sua visione.")</f>
        <v>Non si fida delle voci, preferisce la sua visione.</v>
      </c>
    </row>
    <row r="3301">
      <c r="A3301" s="4">
        <v>3299.0</v>
      </c>
      <c r="B3301" s="5" t="s">
        <v>9904</v>
      </c>
      <c r="C3301" s="4">
        <v>0.0</v>
      </c>
      <c r="D3301" s="5" t="s">
        <v>9905</v>
      </c>
      <c r="E3301" s="5" t="s">
        <v>9906</v>
      </c>
      <c r="F3301" s="6" t="str">
        <f>IFERROR(__xludf.DUMMYFUNCTION("GOOGLETRANSLATE(D3301,""en"",""it"")"),"Non si fida della sua vista, preferisce i suoi sensi.")</f>
        <v>Non si fida della sua vista, preferisce i suoi sensi.</v>
      </c>
      <c r="G3301" s="6" t="str">
        <f>IFERROR(__xludf.DUMMYFUNCTION("GOOGLETRANSLATE(E3301,""fr"",""it"")"),"Non si fida della sua visione, preferisce i suoi sensi.")</f>
        <v>Non si fida della sua visione, preferisce i suoi sensi.</v>
      </c>
    </row>
    <row r="3302">
      <c r="A3302" s="4">
        <v>3300.0</v>
      </c>
      <c r="B3302" s="5" t="s">
        <v>9907</v>
      </c>
      <c r="C3302" s="4">
        <v>0.0</v>
      </c>
      <c r="D3302" s="5" t="s">
        <v>9908</v>
      </c>
      <c r="E3302" s="5" t="s">
        <v>9909</v>
      </c>
      <c r="F3302" s="6" t="str">
        <f>IFERROR(__xludf.DUMMYFUNCTION("GOOGLETRANSLATE(D3302,""en"",""it"")"),"Non si fida dei suoi sensi, preferisce la sua vista.")</f>
        <v>Non si fida dei suoi sensi, preferisce la sua vista.</v>
      </c>
      <c r="G3302" s="6" t="str">
        <f>IFERROR(__xludf.DUMMYFUNCTION("GOOGLETRANSLATE(E3302,""fr"",""it"")"),"Non si fida dei suoi sensi, preferisce la sua visione.")</f>
        <v>Non si fida dei suoi sensi, preferisce la sua visione.</v>
      </c>
    </row>
    <row r="3303">
      <c r="A3303" s="4">
        <v>3301.0</v>
      </c>
      <c r="B3303" s="5" t="s">
        <v>9910</v>
      </c>
      <c r="C3303" s="4">
        <v>1.0</v>
      </c>
      <c r="D3303" s="5" t="s">
        <v>9911</v>
      </c>
      <c r="E3303" s="5" t="s">
        <v>9912</v>
      </c>
      <c r="F3303" s="6" t="str">
        <f>IFERROR(__xludf.DUMMYFUNCTION("GOOGLETRANSLATE(D3303,""en"",""it"")"),"Non si fida dei suoi sensi, preferisce le voci.")</f>
        <v>Non si fida dei suoi sensi, preferisce le voci.</v>
      </c>
      <c r="G3303" s="6" t="str">
        <f>IFERROR(__xludf.DUMMYFUNCTION("GOOGLETRANSLATE(E3303,""fr"",""it"")"),"Non si fida dei suoi sensi, preferisce le voci.")</f>
        <v>Non si fida dei suoi sensi, preferisce le voci.</v>
      </c>
    </row>
    <row r="3304">
      <c r="A3304" s="4">
        <v>3302.0</v>
      </c>
      <c r="B3304" s="5" t="s">
        <v>9913</v>
      </c>
      <c r="C3304" s="4">
        <v>1.0</v>
      </c>
      <c r="D3304" s="5" t="s">
        <v>9914</v>
      </c>
      <c r="E3304" s="5" t="s">
        <v>9915</v>
      </c>
      <c r="F3304" s="6" t="str">
        <f>IFERROR(__xludf.DUMMYFUNCTION("GOOGLETRANSLATE(D3304,""en"",""it"")"),"Non si fida della sua vista, preferisce i rapporti.")</f>
        <v>Non si fida della sua vista, preferisce i rapporti.</v>
      </c>
      <c r="G3304" s="6" t="str">
        <f>IFERROR(__xludf.DUMMYFUNCTION("GOOGLETRANSLATE(E3304,""fr"",""it"")"),"Non si fida della sua visione, preferisce i rapporti.")</f>
        <v>Non si fida della sua visione, preferisce i rapporti.</v>
      </c>
    </row>
    <row r="3305">
      <c r="A3305" s="4">
        <v>3303.0</v>
      </c>
      <c r="B3305" s="5" t="s">
        <v>9916</v>
      </c>
      <c r="C3305" s="4">
        <v>1.0</v>
      </c>
      <c r="D3305" s="5" t="s">
        <v>9917</v>
      </c>
      <c r="E3305" s="5" t="s">
        <v>9918</v>
      </c>
      <c r="F3305" s="6" t="str">
        <f>IFERROR(__xludf.DUMMYFUNCTION("GOOGLETRANSLATE(D3305,""en"",""it"")"),"Non si fida dei rapporti, preferisce la sua vista.")</f>
        <v>Non si fida dei rapporti, preferisce la sua vista.</v>
      </c>
      <c r="G3305" s="6" t="str">
        <f>IFERROR(__xludf.DUMMYFUNCTION("GOOGLETRANSLATE(E3305,""fr"",""it"")"),"Non si fida dei rapporti, preferisce la sua visione.")</f>
        <v>Non si fida dei rapporti, preferisce la sua visione.</v>
      </c>
    </row>
    <row r="3306">
      <c r="A3306" s="4">
        <v>3304.0</v>
      </c>
      <c r="B3306" s="5" t="s">
        <v>9919</v>
      </c>
      <c r="C3306" s="4">
        <v>1.0</v>
      </c>
      <c r="D3306" s="5" t="s">
        <v>9920</v>
      </c>
      <c r="E3306" s="5" t="s">
        <v>9921</v>
      </c>
      <c r="F3306" s="6" t="str">
        <f>IFERROR(__xludf.DUMMYFUNCTION("GOOGLETRANSLATE(D3306,""en"",""it"")"),"Non si fida dei suoi sensi, preferisce i rapporti.")</f>
        <v>Non si fida dei suoi sensi, preferisce i rapporti.</v>
      </c>
      <c r="G3306" s="6" t="str">
        <f>IFERROR(__xludf.DUMMYFUNCTION("GOOGLETRANSLATE(E3306,""fr"",""it"")"),"Non si fida dei suoi sensi, preferisce i rapporti.")</f>
        <v>Non si fida dei suoi sensi, preferisce i rapporti.</v>
      </c>
    </row>
    <row r="3307">
      <c r="A3307" s="4">
        <v>3305.0</v>
      </c>
      <c r="B3307" s="5" t="s">
        <v>9922</v>
      </c>
      <c r="C3307" s="4">
        <v>1.0</v>
      </c>
      <c r="D3307" s="5" t="s">
        <v>9923</v>
      </c>
      <c r="E3307" s="5" t="s">
        <v>9924</v>
      </c>
      <c r="F3307" s="6" t="str">
        <f>IFERROR(__xludf.DUMMYFUNCTION("GOOGLETRANSLATE(D3307,""en"",""it"")"),"Non si fida della sua vista, preferisce ricostruzioni.")</f>
        <v>Non si fida della sua vista, preferisce ricostruzioni.</v>
      </c>
      <c r="G3307" s="6" t="str">
        <f>IFERROR(__xludf.DUMMYFUNCTION("GOOGLETRANSLATE(E3307,""fr"",""it"")"),"Non si fida della sua visione, preferisce ricostruzioni.")</f>
        <v>Non si fida della sua visione, preferisce ricostruzioni.</v>
      </c>
    </row>
    <row r="3308">
      <c r="A3308" s="4">
        <v>3306.0</v>
      </c>
      <c r="B3308" s="5" t="s">
        <v>9925</v>
      </c>
      <c r="C3308" s="4">
        <v>1.0</v>
      </c>
      <c r="D3308" s="5" t="s">
        <v>9926</v>
      </c>
      <c r="E3308" s="5" t="s">
        <v>9927</v>
      </c>
      <c r="F3308" s="6" t="str">
        <f>IFERROR(__xludf.DUMMYFUNCTION("GOOGLETRANSLATE(D3308,""en"",""it"")"),"Non si fida di ricostruzioni, preferisce la sua vista.")</f>
        <v>Non si fida di ricostruzioni, preferisce la sua vista.</v>
      </c>
      <c r="G3308" s="6" t="str">
        <f>IFERROR(__xludf.DUMMYFUNCTION("GOOGLETRANSLATE(E3308,""fr"",""it"")"),"Non si fida di ricostruzioni, preferisce la sua visione.")</f>
        <v>Non si fida di ricostruzioni, preferisce la sua visione.</v>
      </c>
    </row>
    <row r="3309">
      <c r="A3309" s="4">
        <v>3307.0</v>
      </c>
      <c r="B3309" s="5" t="s">
        <v>9928</v>
      </c>
      <c r="C3309" s="4">
        <v>1.0</v>
      </c>
      <c r="D3309" s="5" t="s">
        <v>9929</v>
      </c>
      <c r="E3309" s="5" t="s">
        <v>9930</v>
      </c>
      <c r="F3309" s="6" t="str">
        <f>IFERROR(__xludf.DUMMYFUNCTION("GOOGLETRANSLATE(D3309,""en"",""it"")"),"Non si fida dei suoi sensi, preferisce ricostruzioni.")</f>
        <v>Non si fida dei suoi sensi, preferisce ricostruzioni.</v>
      </c>
      <c r="G3309" s="6" t="str">
        <f>IFERROR(__xludf.DUMMYFUNCTION("GOOGLETRANSLATE(E3309,""fr"",""it"")"),"Non si fida dei suoi sensi, preferisce ricostruzioni.")</f>
        <v>Non si fida dei suoi sensi, preferisce ricostruzioni.</v>
      </c>
    </row>
    <row r="3310">
      <c r="A3310" s="4">
        <v>3308.0</v>
      </c>
      <c r="B3310" s="5" t="s">
        <v>9931</v>
      </c>
      <c r="C3310" s="4">
        <v>1.0</v>
      </c>
      <c r="D3310" s="5" t="s">
        <v>9932</v>
      </c>
      <c r="E3310" s="5" t="s">
        <v>9933</v>
      </c>
      <c r="F3310" s="6" t="str">
        <f>IFERROR(__xludf.DUMMYFUNCTION("GOOGLETRANSLATE(D3310,""en"",""it"")"),"Non si fida della sua vista, preferisce ipotesi.")</f>
        <v>Non si fida della sua vista, preferisce ipotesi.</v>
      </c>
      <c r="G3310" s="6" t="str">
        <f>IFERROR(__xludf.DUMMYFUNCTION("GOOGLETRANSLATE(E3310,""fr"",""it"")"),"Non si fida della sua visione, preferisce le ipotesi.")</f>
        <v>Non si fida della sua visione, preferisce le ipotesi.</v>
      </c>
    </row>
    <row r="3311">
      <c r="A3311" s="4">
        <v>3309.0</v>
      </c>
      <c r="B3311" s="5" t="s">
        <v>9934</v>
      </c>
      <c r="C3311" s="4">
        <v>1.0</v>
      </c>
      <c r="D3311" s="5" t="s">
        <v>9935</v>
      </c>
      <c r="E3311" s="5" t="s">
        <v>9936</v>
      </c>
      <c r="F3311" s="6" t="str">
        <f>IFERROR(__xludf.DUMMYFUNCTION("GOOGLETRANSLATE(D3311,""en"",""it"")"),"Non si fidano che ipotesi, preferisce la sua vista.")</f>
        <v>Non si fidano che ipotesi, preferisce la sua vista.</v>
      </c>
      <c r="G3311" s="6" t="str">
        <f>IFERROR(__xludf.DUMMYFUNCTION("GOOGLETRANSLATE(E3311,""fr"",""it"")"),"Non si fida delle ipotesi, preferisce la sua visione.")</f>
        <v>Non si fida delle ipotesi, preferisce la sua visione.</v>
      </c>
    </row>
    <row r="3312">
      <c r="A3312" s="4">
        <v>3310.0</v>
      </c>
      <c r="B3312" s="5" t="s">
        <v>9937</v>
      </c>
      <c r="C3312" s="4">
        <v>1.0</v>
      </c>
      <c r="D3312" s="5" t="s">
        <v>9938</v>
      </c>
      <c r="E3312" s="5" t="s">
        <v>9939</v>
      </c>
      <c r="F3312" s="6" t="str">
        <f>IFERROR(__xludf.DUMMYFUNCTION("GOOGLETRANSLATE(D3312,""en"",""it"")"),"Non si fida dei suoi sensi, preferisce ipotesi.")</f>
        <v>Non si fida dei suoi sensi, preferisce ipotesi.</v>
      </c>
      <c r="G3312" s="6" t="str">
        <f>IFERROR(__xludf.DUMMYFUNCTION("GOOGLETRANSLATE(E3312,""fr"",""it"")"),"Non si fida dei suoi sensi, preferisce le ipotesi.")</f>
        <v>Non si fida dei suoi sensi, preferisce le ipotesi.</v>
      </c>
    </row>
    <row r="3313">
      <c r="A3313" s="4">
        <v>3311.0</v>
      </c>
      <c r="B3313" s="5" t="s">
        <v>9940</v>
      </c>
      <c r="C3313" s="4">
        <v>1.0</v>
      </c>
      <c r="D3313" s="5" t="s">
        <v>9941</v>
      </c>
      <c r="E3313" s="5" t="s">
        <v>9942</v>
      </c>
      <c r="F3313" s="6" t="str">
        <f>IFERROR(__xludf.DUMMYFUNCTION("GOOGLETRANSLATE(D3313,""en"",""it"")"),"Non si fida del suo udito, preferisce le voci.")</f>
        <v>Non si fida del suo udito, preferisce le voci.</v>
      </c>
      <c r="G3313" s="6" t="str">
        <f>IFERROR(__xludf.DUMMYFUNCTION("GOOGLETRANSLATE(E3313,""fr"",""it"")"),"Non si fida del suo odore, preferisce le voci.")</f>
        <v>Non si fida del suo odore, preferisce le voci.</v>
      </c>
    </row>
    <row r="3314">
      <c r="A3314" s="4">
        <v>3312.0</v>
      </c>
      <c r="B3314" s="5" t="s">
        <v>9943</v>
      </c>
      <c r="C3314" s="4">
        <v>1.0</v>
      </c>
      <c r="D3314" s="5" t="s">
        <v>9944</v>
      </c>
      <c r="E3314" s="5" t="s">
        <v>9945</v>
      </c>
      <c r="F3314" s="6" t="str">
        <f>IFERROR(__xludf.DUMMYFUNCTION("GOOGLETRANSLATE(D3314,""en"",""it"")"),"Non si fida delle voci, preferisce il suo udito.")</f>
        <v>Non si fida delle voci, preferisce il suo udito.</v>
      </c>
      <c r="G3314" s="6" t="str">
        <f>IFERROR(__xludf.DUMMYFUNCTION("GOOGLETRANSLATE(E3314,""fr"",""it"")"),"Non si fida delle voci, preferisce il suo odore.")</f>
        <v>Non si fida delle voci, preferisce il suo odore.</v>
      </c>
    </row>
    <row r="3315">
      <c r="A3315" s="4">
        <v>3313.0</v>
      </c>
      <c r="B3315" s="5" t="s">
        <v>9946</v>
      </c>
      <c r="C3315" s="4">
        <v>0.0</v>
      </c>
      <c r="D3315" s="5" t="s">
        <v>9947</v>
      </c>
      <c r="E3315" s="5" t="s">
        <v>9948</v>
      </c>
      <c r="F3315" s="6" t="str">
        <f>IFERROR(__xludf.DUMMYFUNCTION("GOOGLETRANSLATE(D3315,""en"",""it"")"),"Non si fida del suo udito, preferisce i suoi sensi.")</f>
        <v>Non si fida del suo udito, preferisce i suoi sensi.</v>
      </c>
      <c r="G3315" s="6" t="str">
        <f>IFERROR(__xludf.DUMMYFUNCTION("GOOGLETRANSLATE(E3315,""fr"",""it"")"),"Non si fida del suo odore, preferisce i suoi sensi.")</f>
        <v>Non si fida del suo odore, preferisce i suoi sensi.</v>
      </c>
    </row>
    <row r="3316">
      <c r="A3316" s="4">
        <v>3314.0</v>
      </c>
      <c r="B3316" s="5" t="s">
        <v>9949</v>
      </c>
      <c r="C3316" s="4">
        <v>0.0</v>
      </c>
      <c r="D3316" s="5" t="s">
        <v>9950</v>
      </c>
      <c r="E3316" s="5" t="s">
        <v>9951</v>
      </c>
      <c r="F3316" s="6" t="str">
        <f>IFERROR(__xludf.DUMMYFUNCTION("GOOGLETRANSLATE(D3316,""en"",""it"")"),"Non si fida dei suoi sensi, preferisce il suo udito.")</f>
        <v>Non si fida dei suoi sensi, preferisce il suo udito.</v>
      </c>
      <c r="G3316" s="6" t="str">
        <f>IFERROR(__xludf.DUMMYFUNCTION("GOOGLETRANSLATE(E3316,""fr"",""it"")"),"Non si fida dei suoi sensi, preferisce il suo odore.")</f>
        <v>Non si fida dei suoi sensi, preferisce il suo odore.</v>
      </c>
    </row>
    <row r="3317">
      <c r="A3317" s="4">
        <v>3315.0</v>
      </c>
      <c r="B3317" s="5" t="s">
        <v>9952</v>
      </c>
      <c r="C3317" s="4">
        <v>1.0</v>
      </c>
      <c r="D3317" s="5" t="s">
        <v>9953</v>
      </c>
      <c r="E3317" s="5" t="s">
        <v>9954</v>
      </c>
      <c r="F3317" s="6" t="str">
        <f>IFERROR(__xludf.DUMMYFUNCTION("GOOGLETRANSLATE(D3317,""en"",""it"")"),"Non si fida del suo udito, preferisce i rapporti.")</f>
        <v>Non si fida del suo udito, preferisce i rapporti.</v>
      </c>
      <c r="G3317" s="6" t="str">
        <f>IFERROR(__xludf.DUMMYFUNCTION("GOOGLETRANSLATE(E3317,""fr"",""it"")"),"Non si fida del suo odore, preferisce i rapporti.")</f>
        <v>Non si fida del suo odore, preferisce i rapporti.</v>
      </c>
    </row>
    <row r="3318">
      <c r="A3318" s="4">
        <v>3316.0</v>
      </c>
      <c r="B3318" s="5" t="s">
        <v>9955</v>
      </c>
      <c r="C3318" s="4">
        <v>1.0</v>
      </c>
      <c r="D3318" s="5" t="s">
        <v>9956</v>
      </c>
      <c r="E3318" s="5" t="s">
        <v>9957</v>
      </c>
      <c r="F3318" s="6" t="str">
        <f>IFERROR(__xludf.DUMMYFUNCTION("GOOGLETRANSLATE(D3318,""en"",""it"")"),"Non si fida dei rapporti, preferisce il suo udito.")</f>
        <v>Non si fida dei rapporti, preferisce il suo udito.</v>
      </c>
      <c r="G3318" s="6" t="str">
        <f>IFERROR(__xludf.DUMMYFUNCTION("GOOGLETRANSLATE(E3318,""fr"",""it"")"),"Non si fida dei rapporti, preferisce il suo odore.")</f>
        <v>Non si fida dei rapporti, preferisce il suo odore.</v>
      </c>
    </row>
    <row r="3319">
      <c r="A3319" s="4">
        <v>3317.0</v>
      </c>
      <c r="B3319" s="5" t="s">
        <v>9958</v>
      </c>
      <c r="C3319" s="4">
        <v>1.0</v>
      </c>
      <c r="D3319" s="5" t="s">
        <v>9959</v>
      </c>
      <c r="E3319" s="5" t="s">
        <v>9960</v>
      </c>
      <c r="F3319" s="6" t="str">
        <f>IFERROR(__xludf.DUMMYFUNCTION("GOOGLETRANSLATE(D3319,""en"",""it"")"),"Non si fida del suo udito, preferisce ricostruzioni.")</f>
        <v>Non si fida del suo udito, preferisce ricostruzioni.</v>
      </c>
      <c r="G3319" s="6" t="str">
        <f>IFERROR(__xludf.DUMMYFUNCTION("GOOGLETRANSLATE(E3319,""fr"",""it"")"),"Non si fida del suo odore, preferisce ricostruzioni.")</f>
        <v>Non si fida del suo odore, preferisce ricostruzioni.</v>
      </c>
    </row>
    <row r="3320">
      <c r="A3320" s="4">
        <v>3318.0</v>
      </c>
      <c r="B3320" s="5" t="s">
        <v>9961</v>
      </c>
      <c r="C3320" s="4">
        <v>1.0</v>
      </c>
      <c r="D3320" s="5" t="s">
        <v>9962</v>
      </c>
      <c r="E3320" s="5" t="s">
        <v>9963</v>
      </c>
      <c r="F3320" s="6" t="str">
        <f>IFERROR(__xludf.DUMMYFUNCTION("GOOGLETRANSLATE(D3320,""en"",""it"")"),"Non si fida di ricostruzioni, preferisce il suo udito.")</f>
        <v>Non si fida di ricostruzioni, preferisce il suo udito.</v>
      </c>
      <c r="G3320" s="6" t="str">
        <f>IFERROR(__xludf.DUMMYFUNCTION("GOOGLETRANSLATE(E3320,""fr"",""it"")"),"Non si fida di ricostruzioni, preferisce il suo odore.")</f>
        <v>Non si fida di ricostruzioni, preferisce il suo odore.</v>
      </c>
    </row>
    <row r="3321">
      <c r="A3321" s="4">
        <v>3319.0</v>
      </c>
      <c r="B3321" s="5" t="s">
        <v>9964</v>
      </c>
      <c r="C3321" s="4">
        <v>1.0</v>
      </c>
      <c r="D3321" s="5" t="s">
        <v>9965</v>
      </c>
      <c r="E3321" s="5" t="s">
        <v>9966</v>
      </c>
      <c r="F3321" s="6" t="str">
        <f>IFERROR(__xludf.DUMMYFUNCTION("GOOGLETRANSLATE(D3321,""en"",""it"")"),"Non si fida del suo udito, preferisce ipotesi.")</f>
        <v>Non si fida del suo udito, preferisce ipotesi.</v>
      </c>
      <c r="G3321" s="6" t="str">
        <f>IFERROR(__xludf.DUMMYFUNCTION("GOOGLETRANSLATE(E3321,""fr"",""it"")"),"Non si fida del suo odororato, preferisce le ipotesi.")</f>
        <v>Non si fida del suo odororato, preferisce le ipotesi.</v>
      </c>
    </row>
    <row r="3322">
      <c r="A3322" s="4">
        <v>3320.0</v>
      </c>
      <c r="B3322" s="5" t="s">
        <v>9967</v>
      </c>
      <c r="C3322" s="4">
        <v>1.0</v>
      </c>
      <c r="D3322" s="5" t="s">
        <v>9968</v>
      </c>
      <c r="E3322" s="5" t="s">
        <v>9969</v>
      </c>
      <c r="F3322" s="6" t="str">
        <f>IFERROR(__xludf.DUMMYFUNCTION("GOOGLETRANSLATE(D3322,""en"",""it"")"),"Non si fidano che ipotesi, preferisce il suo udito.")</f>
        <v>Non si fidano che ipotesi, preferisce il suo udito.</v>
      </c>
      <c r="G3322" s="6" t="str">
        <f>IFERROR(__xludf.DUMMYFUNCTION("GOOGLETRANSLATE(E3322,""fr"",""it"")"),"Non si fida delle ipotesi, preferisce il suo odore.")</f>
        <v>Non si fida delle ipotesi, preferisce il suo odore.</v>
      </c>
    </row>
    <row r="3323">
      <c r="A3323" s="4">
        <v>3321.0</v>
      </c>
      <c r="B3323" s="5" t="s">
        <v>9970</v>
      </c>
      <c r="C3323" s="4">
        <v>0.0</v>
      </c>
      <c r="D3323" s="5" t="s">
        <v>9971</v>
      </c>
      <c r="E3323" s="5" t="s">
        <v>9972</v>
      </c>
      <c r="F3323" s="6" t="str">
        <f>IFERROR(__xludf.DUMMYFUNCTION("GOOGLETRANSLATE(D3323,""en"",""it"")"),"Mi piacciono i granchi, tranne il tacchino.")</f>
        <v>Mi piacciono i granchi, tranne il tacchino.</v>
      </c>
      <c r="G3323" s="6" t="str">
        <f>IFERROR(__xludf.DUMMYFUNCTION("GOOGLETRANSLATE(E3323,""fr"",""it"")"),"Amo i granchi, tranne il tacchino.")</f>
        <v>Amo i granchi, tranne il tacchino.</v>
      </c>
    </row>
    <row r="3324">
      <c r="A3324" s="4">
        <v>3322.0</v>
      </c>
      <c r="B3324" s="5" t="s">
        <v>9973</v>
      </c>
      <c r="C3324" s="4">
        <v>1.0</v>
      </c>
      <c r="D3324" s="5" t="s">
        <v>9974</v>
      </c>
      <c r="E3324" s="5" t="s">
        <v>9975</v>
      </c>
      <c r="F3324" s="6" t="str">
        <f>IFERROR(__xludf.DUMMYFUNCTION("GOOGLETRANSLATE(D3324,""en"",""it"")"),"Non si fida del suo tocco, preferisce le voci.")</f>
        <v>Non si fida del suo tocco, preferisce le voci.</v>
      </c>
      <c r="G3324" s="6" t="str">
        <f>IFERROR(__xludf.DUMMYFUNCTION("GOOGLETRANSLATE(E3324,""fr"",""it"")"),"Non si fida del suo senso del tatto, preferisce le voci.")</f>
        <v>Non si fida del suo senso del tatto, preferisce le voci.</v>
      </c>
    </row>
    <row r="3325">
      <c r="A3325" s="4">
        <v>3323.0</v>
      </c>
      <c r="B3325" s="5" t="s">
        <v>9976</v>
      </c>
      <c r="C3325" s="4">
        <v>1.0</v>
      </c>
      <c r="D3325" s="5" t="s">
        <v>9977</v>
      </c>
      <c r="E3325" s="5" t="s">
        <v>9978</v>
      </c>
      <c r="F3325" s="6" t="str">
        <f>IFERROR(__xludf.DUMMYFUNCTION("GOOGLETRANSLATE(D3325,""en"",""it"")"),"Non si fida delle voci, preferisce il suo tocco.")</f>
        <v>Non si fida delle voci, preferisce il suo tocco.</v>
      </c>
      <c r="G3325" s="6" t="str">
        <f>IFERROR(__xludf.DUMMYFUNCTION("GOOGLETRANSLATE(E3325,""fr"",""it"")"),"Non si fida delle voci, preferisce il senso del tatto.")</f>
        <v>Non si fida delle voci, preferisce il senso del tatto.</v>
      </c>
    </row>
    <row r="3326">
      <c r="A3326" s="4">
        <v>3324.0</v>
      </c>
      <c r="B3326" s="5" t="s">
        <v>9979</v>
      </c>
      <c r="C3326" s="4">
        <v>0.0</v>
      </c>
      <c r="D3326" s="5" t="s">
        <v>9980</v>
      </c>
      <c r="E3326" s="5" t="s">
        <v>9981</v>
      </c>
      <c r="F3326" s="6" t="str">
        <f>IFERROR(__xludf.DUMMYFUNCTION("GOOGLETRANSLATE(D3326,""en"",""it"")"),"Non si fida del suo tocco, preferisce i suoi sensi.")</f>
        <v>Non si fida del suo tocco, preferisce i suoi sensi.</v>
      </c>
      <c r="G3326" s="6" t="str">
        <f>IFERROR(__xludf.DUMMYFUNCTION("GOOGLETRANSLATE(E3326,""fr"",""it"")"),"Non si fida del suo senso del tatto, preferisce i suoi sensi.")</f>
        <v>Non si fida del suo senso del tatto, preferisce i suoi sensi.</v>
      </c>
    </row>
    <row r="3327">
      <c r="A3327" s="4">
        <v>3325.0</v>
      </c>
      <c r="B3327" s="5" t="s">
        <v>9982</v>
      </c>
      <c r="C3327" s="4">
        <v>0.0</v>
      </c>
      <c r="D3327" s="5" t="s">
        <v>9983</v>
      </c>
      <c r="E3327" s="5" t="s">
        <v>9984</v>
      </c>
      <c r="F3327" s="6" t="str">
        <f>IFERROR(__xludf.DUMMYFUNCTION("GOOGLETRANSLATE(D3327,""en"",""it"")"),"Non si fida dei suoi sensi, preferisce il suo tocco.")</f>
        <v>Non si fida dei suoi sensi, preferisce il suo tocco.</v>
      </c>
      <c r="G3327" s="6" t="str">
        <f>IFERROR(__xludf.DUMMYFUNCTION("GOOGLETRANSLATE(E3327,""fr"",""it"")"),"Non si fida dei suoi sensi, preferisce il suo senso del tatto.")</f>
        <v>Non si fida dei suoi sensi, preferisce il suo senso del tatto.</v>
      </c>
    </row>
    <row r="3328">
      <c r="A3328" s="4">
        <v>3326.0</v>
      </c>
      <c r="B3328" s="5" t="s">
        <v>9985</v>
      </c>
      <c r="C3328" s="4">
        <v>1.0</v>
      </c>
      <c r="D3328" s="5" t="s">
        <v>9986</v>
      </c>
      <c r="E3328" s="5" t="s">
        <v>9987</v>
      </c>
      <c r="F3328" s="6" t="str">
        <f>IFERROR(__xludf.DUMMYFUNCTION("GOOGLETRANSLATE(D3328,""en"",""it"")"),"Non si fida del suo tocco, preferisce i rapporti.")</f>
        <v>Non si fida del suo tocco, preferisce i rapporti.</v>
      </c>
      <c r="G3328" s="6" t="str">
        <f>IFERROR(__xludf.DUMMYFUNCTION("GOOGLETRANSLATE(E3328,""fr"",""it"")"),"Non si fida del suo senso del tatto, preferisce i rapporti.")</f>
        <v>Non si fida del suo senso del tatto, preferisce i rapporti.</v>
      </c>
    </row>
    <row r="3329">
      <c r="A3329" s="4">
        <v>3327.0</v>
      </c>
      <c r="B3329" s="5" t="s">
        <v>9988</v>
      </c>
      <c r="C3329" s="4">
        <v>1.0</v>
      </c>
      <c r="D3329" s="5" t="s">
        <v>9989</v>
      </c>
      <c r="E3329" s="5" t="s">
        <v>9990</v>
      </c>
      <c r="F3329" s="6" t="str">
        <f>IFERROR(__xludf.DUMMYFUNCTION("GOOGLETRANSLATE(D3329,""en"",""it"")"),"Non si fida dei rapporti, preferisce il suo tocco.")</f>
        <v>Non si fida dei rapporti, preferisce il suo tocco.</v>
      </c>
      <c r="G3329" s="6" t="str">
        <f>IFERROR(__xludf.DUMMYFUNCTION("GOOGLETRANSLATE(E3329,""fr"",""it"")"),"Non si fida dei rapporti, preferisce il senso del tatto.")</f>
        <v>Non si fida dei rapporti, preferisce il senso del tatto.</v>
      </c>
    </row>
    <row r="3330">
      <c r="A3330" s="4">
        <v>3328.0</v>
      </c>
      <c r="B3330" s="5" t="s">
        <v>9991</v>
      </c>
      <c r="C3330" s="4">
        <v>0.0</v>
      </c>
      <c r="D3330" s="5" t="s">
        <v>9992</v>
      </c>
      <c r="E3330" s="5" t="s">
        <v>9993</v>
      </c>
      <c r="F3330" s="6" t="str">
        <f>IFERROR(__xludf.DUMMYFUNCTION("GOOGLETRANSLATE(D3330,""en"",""it"")"),"Mi piace la Turchia, tranne i granchi.")</f>
        <v>Mi piace la Turchia, tranne i granchi.</v>
      </c>
      <c r="G3330" s="6" t="str">
        <f>IFERROR(__xludf.DUMMYFUNCTION("GOOGLETRANSLATE(E3330,""fr"",""it"")"),"Adoro il tacchino, tranne i granchi.")</f>
        <v>Adoro il tacchino, tranne i granchi.</v>
      </c>
    </row>
    <row r="3331">
      <c r="A3331" s="4">
        <v>3329.0</v>
      </c>
      <c r="B3331" s="5" t="s">
        <v>9994</v>
      </c>
      <c r="C3331" s="4">
        <v>1.0</v>
      </c>
      <c r="D3331" s="5" t="s">
        <v>9995</v>
      </c>
      <c r="E3331" s="5" t="s">
        <v>9996</v>
      </c>
      <c r="F3331" s="6" t="str">
        <f>IFERROR(__xludf.DUMMYFUNCTION("GOOGLETRANSLATE(D3331,""en"",""it"")"),"Non si fida del suo tocco, preferisce ricostruzioni.")</f>
        <v>Non si fida del suo tocco, preferisce ricostruzioni.</v>
      </c>
      <c r="G3331" s="6" t="str">
        <f>IFERROR(__xludf.DUMMYFUNCTION("GOOGLETRANSLATE(E3331,""fr"",""it"")"),"Non si fida del suo senso del tatto, preferisce ricostruzioni.")</f>
        <v>Non si fida del suo senso del tatto, preferisce ricostruzioni.</v>
      </c>
    </row>
    <row r="3332">
      <c r="A3332" s="4">
        <v>3330.0</v>
      </c>
      <c r="B3332" s="5" t="s">
        <v>9997</v>
      </c>
      <c r="C3332" s="4">
        <v>1.0</v>
      </c>
      <c r="D3332" s="5" t="s">
        <v>9998</v>
      </c>
      <c r="E3332" s="5" t="s">
        <v>9999</v>
      </c>
      <c r="F3332" s="6" t="str">
        <f>IFERROR(__xludf.DUMMYFUNCTION("GOOGLETRANSLATE(D3332,""en"",""it"")"),"Non si fida di ricostruzioni, preferisce il suo tocco.")</f>
        <v>Non si fida di ricostruzioni, preferisce il suo tocco.</v>
      </c>
      <c r="G3332" s="6" t="str">
        <f>IFERROR(__xludf.DUMMYFUNCTION("GOOGLETRANSLATE(E3332,""fr"",""it"")"),"Non si fida di ricostruzioni, preferisce il suo senso del tatto.")</f>
        <v>Non si fida di ricostruzioni, preferisce il suo senso del tatto.</v>
      </c>
    </row>
    <row r="3333">
      <c r="A3333" s="4">
        <v>3331.0</v>
      </c>
      <c r="B3333" s="5" t="s">
        <v>10000</v>
      </c>
      <c r="C3333" s="4">
        <v>1.0</v>
      </c>
      <c r="D3333" s="5" t="s">
        <v>10001</v>
      </c>
      <c r="E3333" s="5" t="s">
        <v>10002</v>
      </c>
      <c r="F3333" s="6" t="str">
        <f>IFERROR(__xludf.DUMMYFUNCTION("GOOGLETRANSLATE(D3333,""en"",""it"")"),"Non si fida del suo tocco, preferisce ipotesi.")</f>
        <v>Non si fida del suo tocco, preferisce ipotesi.</v>
      </c>
      <c r="G3333" s="6" t="str">
        <f>IFERROR(__xludf.DUMMYFUNCTION("GOOGLETRANSLATE(E3333,""fr"",""it"")"),"Non si fida del suo senso del tatto, preferisce le ipotesi.")</f>
        <v>Non si fida del suo senso del tatto, preferisce le ipotesi.</v>
      </c>
    </row>
    <row r="3334">
      <c r="A3334" s="4">
        <v>3332.0</v>
      </c>
      <c r="B3334" s="5" t="s">
        <v>10003</v>
      </c>
      <c r="C3334" s="4">
        <v>1.0</v>
      </c>
      <c r="D3334" s="5" t="s">
        <v>10004</v>
      </c>
      <c r="E3334" s="5" t="s">
        <v>10005</v>
      </c>
      <c r="F3334" s="6" t="str">
        <f>IFERROR(__xludf.DUMMYFUNCTION("GOOGLETRANSLATE(D3334,""en"",""it"")"),"Non si fidano che ipotesi, preferisce il suo tocco.")</f>
        <v>Non si fidano che ipotesi, preferisce il suo tocco.</v>
      </c>
      <c r="G3334" s="6" t="str">
        <f>IFERROR(__xludf.DUMMYFUNCTION("GOOGLETRANSLATE(E3334,""fr"",""it"")"),"Non si fida delle ipotesi, preferisce il suo senso del tatto.")</f>
        <v>Non si fida delle ipotesi, preferisce il suo senso del tatto.</v>
      </c>
    </row>
    <row r="3335">
      <c r="A3335" s="4">
        <v>3333.0</v>
      </c>
      <c r="B3335" s="5" t="s">
        <v>10006</v>
      </c>
      <c r="C3335" s="4">
        <v>1.0</v>
      </c>
      <c r="D3335" s="5" t="s">
        <v>10007</v>
      </c>
      <c r="E3335" s="5" t="s">
        <v>10008</v>
      </c>
      <c r="F3335" s="6" t="str">
        <f>IFERROR(__xludf.DUMMYFUNCTION("GOOGLETRANSLATE(D3335,""en"",""it"")"),"Non si fida dei suoi gusti, preferisce le voci.")</f>
        <v>Non si fida dei suoi gusti, preferisce le voci.</v>
      </c>
      <c r="G3335" s="6" t="str">
        <f>IFERROR(__xludf.DUMMYFUNCTION("GOOGLETRANSLATE(E3335,""fr"",""it"")"),"Non si fida del suo senso del gusto, preferisce le voci.")</f>
        <v>Non si fida del suo senso del gusto, preferisce le voci.</v>
      </c>
    </row>
    <row r="3336">
      <c r="A3336" s="4">
        <v>3334.0</v>
      </c>
      <c r="B3336" s="5" t="s">
        <v>10009</v>
      </c>
      <c r="C3336" s="4">
        <v>1.0</v>
      </c>
      <c r="D3336" s="5" t="s">
        <v>10010</v>
      </c>
      <c r="E3336" s="5" t="s">
        <v>10011</v>
      </c>
      <c r="F3336" s="6" t="str">
        <f>IFERROR(__xludf.DUMMYFUNCTION("GOOGLETRANSLATE(D3336,""en"",""it"")"),"Non si fida delle voci, preferisce il suo gusto.")</f>
        <v>Non si fida delle voci, preferisce il suo gusto.</v>
      </c>
      <c r="G3336" s="6" t="str">
        <f>IFERROR(__xludf.DUMMYFUNCTION("GOOGLETRANSLATE(E3336,""fr"",""it"")"),"Non si fida delle voci, preferisce il suo senso del gusto.")</f>
        <v>Non si fida delle voci, preferisce il suo senso del gusto.</v>
      </c>
    </row>
    <row r="3337">
      <c r="A3337" s="4">
        <v>3335.0</v>
      </c>
      <c r="B3337" s="5" t="s">
        <v>10012</v>
      </c>
      <c r="C3337" s="4">
        <v>0.0</v>
      </c>
      <c r="D3337" s="5" t="s">
        <v>10013</v>
      </c>
      <c r="E3337" s="5" t="s">
        <v>10014</v>
      </c>
      <c r="F3337" s="6" t="str">
        <f>IFERROR(__xludf.DUMMYFUNCTION("GOOGLETRANSLATE(D3337,""en"",""it"")"),"Non si fida dei suoi gusti, preferisce i suoi sensi.")</f>
        <v>Non si fida dei suoi gusti, preferisce i suoi sensi.</v>
      </c>
      <c r="G3337" s="6" t="str">
        <f>IFERROR(__xludf.DUMMYFUNCTION("GOOGLETRANSLATE(E3337,""fr"",""it"")"),"Non si fida del suo senso del gusto, preferisce i suoi sensi.")</f>
        <v>Non si fida del suo senso del gusto, preferisce i suoi sensi.</v>
      </c>
    </row>
    <row r="3338">
      <c r="A3338" s="4">
        <v>3336.0</v>
      </c>
      <c r="B3338" s="5" t="s">
        <v>10015</v>
      </c>
      <c r="C3338" s="4">
        <v>0.0</v>
      </c>
      <c r="D3338" s="5" t="s">
        <v>10016</v>
      </c>
      <c r="E3338" s="5" t="s">
        <v>10017</v>
      </c>
      <c r="F3338" s="6" t="str">
        <f>IFERROR(__xludf.DUMMYFUNCTION("GOOGLETRANSLATE(D3338,""en"",""it"")"),"Non si fida dei suoi sensi, preferisce il suo gusto.")</f>
        <v>Non si fida dei suoi sensi, preferisce il suo gusto.</v>
      </c>
      <c r="G3338" s="6" t="str">
        <f>IFERROR(__xludf.DUMMYFUNCTION("GOOGLETRANSLATE(E3338,""fr"",""it"")"),"Non si fida dei suoi sensi, preferisce il suo senso del gusto.")</f>
        <v>Non si fida dei suoi sensi, preferisce il suo senso del gusto.</v>
      </c>
    </row>
    <row r="3339">
      <c r="A3339" s="4">
        <v>3337.0</v>
      </c>
      <c r="B3339" s="5" t="s">
        <v>10018</v>
      </c>
      <c r="C3339" s="4">
        <v>1.0</v>
      </c>
      <c r="D3339" s="5" t="s">
        <v>10019</v>
      </c>
      <c r="E3339" s="5" t="s">
        <v>10020</v>
      </c>
      <c r="F3339" s="6" t="str">
        <f>IFERROR(__xludf.DUMMYFUNCTION("GOOGLETRANSLATE(D3339,""en"",""it"")"),"Non si fida dei suoi gusti, preferisce i rapporti.")</f>
        <v>Non si fida dei suoi gusti, preferisce i rapporti.</v>
      </c>
      <c r="G3339" s="6" t="str">
        <f>IFERROR(__xludf.DUMMYFUNCTION("GOOGLETRANSLATE(E3339,""fr"",""it"")"),"Non si fida del suo senso del gusto, preferisce i rapporti.")</f>
        <v>Non si fida del suo senso del gusto, preferisce i rapporti.</v>
      </c>
    </row>
    <row r="3340">
      <c r="A3340" s="4">
        <v>3338.0</v>
      </c>
      <c r="B3340" s="5" t="s">
        <v>10021</v>
      </c>
      <c r="C3340" s="4">
        <v>1.0</v>
      </c>
      <c r="D3340" s="5" t="s">
        <v>10022</v>
      </c>
      <c r="E3340" s="5" t="s">
        <v>10023</v>
      </c>
      <c r="F3340" s="6" t="str">
        <f>IFERROR(__xludf.DUMMYFUNCTION("GOOGLETRANSLATE(D3340,""en"",""it"")"),"Non si fida dei rapporti, preferisce il suo gusto.")</f>
        <v>Non si fida dei rapporti, preferisce il suo gusto.</v>
      </c>
      <c r="G3340" s="6" t="str">
        <f>IFERROR(__xludf.DUMMYFUNCTION("GOOGLETRANSLATE(E3340,""fr"",""it"")"),"Non si fida dei rapporti, preferisce il suo senso del gusto.")</f>
        <v>Non si fida dei rapporti, preferisce il suo senso del gusto.</v>
      </c>
    </row>
    <row r="3341">
      <c r="A3341" s="4">
        <v>3339.0</v>
      </c>
      <c r="B3341" s="5" t="s">
        <v>10024</v>
      </c>
      <c r="C3341" s="4">
        <v>1.0</v>
      </c>
      <c r="D3341" s="5" t="s">
        <v>10025</v>
      </c>
      <c r="E3341" s="5" t="s">
        <v>10026</v>
      </c>
      <c r="F3341" s="6" t="str">
        <f>IFERROR(__xludf.DUMMYFUNCTION("GOOGLETRANSLATE(D3341,""en"",""it"")"),"Non si fida dei suoi gusti, preferisce ricostruzioni.")</f>
        <v>Non si fida dei suoi gusti, preferisce ricostruzioni.</v>
      </c>
      <c r="G3341" s="6" t="str">
        <f>IFERROR(__xludf.DUMMYFUNCTION("GOOGLETRANSLATE(E3341,""fr"",""it"")"),"Non si fida del suo senso del gusto, preferisce ricostruzioni.")</f>
        <v>Non si fida del suo senso del gusto, preferisce ricostruzioni.</v>
      </c>
    </row>
    <row r="3342">
      <c r="A3342" s="4">
        <v>3340.0</v>
      </c>
      <c r="B3342" s="5" t="s">
        <v>10027</v>
      </c>
      <c r="C3342" s="4">
        <v>1.0</v>
      </c>
      <c r="D3342" s="5" t="s">
        <v>10028</v>
      </c>
      <c r="E3342" s="5" t="s">
        <v>10029</v>
      </c>
      <c r="F3342" s="6" t="str">
        <f>IFERROR(__xludf.DUMMYFUNCTION("GOOGLETRANSLATE(D3342,""en"",""it"")"),"Non si fida di ricostruzioni, preferisce il suo gusto.")</f>
        <v>Non si fida di ricostruzioni, preferisce il suo gusto.</v>
      </c>
      <c r="G3342" s="6" t="str">
        <f>IFERROR(__xludf.DUMMYFUNCTION("GOOGLETRANSLATE(E3342,""fr"",""it"")"),"Non si fida delle ricostruzioni, preferisce il suo senso del gusto.")</f>
        <v>Non si fida delle ricostruzioni, preferisce il suo senso del gusto.</v>
      </c>
    </row>
    <row r="3343">
      <c r="A3343" s="4">
        <v>3341.0</v>
      </c>
      <c r="B3343" s="5" t="s">
        <v>10030</v>
      </c>
      <c r="C3343" s="4">
        <v>1.0</v>
      </c>
      <c r="D3343" s="5" t="s">
        <v>10031</v>
      </c>
      <c r="E3343" s="5" t="s">
        <v>10032</v>
      </c>
      <c r="F3343" s="6" t="str">
        <f>IFERROR(__xludf.DUMMYFUNCTION("GOOGLETRANSLATE(D3343,""en"",""it"")"),"Non si fida dei suoi gusti, preferisce ipotesi.")</f>
        <v>Non si fida dei suoi gusti, preferisce ipotesi.</v>
      </c>
      <c r="G3343" s="6" t="str">
        <f>IFERROR(__xludf.DUMMYFUNCTION("GOOGLETRANSLATE(E3343,""fr"",""it"")"),"Non si fida del suo senso del gusto, preferisce ipotesi.")</f>
        <v>Non si fida del suo senso del gusto, preferisce ipotesi.</v>
      </c>
    </row>
    <row r="3344">
      <c r="A3344" s="4">
        <v>3342.0</v>
      </c>
      <c r="B3344" s="5" t="s">
        <v>10033</v>
      </c>
      <c r="C3344" s="4">
        <v>1.0</v>
      </c>
      <c r="D3344" s="5" t="s">
        <v>10034</v>
      </c>
      <c r="E3344" s="5" t="s">
        <v>10035</v>
      </c>
      <c r="F3344" s="6" t="str">
        <f>IFERROR(__xludf.DUMMYFUNCTION("GOOGLETRANSLATE(D3344,""en"",""it"")"),"Non si fidano che ipotesi, preferisce il suo gusto.")</f>
        <v>Non si fidano che ipotesi, preferisce il suo gusto.</v>
      </c>
      <c r="G3344" s="6" t="str">
        <f>IFERROR(__xludf.DUMMYFUNCTION("GOOGLETRANSLATE(E3344,""fr"",""it"")"),"Non si fida delle ipotesi, preferisce il suo senso del gusto.")</f>
        <v>Non si fida delle ipotesi, preferisce il suo senso del gusto.</v>
      </c>
    </row>
    <row r="3345">
      <c r="A3345" s="4">
        <v>3343.0</v>
      </c>
      <c r="B3345" s="5" t="s">
        <v>10036</v>
      </c>
      <c r="C3345" s="4">
        <v>1.0</v>
      </c>
      <c r="D3345" s="5" t="s">
        <v>10037</v>
      </c>
      <c r="E3345" s="5" t="s">
        <v>10038</v>
      </c>
      <c r="F3345" s="6" t="str">
        <f>IFERROR(__xludf.DUMMYFUNCTION("GOOGLETRANSLATE(D3345,""en"",""it"")"),"A lui non piace la gioia, preferisce la saggezza.")</f>
        <v>A lui non piace la gioia, preferisce la saggezza.</v>
      </c>
      <c r="G3345" s="6" t="str">
        <f>IFERROR(__xludf.DUMMYFUNCTION("GOOGLETRANSLATE(E3345,""fr"",""it"")"),"A lui non piace la gioia, preferisce la saggezza.")</f>
        <v>A lui non piace la gioia, preferisce la saggezza.</v>
      </c>
    </row>
    <row r="3346">
      <c r="A3346" s="4">
        <v>3344.0</v>
      </c>
      <c r="B3346" s="5" t="s">
        <v>10039</v>
      </c>
      <c r="C3346" s="4">
        <v>1.0</v>
      </c>
      <c r="D3346" s="5" t="s">
        <v>10040</v>
      </c>
      <c r="E3346" s="5" t="s">
        <v>10041</v>
      </c>
      <c r="F3346" s="6" t="str">
        <f>IFERROR(__xludf.DUMMYFUNCTION("GOOGLETRANSLATE(D3346,""en"",""it"")"),"A lui non piace la saggezza, preferisce la gioia.")</f>
        <v>A lui non piace la saggezza, preferisce la gioia.</v>
      </c>
      <c r="G3346" s="6" t="str">
        <f>IFERROR(__xludf.DUMMYFUNCTION("GOOGLETRANSLATE(E3346,""fr"",""it"")"),"A lui non piace la saggezza, preferisce la gioia.")</f>
        <v>A lui non piace la saggezza, preferisce la gioia.</v>
      </c>
    </row>
    <row r="3347">
      <c r="A3347" s="4">
        <v>3345.0</v>
      </c>
      <c r="B3347" s="5" t="s">
        <v>10042</v>
      </c>
      <c r="C3347" s="4">
        <v>0.0</v>
      </c>
      <c r="D3347" s="5" t="s">
        <v>10043</v>
      </c>
      <c r="E3347" s="5" t="s">
        <v>10044</v>
      </c>
      <c r="F3347" s="6" t="str">
        <f>IFERROR(__xludf.DUMMYFUNCTION("GOOGLETRANSLATE(D3347,""en"",""it"")"),"A lui non piace la gioia, preferisce le emozioni.")</f>
        <v>A lui non piace la gioia, preferisce le emozioni.</v>
      </c>
      <c r="G3347" s="6" t="str">
        <f>IFERROR(__xludf.DUMMYFUNCTION("GOOGLETRANSLATE(E3347,""fr"",""it"")"),"A lui non piace la gioia, preferisce le emozioni.")</f>
        <v>A lui non piace la gioia, preferisce le emozioni.</v>
      </c>
    </row>
    <row r="3348">
      <c r="A3348" s="4">
        <v>3346.0</v>
      </c>
      <c r="B3348" s="5" t="s">
        <v>10045</v>
      </c>
      <c r="C3348" s="4">
        <v>0.0</v>
      </c>
      <c r="D3348" s="5" t="s">
        <v>10046</v>
      </c>
      <c r="E3348" s="5" t="s">
        <v>10047</v>
      </c>
      <c r="F3348" s="6" t="str">
        <f>IFERROR(__xludf.DUMMYFUNCTION("GOOGLETRANSLATE(D3348,""en"",""it"")"),"A lui non piacciono le emozioni, preferisce la gioia.")</f>
        <v>A lui non piacciono le emozioni, preferisce la gioia.</v>
      </c>
      <c r="G3348" s="6" t="str">
        <f>IFERROR(__xludf.DUMMYFUNCTION("GOOGLETRANSLATE(E3348,""fr"",""it"")"),"A lui non piacciono le emozioni, preferisce la gioia.")</f>
        <v>A lui non piacciono le emozioni, preferisce la gioia.</v>
      </c>
    </row>
    <row r="3349">
      <c r="A3349" s="4">
        <v>3347.0</v>
      </c>
      <c r="B3349" s="5" t="s">
        <v>10048</v>
      </c>
      <c r="C3349" s="4">
        <v>1.0</v>
      </c>
      <c r="D3349" s="5" t="s">
        <v>10049</v>
      </c>
      <c r="E3349" s="5" t="s">
        <v>10050</v>
      </c>
      <c r="F3349" s="6" t="str">
        <f>IFERROR(__xludf.DUMMYFUNCTION("GOOGLETRANSLATE(D3349,""en"",""it"")"),"A lui non piacciono le emozioni, preferisce la saggezza.")</f>
        <v>A lui non piacciono le emozioni, preferisce la saggezza.</v>
      </c>
      <c r="G3349" s="6" t="str">
        <f>IFERROR(__xludf.DUMMYFUNCTION("GOOGLETRANSLATE(E3349,""fr"",""it"")"),"A lui non piacciono le emozioni, preferisce la saggezza.")</f>
        <v>A lui non piacciono le emozioni, preferisce la saggezza.</v>
      </c>
    </row>
    <row r="3350">
      <c r="A3350" s="4">
        <v>3348.0</v>
      </c>
      <c r="B3350" s="5" t="s">
        <v>10051</v>
      </c>
      <c r="C3350" s="4">
        <v>1.0</v>
      </c>
      <c r="D3350" s="5" t="s">
        <v>10052</v>
      </c>
      <c r="E3350" s="5" t="s">
        <v>10053</v>
      </c>
      <c r="F3350" s="6" t="str">
        <f>IFERROR(__xludf.DUMMYFUNCTION("GOOGLETRANSLATE(D3350,""en"",""it"")"),"A lui non piace la gioia, preferisce la stupidità.")</f>
        <v>A lui non piace la gioia, preferisce la stupidità.</v>
      </c>
      <c r="G3350" s="6" t="str">
        <f>IFERROR(__xludf.DUMMYFUNCTION("GOOGLETRANSLATE(E3350,""fr"",""it"")"),"A lui non piace la gioia, preferisce la stupidità.")</f>
        <v>A lui non piace la gioia, preferisce la stupidità.</v>
      </c>
    </row>
    <row r="3351">
      <c r="A3351" s="4">
        <v>3349.0</v>
      </c>
      <c r="B3351" s="5" t="s">
        <v>10054</v>
      </c>
      <c r="C3351" s="4">
        <v>1.0</v>
      </c>
      <c r="D3351" s="5" t="s">
        <v>10055</v>
      </c>
      <c r="E3351" s="5" t="s">
        <v>10056</v>
      </c>
      <c r="F3351" s="6" t="str">
        <f>IFERROR(__xludf.DUMMYFUNCTION("GOOGLETRANSLATE(D3351,""en"",""it"")"),"A lui non piace la stupidità, preferisce la gioia.")</f>
        <v>A lui non piace la stupidità, preferisce la gioia.</v>
      </c>
      <c r="G3351" s="6" t="str">
        <f>IFERROR(__xludf.DUMMYFUNCTION("GOOGLETRANSLATE(E3351,""fr"",""it"")"),"A lui non piace la stupidità, preferisce la gioia.")</f>
        <v>A lui non piace la stupidità, preferisce la gioia.</v>
      </c>
    </row>
    <row r="3352">
      <c r="A3352" s="4">
        <v>3350.0</v>
      </c>
      <c r="B3352" s="5" t="s">
        <v>10057</v>
      </c>
      <c r="C3352" s="4">
        <v>0.0</v>
      </c>
      <c r="D3352" s="5" t="s">
        <v>10058</v>
      </c>
      <c r="E3352" s="5" t="s">
        <v>10059</v>
      </c>
      <c r="F3352" s="6" t="str">
        <f>IFERROR(__xludf.DUMMYFUNCTION("GOOGLETRANSLATE(D3352,""en"",""it"")"),"Mi piacciono i granchi, tranne la carne bovina.")</f>
        <v>Mi piacciono i granchi, tranne la carne bovina.</v>
      </c>
      <c r="G3352" s="6" t="str">
        <f>IFERROR(__xludf.DUMMYFUNCTION("GOOGLETRANSLATE(E3352,""fr"",""it"")"),"Amo i granchi tranne il manzo.")</f>
        <v>Amo i granchi tranne il manzo.</v>
      </c>
    </row>
    <row r="3353">
      <c r="A3353" s="4">
        <v>3351.0</v>
      </c>
      <c r="B3353" s="5" t="s">
        <v>10060</v>
      </c>
      <c r="C3353" s="4">
        <v>1.0</v>
      </c>
      <c r="D3353" s="5" t="s">
        <v>10061</v>
      </c>
      <c r="E3353" s="5" t="s">
        <v>10062</v>
      </c>
      <c r="F3353" s="6" t="str">
        <f>IFERROR(__xludf.DUMMYFUNCTION("GOOGLETRANSLATE(D3353,""en"",""it"")"),"A lui non piacciono le emozioni, preferisce la stupidità.")</f>
        <v>A lui non piacciono le emozioni, preferisce la stupidità.</v>
      </c>
      <c r="G3353" s="6" t="str">
        <f>IFERROR(__xludf.DUMMYFUNCTION("GOOGLETRANSLATE(E3353,""fr"",""it"")"),"A lui non piacciono le emozioni, preferisce la stupidità.")</f>
        <v>A lui non piacciono le emozioni, preferisce la stupidità.</v>
      </c>
    </row>
    <row r="3354">
      <c r="A3354" s="4">
        <v>3352.0</v>
      </c>
      <c r="B3354" s="5" t="s">
        <v>10063</v>
      </c>
      <c r="C3354" s="4">
        <v>1.0</v>
      </c>
      <c r="D3354" s="5" t="s">
        <v>10064</v>
      </c>
      <c r="E3354" s="5" t="s">
        <v>10065</v>
      </c>
      <c r="F3354" s="6" t="str">
        <f>IFERROR(__xludf.DUMMYFUNCTION("GOOGLETRANSLATE(D3354,""en"",""it"")"),"A lui non piace la gioia, preferisce la logica.")</f>
        <v>A lui non piace la gioia, preferisce la logica.</v>
      </c>
      <c r="G3354" s="6" t="str">
        <f>IFERROR(__xludf.DUMMYFUNCTION("GOOGLETRANSLATE(E3354,""fr"",""it"")"),"A lui non piace la gioia, preferisce la logica.")</f>
        <v>A lui non piace la gioia, preferisce la logica.</v>
      </c>
    </row>
    <row r="3355">
      <c r="A3355" s="4">
        <v>3353.0</v>
      </c>
      <c r="B3355" s="5" t="s">
        <v>10066</v>
      </c>
      <c r="C3355" s="4">
        <v>1.0</v>
      </c>
      <c r="D3355" s="5" t="s">
        <v>10067</v>
      </c>
      <c r="E3355" s="5" t="s">
        <v>10068</v>
      </c>
      <c r="F3355" s="6" t="str">
        <f>IFERROR(__xludf.DUMMYFUNCTION("GOOGLETRANSLATE(D3355,""en"",""it"")"),"A lui non piace la logica, preferisce la gioia.")</f>
        <v>A lui non piace la logica, preferisce la gioia.</v>
      </c>
      <c r="G3355" s="6" t="str">
        <f>IFERROR(__xludf.DUMMYFUNCTION("GOOGLETRANSLATE(E3355,""fr"",""it"")"),"A lui non piace la logica, preferisce la gioia.")</f>
        <v>A lui non piace la logica, preferisce la gioia.</v>
      </c>
    </row>
    <row r="3356">
      <c r="A3356" s="4">
        <v>3354.0</v>
      </c>
      <c r="B3356" s="5" t="s">
        <v>10069</v>
      </c>
      <c r="C3356" s="4">
        <v>1.0</v>
      </c>
      <c r="D3356" s="5" t="s">
        <v>10070</v>
      </c>
      <c r="E3356" s="5" t="s">
        <v>10071</v>
      </c>
      <c r="F3356" s="6" t="str">
        <f>IFERROR(__xludf.DUMMYFUNCTION("GOOGLETRANSLATE(D3356,""en"",""it"")"),"A lui non piacciono le emozioni, preferisce la logica.")</f>
        <v>A lui non piacciono le emozioni, preferisce la logica.</v>
      </c>
      <c r="G3356" s="6" t="str">
        <f>IFERROR(__xludf.DUMMYFUNCTION("GOOGLETRANSLATE(E3356,""fr"",""it"")"),"A lui non piacciono le emozioni, preferisce la logica.")</f>
        <v>A lui non piacciono le emozioni, preferisce la logica.</v>
      </c>
    </row>
    <row r="3357">
      <c r="A3357" s="4">
        <v>3355.0</v>
      </c>
      <c r="B3357" s="5" t="s">
        <v>10072</v>
      </c>
      <c r="C3357" s="4">
        <v>1.0</v>
      </c>
      <c r="D3357" s="5" t="s">
        <v>10073</v>
      </c>
      <c r="E3357" s="5" t="s">
        <v>10074</v>
      </c>
      <c r="F3357" s="6" t="str">
        <f>IFERROR(__xludf.DUMMYFUNCTION("GOOGLETRANSLATE(D3357,""en"",""it"")"),"A lui non piace la gioia, preferisce i calcoli.")</f>
        <v>A lui non piace la gioia, preferisce i calcoli.</v>
      </c>
      <c r="G3357" s="6" t="str">
        <f>IFERROR(__xludf.DUMMYFUNCTION("GOOGLETRANSLATE(E3357,""fr"",""it"")"),"A lui non piace la gioia, preferisce i calcoli.")</f>
        <v>A lui non piace la gioia, preferisce i calcoli.</v>
      </c>
    </row>
    <row r="3358">
      <c r="A3358" s="4">
        <v>3356.0</v>
      </c>
      <c r="B3358" s="5" t="s">
        <v>10075</v>
      </c>
      <c r="C3358" s="4">
        <v>1.0</v>
      </c>
      <c r="D3358" s="5" t="s">
        <v>10076</v>
      </c>
      <c r="E3358" s="5" t="s">
        <v>10077</v>
      </c>
      <c r="F3358" s="6" t="str">
        <f>IFERROR(__xludf.DUMMYFUNCTION("GOOGLETRANSLATE(D3358,""en"",""it"")"),"Non ama i calcoli, preferisce la gioia.")</f>
        <v>Non ama i calcoli, preferisce la gioia.</v>
      </c>
      <c r="G3358" s="6" t="str">
        <f>IFERROR(__xludf.DUMMYFUNCTION("GOOGLETRANSLATE(E3358,""fr"",""it"")"),"A lui non piace i calcoli, preferisce la gioia.")</f>
        <v>A lui non piace i calcoli, preferisce la gioia.</v>
      </c>
    </row>
    <row r="3359">
      <c r="A3359" s="4">
        <v>3357.0</v>
      </c>
      <c r="B3359" s="5" t="s">
        <v>10078</v>
      </c>
      <c r="C3359" s="4">
        <v>0.0</v>
      </c>
      <c r="D3359" s="5" t="s">
        <v>10079</v>
      </c>
      <c r="E3359" s="5" t="s">
        <v>10080</v>
      </c>
      <c r="F3359" s="6" t="str">
        <f>IFERROR(__xludf.DUMMYFUNCTION("GOOGLETRANSLATE(D3359,""en"",""it"")"),"Mi piace il manzo, tranne i granchi.")</f>
        <v>Mi piace il manzo, tranne i granchi.</v>
      </c>
      <c r="G3359" s="6" t="str">
        <f>IFERROR(__xludf.DUMMYFUNCTION("GOOGLETRANSLATE(E3359,""fr"",""it"")"),"Amo la carne, tranne i granchi.")</f>
        <v>Amo la carne, tranne i granchi.</v>
      </c>
    </row>
    <row r="3360">
      <c r="A3360" s="4">
        <v>3358.0</v>
      </c>
      <c r="B3360" s="5" t="s">
        <v>10081</v>
      </c>
      <c r="C3360" s="4">
        <v>1.0</v>
      </c>
      <c r="D3360" s="5" t="s">
        <v>10082</v>
      </c>
      <c r="E3360" s="5" t="s">
        <v>10083</v>
      </c>
      <c r="F3360" s="6" t="str">
        <f>IFERROR(__xludf.DUMMYFUNCTION("GOOGLETRANSLATE(D3360,""en"",""it"")"),"Non piacciono le emozioni, preferisce i calcoli.")</f>
        <v>Non piacciono le emozioni, preferisce i calcoli.</v>
      </c>
      <c r="G3360" s="6" t="str">
        <f>IFERROR(__xludf.DUMMYFUNCTION("GOOGLETRANSLATE(E3360,""fr"",""it"")"),"A lui non piacciono le emozioni, preferisce i calcoli.")</f>
        <v>A lui non piacciono le emozioni, preferisce i calcoli.</v>
      </c>
    </row>
    <row r="3361">
      <c r="A3361" s="4">
        <v>3359.0</v>
      </c>
      <c r="B3361" s="5" t="s">
        <v>10084</v>
      </c>
      <c r="C3361" s="4">
        <v>1.0</v>
      </c>
      <c r="D3361" s="5" t="s">
        <v>10085</v>
      </c>
      <c r="E3361" s="5" t="s">
        <v>10086</v>
      </c>
      <c r="F3361" s="6" t="str">
        <f>IFERROR(__xludf.DUMMYFUNCTION("GOOGLETRANSLATE(D3361,""en"",""it"")"),"A lui non piace la paura, preferisce la saggezza.")</f>
        <v>A lui non piace la paura, preferisce la saggezza.</v>
      </c>
      <c r="G3361" s="6" t="str">
        <f>IFERROR(__xludf.DUMMYFUNCTION("GOOGLETRANSLATE(E3361,""fr"",""it"")"),"A lui non piace la paura, preferisce la saggezza.")</f>
        <v>A lui non piace la paura, preferisce la saggezza.</v>
      </c>
    </row>
    <row r="3362">
      <c r="A3362" s="4">
        <v>3360.0</v>
      </c>
      <c r="B3362" s="5" t="s">
        <v>10087</v>
      </c>
      <c r="C3362" s="4">
        <v>1.0</v>
      </c>
      <c r="D3362" s="5" t="s">
        <v>10088</v>
      </c>
      <c r="E3362" s="5" t="s">
        <v>10089</v>
      </c>
      <c r="F3362" s="6" t="str">
        <f>IFERROR(__xludf.DUMMYFUNCTION("GOOGLETRANSLATE(D3362,""en"",""it"")"),"A lui non piace la saggezza, preferisce la paura.")</f>
        <v>A lui non piace la saggezza, preferisce la paura.</v>
      </c>
      <c r="G3362" s="6" t="str">
        <f>IFERROR(__xludf.DUMMYFUNCTION("GOOGLETRANSLATE(E3362,""fr"",""it"")"),"A lui non piace la saggezza, preferisce la paura.")</f>
        <v>A lui non piace la saggezza, preferisce la paura.</v>
      </c>
    </row>
    <row r="3363">
      <c r="A3363" s="4">
        <v>3361.0</v>
      </c>
      <c r="B3363" s="5" t="s">
        <v>10090</v>
      </c>
      <c r="C3363" s="4">
        <v>0.0</v>
      </c>
      <c r="D3363" s="5" t="s">
        <v>10091</v>
      </c>
      <c r="E3363" s="5" t="s">
        <v>10092</v>
      </c>
      <c r="F3363" s="6" t="str">
        <f>IFERROR(__xludf.DUMMYFUNCTION("GOOGLETRANSLATE(D3363,""en"",""it"")"),"A lui non piace la paura, preferisce le emozioni.")</f>
        <v>A lui non piace la paura, preferisce le emozioni.</v>
      </c>
      <c r="G3363" s="6" t="str">
        <f>IFERROR(__xludf.DUMMYFUNCTION("GOOGLETRANSLATE(E3363,""fr"",""it"")"),"A lui non piace la paura, preferisce le emozioni.")</f>
        <v>A lui non piace la paura, preferisce le emozioni.</v>
      </c>
    </row>
    <row r="3364">
      <c r="A3364" s="4">
        <v>3362.0</v>
      </c>
      <c r="B3364" s="5" t="s">
        <v>10093</v>
      </c>
      <c r="C3364" s="4">
        <v>0.0</v>
      </c>
      <c r="D3364" s="5" t="s">
        <v>10094</v>
      </c>
      <c r="E3364" s="5" t="s">
        <v>10095</v>
      </c>
      <c r="F3364" s="6" t="str">
        <f>IFERROR(__xludf.DUMMYFUNCTION("GOOGLETRANSLATE(D3364,""en"",""it"")"),"A lui non piacciono le emozioni, preferisce la paura.")</f>
        <v>A lui non piacciono le emozioni, preferisce la paura.</v>
      </c>
      <c r="G3364" s="6" t="str">
        <f>IFERROR(__xludf.DUMMYFUNCTION("GOOGLETRANSLATE(E3364,""fr"",""it"")"),"A lui non piacciono le emozioni, preferisce la paura.")</f>
        <v>A lui non piacciono le emozioni, preferisce la paura.</v>
      </c>
    </row>
    <row r="3365">
      <c r="A3365" s="4">
        <v>3363.0</v>
      </c>
      <c r="B3365" s="5" t="s">
        <v>10096</v>
      </c>
      <c r="C3365" s="4">
        <v>1.0</v>
      </c>
      <c r="D3365" s="5" t="s">
        <v>10097</v>
      </c>
      <c r="E3365" s="5" t="s">
        <v>10098</v>
      </c>
      <c r="F3365" s="6" t="str">
        <f>IFERROR(__xludf.DUMMYFUNCTION("GOOGLETRANSLATE(D3365,""en"",""it"")"),"A lui non piace la paura, preferisce la stupidità.")</f>
        <v>A lui non piace la paura, preferisce la stupidità.</v>
      </c>
      <c r="G3365" s="6" t="str">
        <f>IFERROR(__xludf.DUMMYFUNCTION("GOOGLETRANSLATE(E3365,""fr"",""it"")"),"A lui non piace la paura, preferisce la stupidità.")</f>
        <v>A lui non piace la paura, preferisce la stupidità.</v>
      </c>
    </row>
    <row r="3366">
      <c r="A3366" s="4">
        <v>3364.0</v>
      </c>
      <c r="B3366" s="5" t="s">
        <v>10099</v>
      </c>
      <c r="C3366" s="4">
        <v>1.0</v>
      </c>
      <c r="D3366" s="5" t="s">
        <v>10100</v>
      </c>
      <c r="E3366" s="5" t="s">
        <v>10101</v>
      </c>
      <c r="F3366" s="6" t="str">
        <f>IFERROR(__xludf.DUMMYFUNCTION("GOOGLETRANSLATE(D3366,""en"",""it"")"),"A lui non piace la stupidità, preferisce la paura.")</f>
        <v>A lui non piace la stupidità, preferisce la paura.</v>
      </c>
      <c r="G3366" s="6" t="str">
        <f>IFERROR(__xludf.DUMMYFUNCTION("GOOGLETRANSLATE(E3366,""fr"",""it"")"),"A lui non piace la stupidità, preferisce la paura.")</f>
        <v>A lui non piace la stupidità, preferisce la paura.</v>
      </c>
    </row>
    <row r="3367">
      <c r="A3367" s="4">
        <v>3365.0</v>
      </c>
      <c r="B3367" s="5" t="s">
        <v>10102</v>
      </c>
      <c r="C3367" s="4">
        <v>1.0</v>
      </c>
      <c r="D3367" s="5" t="s">
        <v>10103</v>
      </c>
      <c r="E3367" s="5" t="s">
        <v>10104</v>
      </c>
      <c r="F3367" s="6" t="str">
        <f>IFERROR(__xludf.DUMMYFUNCTION("GOOGLETRANSLATE(D3367,""en"",""it"")"),"A lui non piace la paura, preferisce la logica.")</f>
        <v>A lui non piace la paura, preferisce la logica.</v>
      </c>
      <c r="G3367" s="6" t="str">
        <f>IFERROR(__xludf.DUMMYFUNCTION("GOOGLETRANSLATE(E3367,""fr"",""it"")"),"A lui non piace la paura, preferisce la logica.")</f>
        <v>A lui non piace la paura, preferisce la logica.</v>
      </c>
    </row>
    <row r="3368">
      <c r="A3368" s="4">
        <v>3366.0</v>
      </c>
      <c r="B3368" s="5" t="s">
        <v>10105</v>
      </c>
      <c r="C3368" s="4">
        <v>1.0</v>
      </c>
      <c r="D3368" s="5" t="s">
        <v>10106</v>
      </c>
      <c r="E3368" s="5" t="s">
        <v>10107</v>
      </c>
      <c r="F3368" s="6" t="str">
        <f>IFERROR(__xludf.DUMMYFUNCTION("GOOGLETRANSLATE(D3368,""en"",""it"")"),"A lui non piace la logica, preferisce la paura.")</f>
        <v>A lui non piace la logica, preferisce la paura.</v>
      </c>
      <c r="G3368" s="6" t="str">
        <f>IFERROR(__xludf.DUMMYFUNCTION("GOOGLETRANSLATE(E3368,""fr"",""it"")"),"A lui non piace la logica, preferisce la paura.")</f>
        <v>A lui non piace la logica, preferisce la paura.</v>
      </c>
    </row>
    <row r="3369">
      <c r="A3369" s="4">
        <v>3367.0</v>
      </c>
      <c r="B3369" s="5" t="s">
        <v>10108</v>
      </c>
      <c r="C3369" s="4">
        <v>1.0</v>
      </c>
      <c r="D3369" s="5" t="s">
        <v>10109</v>
      </c>
      <c r="E3369" s="5" t="s">
        <v>10110</v>
      </c>
      <c r="F3369" s="6" t="str">
        <f>IFERROR(__xludf.DUMMYFUNCTION("GOOGLETRANSLATE(D3369,""en"",""it"")"),"A lui non piace la paura, preferisce i calcoli.")</f>
        <v>A lui non piace la paura, preferisce i calcoli.</v>
      </c>
      <c r="G3369" s="6" t="str">
        <f>IFERROR(__xludf.DUMMYFUNCTION("GOOGLETRANSLATE(E3369,""fr"",""it"")"),"Non piace la paura, preferisce i calcoli.")</f>
        <v>Non piace la paura, preferisce i calcoli.</v>
      </c>
    </row>
    <row r="3370">
      <c r="A3370" s="4">
        <v>3368.0</v>
      </c>
      <c r="B3370" s="5" t="s">
        <v>10111</v>
      </c>
      <c r="C3370" s="4">
        <v>1.0</v>
      </c>
      <c r="D3370" s="5" t="s">
        <v>10112</v>
      </c>
      <c r="E3370" s="5" t="s">
        <v>10113</v>
      </c>
      <c r="F3370" s="6" t="str">
        <f>IFERROR(__xludf.DUMMYFUNCTION("GOOGLETRANSLATE(D3370,""en"",""it"")"),"Non ama i calcoli, preferisce la paura.")</f>
        <v>Non ama i calcoli, preferisce la paura.</v>
      </c>
      <c r="G3370" s="6" t="str">
        <f>IFERROR(__xludf.DUMMYFUNCTION("GOOGLETRANSLATE(E3370,""fr"",""it"")"),"A lui non piacciono i calcoli, preferisce la paura.")</f>
        <v>A lui non piacciono i calcoli, preferisce la paura.</v>
      </c>
    </row>
    <row r="3371">
      <c r="A3371" s="4">
        <v>3369.0</v>
      </c>
      <c r="B3371" s="5" t="s">
        <v>10114</v>
      </c>
      <c r="C3371" s="4">
        <v>1.0</v>
      </c>
      <c r="D3371" s="5" t="s">
        <v>10115</v>
      </c>
      <c r="E3371" s="5" t="s">
        <v>10116</v>
      </c>
      <c r="F3371" s="6" t="str">
        <f>IFERROR(__xludf.DUMMYFUNCTION("GOOGLETRANSLATE(D3371,""en"",""it"")"),"Non piace l'amore, preferisce la saggezza.")</f>
        <v>Non piace l'amore, preferisce la saggezza.</v>
      </c>
      <c r="G3371" s="6" t="str">
        <f>IFERROR(__xludf.DUMMYFUNCTION("GOOGLETRANSLATE(E3371,""fr"",""it"")"),"Non piace l'amore, preferisce la saggezza.")</f>
        <v>Non piace l'amore, preferisce la saggezza.</v>
      </c>
    </row>
    <row r="3372">
      <c r="A3372" s="4">
        <v>3370.0</v>
      </c>
      <c r="B3372" s="5" t="s">
        <v>10117</v>
      </c>
      <c r="C3372" s="4">
        <v>1.0</v>
      </c>
      <c r="D3372" s="5" t="s">
        <v>10118</v>
      </c>
      <c r="E3372" s="5" t="s">
        <v>10119</v>
      </c>
      <c r="F3372" s="6" t="str">
        <f>IFERROR(__xludf.DUMMYFUNCTION("GOOGLETRANSLATE(D3372,""en"",""it"")"),"A lui non piace la saggezza, preferisce l'amore.")</f>
        <v>A lui non piace la saggezza, preferisce l'amore.</v>
      </c>
      <c r="G3372" s="6" t="str">
        <f>IFERROR(__xludf.DUMMYFUNCTION("GOOGLETRANSLATE(E3372,""fr"",""it"")"),"A lui non piace la saggezza, preferisce l'amore.")</f>
        <v>A lui non piace la saggezza, preferisce l'amore.</v>
      </c>
    </row>
    <row r="3373">
      <c r="A3373" s="4">
        <v>3371.0</v>
      </c>
      <c r="B3373" s="5" t="s">
        <v>10120</v>
      </c>
      <c r="C3373" s="4">
        <v>0.0</v>
      </c>
      <c r="D3373" s="5" t="s">
        <v>10121</v>
      </c>
      <c r="E3373" s="5" t="s">
        <v>10122</v>
      </c>
      <c r="F3373" s="6" t="str">
        <f>IFERROR(__xludf.DUMMYFUNCTION("GOOGLETRANSLATE(D3373,""en"",""it"")"),"Non piace l'amore, preferisce le emozioni.")</f>
        <v>Non piace l'amore, preferisce le emozioni.</v>
      </c>
      <c r="G3373" s="6" t="str">
        <f>IFERROR(__xludf.DUMMYFUNCTION("GOOGLETRANSLATE(E3373,""fr"",""it"")"),"Non piace l'amore, preferisce le emozioni.")</f>
        <v>Non piace l'amore, preferisce le emozioni.</v>
      </c>
    </row>
    <row r="3374">
      <c r="A3374" s="4">
        <v>3372.0</v>
      </c>
      <c r="B3374" s="5" t="s">
        <v>10123</v>
      </c>
      <c r="C3374" s="4">
        <v>0.0</v>
      </c>
      <c r="D3374" s="5" t="s">
        <v>10124</v>
      </c>
      <c r="E3374" s="5" t="s">
        <v>10125</v>
      </c>
      <c r="F3374" s="6" t="str">
        <f>IFERROR(__xludf.DUMMYFUNCTION("GOOGLETRANSLATE(D3374,""en"",""it"")"),"A lui non piacciono le emozioni, preferisce l'amore.")</f>
        <v>A lui non piacciono le emozioni, preferisce l'amore.</v>
      </c>
      <c r="G3374" s="6" t="str">
        <f>IFERROR(__xludf.DUMMYFUNCTION("GOOGLETRANSLATE(E3374,""fr"",""it"")"),"A lui non piacciono le emozioni, preferisce l'amore.")</f>
        <v>A lui non piacciono le emozioni, preferisce l'amore.</v>
      </c>
    </row>
    <row r="3375">
      <c r="A3375" s="4">
        <v>3373.0</v>
      </c>
      <c r="B3375" s="5" t="s">
        <v>10126</v>
      </c>
      <c r="C3375" s="4">
        <v>1.0</v>
      </c>
      <c r="D3375" s="5" t="s">
        <v>10127</v>
      </c>
      <c r="E3375" s="5" t="s">
        <v>10128</v>
      </c>
      <c r="F3375" s="6" t="str">
        <f>IFERROR(__xludf.DUMMYFUNCTION("GOOGLETRANSLATE(D3375,""en"",""it"")"),"A lui non piace l'amore, preferisce la stupidità.")</f>
        <v>A lui non piace l'amore, preferisce la stupidità.</v>
      </c>
      <c r="G3375" s="6" t="str">
        <f>IFERROR(__xludf.DUMMYFUNCTION("GOOGLETRANSLATE(E3375,""fr"",""it"")"),"A lui non piace l'amore, preferisce la stupidità.")</f>
        <v>A lui non piace l'amore, preferisce la stupidità.</v>
      </c>
    </row>
    <row r="3376">
      <c r="A3376" s="4">
        <v>3374.0</v>
      </c>
      <c r="B3376" s="5" t="s">
        <v>10129</v>
      </c>
      <c r="C3376" s="4">
        <v>1.0</v>
      </c>
      <c r="D3376" s="5" t="s">
        <v>10130</v>
      </c>
      <c r="E3376" s="5" t="s">
        <v>10131</v>
      </c>
      <c r="F3376" s="6" t="str">
        <f>IFERROR(__xludf.DUMMYFUNCTION("GOOGLETRANSLATE(D3376,""en"",""it"")"),"A lui non piace la stupidità, preferisce l'amore.")</f>
        <v>A lui non piace la stupidità, preferisce l'amore.</v>
      </c>
      <c r="G3376" s="6" t="str">
        <f>IFERROR(__xludf.DUMMYFUNCTION("GOOGLETRANSLATE(E3376,""fr"",""it"")"),"A lui non piace la stupidità, preferisce l'amore.")</f>
        <v>A lui non piace la stupidità, preferisce l'amore.</v>
      </c>
    </row>
    <row r="3377">
      <c r="A3377" s="4">
        <v>3375.0</v>
      </c>
      <c r="B3377" s="5" t="s">
        <v>10132</v>
      </c>
      <c r="C3377" s="4">
        <v>1.0</v>
      </c>
      <c r="D3377" s="5" t="s">
        <v>10133</v>
      </c>
      <c r="E3377" s="5" t="s">
        <v>10134</v>
      </c>
      <c r="F3377" s="6" t="str">
        <f>IFERROR(__xludf.DUMMYFUNCTION("GOOGLETRANSLATE(D3377,""en"",""it"")"),"Non piace l'amore, preferisce la logica.")</f>
        <v>Non piace l'amore, preferisce la logica.</v>
      </c>
      <c r="G3377" s="6" t="str">
        <f>IFERROR(__xludf.DUMMYFUNCTION("GOOGLETRANSLATE(E3377,""fr"",""it"")"),"Non piace l'amore, preferisce la logica.")</f>
        <v>Non piace l'amore, preferisce la logica.</v>
      </c>
    </row>
    <row r="3378">
      <c r="A3378" s="4">
        <v>3376.0</v>
      </c>
      <c r="B3378" s="5" t="s">
        <v>10135</v>
      </c>
      <c r="C3378" s="4">
        <v>1.0</v>
      </c>
      <c r="D3378" s="5" t="s">
        <v>10136</v>
      </c>
      <c r="E3378" s="5" t="s">
        <v>10137</v>
      </c>
      <c r="F3378" s="6" t="str">
        <f>IFERROR(__xludf.DUMMYFUNCTION("GOOGLETRANSLATE(D3378,""en"",""it"")"),"A lui non piace la logica, preferisce l'amore.")</f>
        <v>A lui non piace la logica, preferisce l'amore.</v>
      </c>
      <c r="G3378" s="6" t="str">
        <f>IFERROR(__xludf.DUMMYFUNCTION("GOOGLETRANSLATE(E3378,""fr"",""it"")"),"A lui non piace la logica, preferisce l'amore.")</f>
        <v>A lui non piace la logica, preferisce l'amore.</v>
      </c>
    </row>
    <row r="3379">
      <c r="A3379" s="4">
        <v>3377.0</v>
      </c>
      <c r="B3379" s="5" t="s">
        <v>10138</v>
      </c>
      <c r="C3379" s="4">
        <v>1.0</v>
      </c>
      <c r="D3379" s="5" t="s">
        <v>10139</v>
      </c>
      <c r="E3379" s="5" t="s">
        <v>10140</v>
      </c>
      <c r="F3379" s="6" t="str">
        <f>IFERROR(__xludf.DUMMYFUNCTION("GOOGLETRANSLATE(D3379,""en"",""it"")"),"A lui non piace l'amore, preferisce i calcoli.")</f>
        <v>A lui non piace l'amore, preferisce i calcoli.</v>
      </c>
      <c r="G3379" s="6" t="str">
        <f>IFERROR(__xludf.DUMMYFUNCTION("GOOGLETRANSLATE(E3379,""fr"",""it"")"),"Non ama l'amore, preferisce i calcoli.")</f>
        <v>Non ama l'amore, preferisce i calcoli.</v>
      </c>
    </row>
    <row r="3380">
      <c r="A3380" s="4">
        <v>3378.0</v>
      </c>
      <c r="B3380" s="5" t="s">
        <v>10141</v>
      </c>
      <c r="C3380" s="4">
        <v>1.0</v>
      </c>
      <c r="D3380" s="5" t="s">
        <v>10142</v>
      </c>
      <c r="E3380" s="5" t="s">
        <v>10143</v>
      </c>
      <c r="F3380" s="6" t="str">
        <f>IFERROR(__xludf.DUMMYFUNCTION("GOOGLETRANSLATE(D3380,""en"",""it"")"),"Non piace i calcoli, preferisce l'amore.")</f>
        <v>Non piace i calcoli, preferisce l'amore.</v>
      </c>
      <c r="G3380" s="6" t="str">
        <f>IFERROR(__xludf.DUMMYFUNCTION("GOOGLETRANSLATE(E3380,""fr"",""it"")"),"Non piacciono i calcoli, preferisce l'amore.")</f>
        <v>Non piacciono i calcoli, preferisce l'amore.</v>
      </c>
    </row>
    <row r="3381">
      <c r="A3381" s="4">
        <v>3379.0</v>
      </c>
      <c r="B3381" s="5" t="s">
        <v>10144</v>
      </c>
      <c r="C3381" s="4">
        <v>1.0</v>
      </c>
      <c r="D3381" s="5" t="s">
        <v>10145</v>
      </c>
      <c r="E3381" s="5" t="s">
        <v>10146</v>
      </c>
      <c r="F3381" s="6" t="str">
        <f>IFERROR(__xludf.DUMMYFUNCTION("GOOGLETRANSLATE(D3381,""en"",""it"")"),"A lui non piace la tristezza, preferisce la saggezza.")</f>
        <v>A lui non piace la tristezza, preferisce la saggezza.</v>
      </c>
      <c r="G3381" s="6" t="str">
        <f>IFERROR(__xludf.DUMMYFUNCTION("GOOGLETRANSLATE(E3381,""fr"",""it"")"),"A lui non piace la tristezza, preferisce la saggezza.")</f>
        <v>A lui non piace la tristezza, preferisce la saggezza.</v>
      </c>
    </row>
    <row r="3382">
      <c r="A3382" s="4">
        <v>3380.0</v>
      </c>
      <c r="B3382" s="5" t="s">
        <v>10147</v>
      </c>
      <c r="C3382" s="4">
        <v>1.0</v>
      </c>
      <c r="D3382" s="5" t="s">
        <v>10148</v>
      </c>
      <c r="E3382" s="5" t="s">
        <v>10149</v>
      </c>
      <c r="F3382" s="6" t="str">
        <f>IFERROR(__xludf.DUMMYFUNCTION("GOOGLETRANSLATE(D3382,""en"",""it"")"),"A lui non piace la saggezza, preferisce tristezza.")</f>
        <v>A lui non piace la saggezza, preferisce tristezza.</v>
      </c>
      <c r="G3382" s="6" t="str">
        <f>IFERROR(__xludf.DUMMYFUNCTION("GOOGLETRANSLATE(E3382,""fr"",""it"")"),"A lui non piace la saggezza, preferisce tristezza.")</f>
        <v>A lui non piace la saggezza, preferisce tristezza.</v>
      </c>
    </row>
    <row r="3383">
      <c r="A3383" s="4">
        <v>3381.0</v>
      </c>
      <c r="B3383" s="5" t="s">
        <v>10150</v>
      </c>
      <c r="C3383" s="4">
        <v>0.0</v>
      </c>
      <c r="D3383" s="5" t="s">
        <v>10151</v>
      </c>
      <c r="E3383" s="5" t="s">
        <v>10152</v>
      </c>
      <c r="F3383" s="6" t="str">
        <f>IFERROR(__xludf.DUMMYFUNCTION("GOOGLETRANSLATE(D3383,""en"",""it"")"),"A lui non piace la tristezza, preferisce le emozioni.")</f>
        <v>A lui non piace la tristezza, preferisce le emozioni.</v>
      </c>
      <c r="G3383" s="6" t="str">
        <f>IFERROR(__xludf.DUMMYFUNCTION("GOOGLETRANSLATE(E3383,""fr"",""it"")"),"A lui non piace la tristezza, preferisce le emozioni.")</f>
        <v>A lui non piace la tristezza, preferisce le emozioni.</v>
      </c>
    </row>
    <row r="3384">
      <c r="A3384" s="4">
        <v>3382.0</v>
      </c>
      <c r="B3384" s="5" t="s">
        <v>10153</v>
      </c>
      <c r="C3384" s="4">
        <v>0.0</v>
      </c>
      <c r="D3384" s="5" t="s">
        <v>10154</v>
      </c>
      <c r="E3384" s="5" t="s">
        <v>10155</v>
      </c>
      <c r="F3384" s="6" t="str">
        <f>IFERROR(__xludf.DUMMYFUNCTION("GOOGLETRANSLATE(D3384,""en"",""it"")"),"Non piacciono le emozioni, preferisce tristezza.")</f>
        <v>Non piacciono le emozioni, preferisce tristezza.</v>
      </c>
      <c r="G3384" s="6" t="str">
        <f>IFERROR(__xludf.DUMMYFUNCTION("GOOGLETRANSLATE(E3384,""fr"",""it"")"),"Non piacciono le emozioni, preferisce tristezza.")</f>
        <v>Non piacciono le emozioni, preferisce tristezza.</v>
      </c>
    </row>
    <row r="3385">
      <c r="A3385" s="4">
        <v>3383.0</v>
      </c>
      <c r="B3385" s="5" t="s">
        <v>10156</v>
      </c>
      <c r="C3385" s="4">
        <v>1.0</v>
      </c>
      <c r="D3385" s="5" t="s">
        <v>10157</v>
      </c>
      <c r="E3385" s="5" t="s">
        <v>10158</v>
      </c>
      <c r="F3385" s="6" t="str">
        <f>IFERROR(__xludf.DUMMYFUNCTION("GOOGLETRANSLATE(D3385,""en"",""it"")"),"A lui non piace la tristezza, preferisce la stupidità.")</f>
        <v>A lui non piace la tristezza, preferisce la stupidità.</v>
      </c>
      <c r="G3385" s="6" t="str">
        <f>IFERROR(__xludf.DUMMYFUNCTION("GOOGLETRANSLATE(E3385,""fr"",""it"")"),"A lui non piace la tristezza, preferisce la stupidità.")</f>
        <v>A lui non piace la tristezza, preferisce la stupidità.</v>
      </c>
    </row>
    <row r="3386">
      <c r="A3386" s="4">
        <v>3384.0</v>
      </c>
      <c r="B3386" s="5" t="s">
        <v>10159</v>
      </c>
      <c r="C3386" s="4">
        <v>1.0</v>
      </c>
      <c r="D3386" s="5" t="s">
        <v>10160</v>
      </c>
      <c r="E3386" s="5" t="s">
        <v>10161</v>
      </c>
      <c r="F3386" s="6" t="str">
        <f>IFERROR(__xludf.DUMMYFUNCTION("GOOGLETRANSLATE(D3386,""en"",""it"")"),"A lui non piace la stupidità, preferisce tristezza.")</f>
        <v>A lui non piace la stupidità, preferisce tristezza.</v>
      </c>
      <c r="G3386" s="6" t="str">
        <f>IFERROR(__xludf.DUMMYFUNCTION("GOOGLETRANSLATE(E3386,""fr"",""it"")"),"A lui non piace la stupidità, preferisce tristezza.")</f>
        <v>A lui non piace la stupidità, preferisce tristezza.</v>
      </c>
    </row>
    <row r="3387">
      <c r="A3387" s="4">
        <v>3385.0</v>
      </c>
      <c r="B3387" s="5" t="s">
        <v>10162</v>
      </c>
      <c r="C3387" s="4">
        <v>1.0</v>
      </c>
      <c r="D3387" s="5" t="s">
        <v>10163</v>
      </c>
      <c r="E3387" s="5" t="s">
        <v>10164</v>
      </c>
      <c r="F3387" s="6" t="str">
        <f>IFERROR(__xludf.DUMMYFUNCTION("GOOGLETRANSLATE(D3387,""en"",""it"")"),"A lui non piace la tristezza, preferisce la logica.")</f>
        <v>A lui non piace la tristezza, preferisce la logica.</v>
      </c>
      <c r="G3387" s="6" t="str">
        <f>IFERROR(__xludf.DUMMYFUNCTION("GOOGLETRANSLATE(E3387,""fr"",""it"")"),"A lui non piace la tristezza, preferisce la logica.")</f>
        <v>A lui non piace la tristezza, preferisce la logica.</v>
      </c>
    </row>
    <row r="3388">
      <c r="A3388" s="4">
        <v>3386.0</v>
      </c>
      <c r="B3388" s="5" t="s">
        <v>10165</v>
      </c>
      <c r="C3388" s="4">
        <v>1.0</v>
      </c>
      <c r="D3388" s="5" t="s">
        <v>10166</v>
      </c>
      <c r="E3388" s="5" t="s">
        <v>10167</v>
      </c>
      <c r="F3388" s="6" t="str">
        <f>IFERROR(__xludf.DUMMYFUNCTION("GOOGLETRANSLATE(D3388,""en"",""it"")"),"A lui non piace la logica, preferisce la tristezza.")</f>
        <v>A lui non piace la logica, preferisce la tristezza.</v>
      </c>
      <c r="G3388" s="6" t="str">
        <f>IFERROR(__xludf.DUMMYFUNCTION("GOOGLETRANSLATE(E3388,""fr"",""it"")"),"A lui non piace la logica, preferisce la tristezza.")</f>
        <v>A lui non piace la logica, preferisce la tristezza.</v>
      </c>
    </row>
    <row r="3389">
      <c r="A3389" s="4">
        <v>3387.0</v>
      </c>
      <c r="B3389" s="5" t="s">
        <v>10168</v>
      </c>
      <c r="C3389" s="4">
        <v>1.0</v>
      </c>
      <c r="D3389" s="5" t="s">
        <v>10169</v>
      </c>
      <c r="E3389" s="5" t="s">
        <v>10170</v>
      </c>
      <c r="F3389" s="6" t="str">
        <f>IFERROR(__xludf.DUMMYFUNCTION("GOOGLETRANSLATE(D3389,""en"",""it"")"),"A lui non piace la tristezza, preferisce i calcoli.")</f>
        <v>A lui non piace la tristezza, preferisce i calcoli.</v>
      </c>
      <c r="G3389" s="6" t="str">
        <f>IFERROR(__xludf.DUMMYFUNCTION("GOOGLETRANSLATE(E3389,""fr"",""it"")"),"A lui non piace la tristezza, preferisce i calcoli.")</f>
        <v>A lui non piace la tristezza, preferisce i calcoli.</v>
      </c>
    </row>
    <row r="3390">
      <c r="A3390" s="4">
        <v>3388.0</v>
      </c>
      <c r="B3390" s="5" t="s">
        <v>10171</v>
      </c>
      <c r="C3390" s="4">
        <v>1.0</v>
      </c>
      <c r="D3390" s="5" t="s">
        <v>10172</v>
      </c>
      <c r="E3390" s="5" t="s">
        <v>10173</v>
      </c>
      <c r="F3390" s="6" t="str">
        <f>IFERROR(__xludf.DUMMYFUNCTION("GOOGLETRANSLATE(D3390,""en"",""it"")"),"Non ama i calcoli, preferisce la tristezza.")</f>
        <v>Non ama i calcoli, preferisce la tristezza.</v>
      </c>
      <c r="G3390" s="6" t="str">
        <f>IFERROR(__xludf.DUMMYFUNCTION("GOOGLETRANSLATE(E3390,""fr"",""it"")"),"Non piacciono i calcoli, preferisce la tristezza.")</f>
        <v>Non piacciono i calcoli, preferisce la tristezza.</v>
      </c>
    </row>
    <row r="3391">
      <c r="A3391" s="4">
        <v>3389.0</v>
      </c>
      <c r="B3391" s="5" t="s">
        <v>10174</v>
      </c>
      <c r="C3391" s="4">
        <v>1.0</v>
      </c>
      <c r="D3391" s="5" t="s">
        <v>10175</v>
      </c>
      <c r="E3391" s="5" t="s">
        <v>10176</v>
      </c>
      <c r="F3391" s="6" t="str">
        <f>IFERROR(__xludf.DUMMYFUNCTION("GOOGLETRANSLATE(D3391,""en"",""it"")"),"Non mi piacciono i libri di testo, preferisco la musica.")</f>
        <v>Non mi piacciono i libri di testo, preferisco la musica.</v>
      </c>
      <c r="G3391" s="6" t="str">
        <f>IFERROR(__xludf.DUMMYFUNCTION("GOOGLETRANSLATE(E3391,""fr"",""it"")"),"Non mi piacciono i libri di testo scolastici, preferisco la musica.")</f>
        <v>Non mi piacciono i libri di testo scolastici, preferisco la musica.</v>
      </c>
    </row>
    <row r="3392">
      <c r="A3392" s="4">
        <v>3390.0</v>
      </c>
      <c r="B3392" s="5" t="s">
        <v>10177</v>
      </c>
      <c r="C3392" s="4">
        <v>1.0</v>
      </c>
      <c r="D3392" s="5" t="s">
        <v>10178</v>
      </c>
      <c r="E3392" s="5" t="s">
        <v>10179</v>
      </c>
      <c r="F3392" s="6" t="str">
        <f>IFERROR(__xludf.DUMMYFUNCTION("GOOGLETRANSLATE(D3392,""en"",""it"")"),"Non mi piace la musica, preferisco i libri di testo.")</f>
        <v>Non mi piace la musica, preferisco i libri di testo.</v>
      </c>
      <c r="G3392" s="6" t="str">
        <f>IFERROR(__xludf.DUMMYFUNCTION("GOOGLETRANSLATE(E3392,""fr"",""it"")"),"Non mi piace la musica, preferisco i libri di testo.")</f>
        <v>Non mi piace la musica, preferisco i libri di testo.</v>
      </c>
    </row>
    <row r="3393">
      <c r="A3393" s="4">
        <v>3391.0</v>
      </c>
      <c r="B3393" s="5" t="s">
        <v>10180</v>
      </c>
      <c r="C3393" s="4">
        <v>0.0</v>
      </c>
      <c r="D3393" s="5" t="s">
        <v>10181</v>
      </c>
      <c r="E3393" s="5" t="s">
        <v>10182</v>
      </c>
      <c r="F3393" s="6" t="str">
        <f>IFERROR(__xludf.DUMMYFUNCTION("GOOGLETRANSLATE(D3393,""en"",""it"")"),"Non mi piacciono i libri di testo, preferisco i libri.")</f>
        <v>Non mi piacciono i libri di testo, preferisco i libri.</v>
      </c>
      <c r="G3393" s="6" t="str">
        <f>IFERROR(__xludf.DUMMYFUNCTION("GOOGLETRANSLATE(E3393,""fr"",""it"")"),"Non mi piacciono i libri di testo, preferisco i libri.")</f>
        <v>Non mi piacciono i libri di testo, preferisco i libri.</v>
      </c>
    </row>
    <row r="3394">
      <c r="A3394" s="4">
        <v>3392.0</v>
      </c>
      <c r="B3394" s="5" t="s">
        <v>10183</v>
      </c>
      <c r="C3394" s="4">
        <v>0.0</v>
      </c>
      <c r="D3394" s="5" t="s">
        <v>10184</v>
      </c>
      <c r="E3394" s="5" t="s">
        <v>10185</v>
      </c>
      <c r="F3394" s="6" t="str">
        <f>IFERROR(__xludf.DUMMYFUNCTION("GOOGLETRANSLATE(D3394,""en"",""it"")"),"Non mi piacciono i libri, preferisco i libri di testo.")</f>
        <v>Non mi piacciono i libri, preferisco i libri di testo.</v>
      </c>
      <c r="G3394" s="6" t="str">
        <f>IFERROR(__xludf.DUMMYFUNCTION("GOOGLETRANSLATE(E3394,""fr"",""it"")"),"Non mi piacciono i libri, preferisco i libri di testo.")</f>
        <v>Non mi piacciono i libri, preferisco i libri di testo.</v>
      </c>
    </row>
    <row r="3395">
      <c r="A3395" s="4">
        <v>3393.0</v>
      </c>
      <c r="B3395" s="5" t="s">
        <v>10186</v>
      </c>
      <c r="C3395" s="4">
        <v>1.0</v>
      </c>
      <c r="D3395" s="5" t="s">
        <v>10187</v>
      </c>
      <c r="E3395" s="5" t="s">
        <v>10188</v>
      </c>
      <c r="F3395" s="6" t="str">
        <f>IFERROR(__xludf.DUMMYFUNCTION("GOOGLETRANSLATE(D3395,""en"",""it"")"),"Non mi piacciono i libri, preferisco la musica.")</f>
        <v>Non mi piacciono i libri, preferisco la musica.</v>
      </c>
      <c r="G3395" s="6" t="str">
        <f>IFERROR(__xludf.DUMMYFUNCTION("GOOGLETRANSLATE(E3395,""fr"",""it"")"),"Non mi piacciono i libri, preferisco la musica.")</f>
        <v>Non mi piacciono i libri, preferisco la musica.</v>
      </c>
    </row>
    <row r="3396">
      <c r="A3396" s="4">
        <v>3394.0</v>
      </c>
      <c r="B3396" s="5" t="s">
        <v>10189</v>
      </c>
      <c r="C3396" s="4">
        <v>1.0</v>
      </c>
      <c r="D3396" s="5" t="s">
        <v>10190</v>
      </c>
      <c r="E3396" s="5" t="s">
        <v>10191</v>
      </c>
      <c r="F3396" s="6" t="str">
        <f>IFERROR(__xludf.DUMMYFUNCTION("GOOGLETRANSLATE(D3396,""en"",""it"")"),"Non mi piacciono i libri di testo, preferisco i film.")</f>
        <v>Non mi piacciono i libri di testo, preferisco i film.</v>
      </c>
      <c r="G3396" s="6" t="str">
        <f>IFERROR(__xludf.DUMMYFUNCTION("GOOGLETRANSLATE(E3396,""fr"",""it"")"),"Non mi piacciono i libri di testo scolastici, preferisco il cinema.")</f>
        <v>Non mi piacciono i libri di testo scolastici, preferisco il cinema.</v>
      </c>
    </row>
    <row r="3397">
      <c r="A3397" s="4">
        <v>3395.0</v>
      </c>
      <c r="B3397" s="5" t="s">
        <v>10192</v>
      </c>
      <c r="C3397" s="4">
        <v>1.0</v>
      </c>
      <c r="D3397" s="5" t="s">
        <v>10193</v>
      </c>
      <c r="E3397" s="5" t="s">
        <v>10194</v>
      </c>
      <c r="F3397" s="6" t="str">
        <f>IFERROR(__xludf.DUMMYFUNCTION("GOOGLETRANSLATE(D3397,""en"",""it"")"),"Non mi piacciono i film, preferisco i libri di testo.")</f>
        <v>Non mi piacciono i film, preferisco i libri di testo.</v>
      </c>
      <c r="G3397" s="6" t="str">
        <f>IFERROR(__xludf.DUMMYFUNCTION("GOOGLETRANSLATE(E3397,""fr"",""it"")"),"Non mi piace il cinema, preferisco i libri di testo.")</f>
        <v>Non mi piace il cinema, preferisco i libri di testo.</v>
      </c>
    </row>
    <row r="3398">
      <c r="A3398" s="4">
        <v>3396.0</v>
      </c>
      <c r="B3398" s="5" t="s">
        <v>10195</v>
      </c>
      <c r="C3398" s="4">
        <v>1.0</v>
      </c>
      <c r="D3398" s="5" t="s">
        <v>10196</v>
      </c>
      <c r="E3398" s="5" t="s">
        <v>10197</v>
      </c>
      <c r="F3398" s="6" t="str">
        <f>IFERROR(__xludf.DUMMYFUNCTION("GOOGLETRANSLATE(D3398,""en"",""it"")"),"Non mi piacciono i libri, preferisco i film.")</f>
        <v>Non mi piacciono i libri, preferisco i film.</v>
      </c>
      <c r="G3398" s="6" t="str">
        <f>IFERROR(__xludf.DUMMYFUNCTION("GOOGLETRANSLATE(E3398,""fr"",""it"")"),"Non mi piacciono i libri, preferisco il cinema.")</f>
        <v>Non mi piacciono i libri, preferisco il cinema.</v>
      </c>
    </row>
    <row r="3399">
      <c r="A3399" s="4">
        <v>3397.0</v>
      </c>
      <c r="B3399" s="5" t="s">
        <v>10198</v>
      </c>
      <c r="C3399" s="4">
        <v>1.0</v>
      </c>
      <c r="D3399" s="5" t="s">
        <v>10199</v>
      </c>
      <c r="E3399" s="5" t="s">
        <v>10200</v>
      </c>
      <c r="F3399" s="6" t="str">
        <f>IFERROR(__xludf.DUMMYFUNCTION("GOOGLETRANSLATE(D3399,""en"",""it"")"),"Non mi piacciono i libri di testo, preferisco i cartoni animati.")</f>
        <v>Non mi piacciono i libri di testo, preferisco i cartoni animati.</v>
      </c>
      <c r="G3399" s="6" t="str">
        <f>IFERROR(__xludf.DUMMYFUNCTION("GOOGLETRANSLATE(E3399,""fr"",""it"")"),"Non mi piacciono i libri di testo, preferisco i cartoni animati.")</f>
        <v>Non mi piacciono i libri di testo, preferisco i cartoni animati.</v>
      </c>
    </row>
    <row r="3400">
      <c r="A3400" s="4">
        <v>3398.0</v>
      </c>
      <c r="B3400" s="5" t="s">
        <v>10201</v>
      </c>
      <c r="C3400" s="4">
        <v>1.0</v>
      </c>
      <c r="D3400" s="5" t="s">
        <v>10202</v>
      </c>
      <c r="E3400" s="5" t="s">
        <v>10203</v>
      </c>
      <c r="F3400" s="6" t="str">
        <f>IFERROR(__xludf.DUMMYFUNCTION("GOOGLETRANSLATE(D3400,""en"",""it"")"),"Non mi piacciono i cartoni animati, preferisco i libri di testo.")</f>
        <v>Non mi piacciono i cartoni animati, preferisco i libri di testo.</v>
      </c>
      <c r="G3400" s="6" t="str">
        <f>IFERROR(__xludf.DUMMYFUNCTION("GOOGLETRANSLATE(E3400,""fr"",""it"")"),"Non mi piacciono i cartoni animati, preferisco i libri di testo.")</f>
        <v>Non mi piacciono i cartoni animati, preferisco i libri di testo.</v>
      </c>
    </row>
    <row r="3401">
      <c r="A3401" s="4">
        <v>3399.0</v>
      </c>
      <c r="B3401" s="5" t="s">
        <v>10204</v>
      </c>
      <c r="C3401" s="4">
        <v>1.0</v>
      </c>
      <c r="D3401" s="5" t="s">
        <v>10205</v>
      </c>
      <c r="E3401" s="5" t="s">
        <v>10206</v>
      </c>
      <c r="F3401" s="6" t="str">
        <f>IFERROR(__xludf.DUMMYFUNCTION("GOOGLETRANSLATE(D3401,""en"",""it"")"),"Non mi piacciono i libri, preferisco i cartoni animati.")</f>
        <v>Non mi piacciono i libri, preferisco i cartoni animati.</v>
      </c>
      <c r="G3401" s="6" t="str">
        <f>IFERROR(__xludf.DUMMYFUNCTION("GOOGLETRANSLATE(E3401,""fr"",""it"")"),"Non mi piacciono i libri, preferisco i cartoni animati.")</f>
        <v>Non mi piacciono i libri, preferisco i cartoni animati.</v>
      </c>
    </row>
    <row r="3402">
      <c r="A3402" s="4">
        <v>3400.0</v>
      </c>
      <c r="B3402" s="5" t="s">
        <v>10207</v>
      </c>
      <c r="C3402" s="4">
        <v>1.0</v>
      </c>
      <c r="D3402" s="5" t="s">
        <v>10208</v>
      </c>
      <c r="E3402" s="5" t="s">
        <v>10209</v>
      </c>
      <c r="F3402" s="6" t="str">
        <f>IFERROR(__xludf.DUMMYFUNCTION("GOOGLETRANSLATE(D3402,""en"",""it"")"),"Non mi piacciono i libri di testo, preferisco i dipinti.")</f>
        <v>Non mi piacciono i libri di testo, preferisco i dipinti.</v>
      </c>
      <c r="G3402" s="6" t="str">
        <f>IFERROR(__xludf.DUMMYFUNCTION("GOOGLETRANSLATE(E3402,""fr"",""it"")"),"Non mi piacciono i libri di testo, preferisco i dipinti.")</f>
        <v>Non mi piacciono i libri di testo, preferisco i dipinti.</v>
      </c>
    </row>
    <row r="3403">
      <c r="A3403" s="4">
        <v>3401.0</v>
      </c>
      <c r="B3403" s="5" t="s">
        <v>10210</v>
      </c>
      <c r="C3403" s="4">
        <v>1.0</v>
      </c>
      <c r="D3403" s="5" t="s">
        <v>10211</v>
      </c>
      <c r="E3403" s="5" t="s">
        <v>10212</v>
      </c>
      <c r="F3403" s="6" t="str">
        <f>IFERROR(__xludf.DUMMYFUNCTION("GOOGLETRANSLATE(D3403,""en"",""it"")"),"Non mi piacciono i dipinti, preferisco i libri di testo.")</f>
        <v>Non mi piacciono i dipinti, preferisco i libri di testo.</v>
      </c>
      <c r="G3403" s="6" t="str">
        <f>IFERROR(__xludf.DUMMYFUNCTION("GOOGLETRANSLATE(E3403,""fr"",""it"")"),"Non mi piacciono i dipinti, preferisco i libri di testo.")</f>
        <v>Non mi piacciono i dipinti, preferisco i libri di testo.</v>
      </c>
    </row>
    <row r="3404">
      <c r="A3404" s="4">
        <v>3402.0</v>
      </c>
      <c r="B3404" s="5" t="s">
        <v>10213</v>
      </c>
      <c r="C3404" s="4">
        <v>1.0</v>
      </c>
      <c r="D3404" s="5" t="s">
        <v>10214</v>
      </c>
      <c r="E3404" s="5" t="s">
        <v>10215</v>
      </c>
      <c r="F3404" s="6" t="str">
        <f>IFERROR(__xludf.DUMMYFUNCTION("GOOGLETRANSLATE(D3404,""en"",""it"")"),"Non mi piacciono i libri, preferisco i dipinti.")</f>
        <v>Non mi piacciono i libri, preferisco i dipinti.</v>
      </c>
      <c r="G3404" s="6" t="str">
        <f>IFERROR(__xludf.DUMMYFUNCTION("GOOGLETRANSLATE(E3404,""fr"",""it"")"),"Non mi piacciono i libri, preferisco i dipinti.")</f>
        <v>Non mi piacciono i libri, preferisco i dipinti.</v>
      </c>
    </row>
    <row r="3405">
      <c r="A3405" s="4">
        <v>3403.0</v>
      </c>
      <c r="B3405" s="5" t="s">
        <v>10216</v>
      </c>
      <c r="C3405" s="4">
        <v>1.0</v>
      </c>
      <c r="D3405" s="5" t="s">
        <v>10217</v>
      </c>
      <c r="E3405" s="5" t="s">
        <v>10218</v>
      </c>
      <c r="F3405" s="6" t="str">
        <f>IFERROR(__xludf.DUMMYFUNCTION("GOOGLETRANSLATE(D3405,""en"",""it"")"),"Non mi piacciono i saggi, preferisco la musica.")</f>
        <v>Non mi piacciono i saggi, preferisco la musica.</v>
      </c>
      <c r="G3405" s="6" t="str">
        <f>IFERROR(__xludf.DUMMYFUNCTION("GOOGLETRANSLATE(E3405,""fr"",""it"")"),"Non mi piacciono i test, preferisco la musica.")</f>
        <v>Non mi piacciono i test, preferisco la musica.</v>
      </c>
    </row>
    <row r="3406">
      <c r="A3406" s="4">
        <v>3404.0</v>
      </c>
      <c r="B3406" s="5" t="s">
        <v>10219</v>
      </c>
      <c r="C3406" s="4">
        <v>1.0</v>
      </c>
      <c r="D3406" s="5" t="s">
        <v>10220</v>
      </c>
      <c r="E3406" s="5" t="s">
        <v>10221</v>
      </c>
      <c r="F3406" s="6" t="str">
        <f>IFERROR(__xludf.DUMMYFUNCTION("GOOGLETRANSLATE(D3406,""en"",""it"")"),"Non mi piace la musica, preferisco i saggi.")</f>
        <v>Non mi piace la musica, preferisco i saggi.</v>
      </c>
      <c r="G3406" s="6" t="str">
        <f>IFERROR(__xludf.DUMMYFUNCTION("GOOGLETRANSLATE(E3406,""fr"",""it"")"),"Non mi piace la musica, preferisco i test.")</f>
        <v>Non mi piace la musica, preferisco i test.</v>
      </c>
    </row>
    <row r="3407">
      <c r="A3407" s="4">
        <v>3405.0</v>
      </c>
      <c r="B3407" s="5" t="s">
        <v>10222</v>
      </c>
      <c r="C3407" s="4">
        <v>0.0</v>
      </c>
      <c r="D3407" s="5" t="s">
        <v>10223</v>
      </c>
      <c r="E3407" s="5" t="s">
        <v>10224</v>
      </c>
      <c r="F3407" s="6" t="str">
        <f>IFERROR(__xludf.DUMMYFUNCTION("GOOGLETRANSLATE(D3407,""en"",""it"")"),"Non mi piacciono i saggi, preferisco i libri.")</f>
        <v>Non mi piacciono i saggi, preferisco i libri.</v>
      </c>
      <c r="G3407" s="6" t="str">
        <f>IFERROR(__xludf.DUMMYFUNCTION("GOOGLETRANSLATE(E3407,""fr"",""it"")"),"Non mi piacciono i test, preferisco i libri.")</f>
        <v>Non mi piacciono i test, preferisco i libri.</v>
      </c>
    </row>
    <row r="3408">
      <c r="A3408" s="4">
        <v>3406.0</v>
      </c>
      <c r="B3408" s="5" t="s">
        <v>10225</v>
      </c>
      <c r="C3408" s="4">
        <v>0.0</v>
      </c>
      <c r="D3408" s="5" t="s">
        <v>10226</v>
      </c>
      <c r="E3408" s="5" t="s">
        <v>10227</v>
      </c>
      <c r="F3408" s="6" t="str">
        <f>IFERROR(__xludf.DUMMYFUNCTION("GOOGLETRANSLATE(D3408,""en"",""it"")"),"Non mi piacciono i libri, preferisco i saggi.")</f>
        <v>Non mi piacciono i libri, preferisco i saggi.</v>
      </c>
      <c r="G3408" s="6" t="str">
        <f>IFERROR(__xludf.DUMMYFUNCTION("GOOGLETRANSLATE(E3408,""fr"",""it"")"),"Non mi piacciono i libri, preferisco i test.")</f>
        <v>Non mi piacciono i libri, preferisco i test.</v>
      </c>
    </row>
    <row r="3409">
      <c r="A3409" s="4">
        <v>3407.0</v>
      </c>
      <c r="B3409" s="5" t="s">
        <v>10228</v>
      </c>
      <c r="C3409" s="4">
        <v>1.0</v>
      </c>
      <c r="D3409" s="5" t="s">
        <v>10229</v>
      </c>
      <c r="E3409" s="5" t="s">
        <v>10230</v>
      </c>
      <c r="F3409" s="6" t="str">
        <f>IFERROR(__xludf.DUMMYFUNCTION("GOOGLETRANSLATE(D3409,""en"",""it"")"),"Non mi piacciono i saggi, preferisco film.")</f>
        <v>Non mi piacciono i saggi, preferisco film.</v>
      </c>
      <c r="G3409" s="6" t="str">
        <f>IFERROR(__xludf.DUMMYFUNCTION("GOOGLETRANSLATE(E3409,""fr"",""it"")"),"Non mi piacciono i test, preferisco il cinema.")</f>
        <v>Non mi piacciono i test, preferisco il cinema.</v>
      </c>
    </row>
    <row r="3410">
      <c r="A3410" s="4">
        <v>3408.0</v>
      </c>
      <c r="B3410" s="5" t="s">
        <v>10231</v>
      </c>
      <c r="C3410" s="4">
        <v>1.0</v>
      </c>
      <c r="D3410" s="5" t="s">
        <v>10232</v>
      </c>
      <c r="E3410" s="5" t="s">
        <v>10233</v>
      </c>
      <c r="F3410" s="6" t="str">
        <f>IFERROR(__xludf.DUMMYFUNCTION("GOOGLETRANSLATE(D3410,""en"",""it"")"),"Non mi piacciono i film, preferisco i saggi.")</f>
        <v>Non mi piacciono i film, preferisco i saggi.</v>
      </c>
      <c r="G3410" s="6" t="str">
        <f>IFERROR(__xludf.DUMMYFUNCTION("GOOGLETRANSLATE(E3410,""fr"",""it"")"),"Non mi piace il cinema, preferisco i test.")</f>
        <v>Non mi piace il cinema, preferisco i test.</v>
      </c>
    </row>
    <row r="3411">
      <c r="A3411" s="4">
        <v>3409.0</v>
      </c>
      <c r="B3411" s="5" t="s">
        <v>10234</v>
      </c>
      <c r="C3411" s="4">
        <v>1.0</v>
      </c>
      <c r="D3411" s="5" t="s">
        <v>10235</v>
      </c>
      <c r="E3411" s="5" t="s">
        <v>10236</v>
      </c>
      <c r="F3411" s="6" t="str">
        <f>IFERROR(__xludf.DUMMYFUNCTION("GOOGLETRANSLATE(D3411,""en"",""it"")"),"Non mi piacciono i saggi, preferisco i cartoni animati.")</f>
        <v>Non mi piacciono i saggi, preferisco i cartoni animati.</v>
      </c>
      <c r="G3411" s="6" t="str">
        <f>IFERROR(__xludf.DUMMYFUNCTION("GOOGLETRANSLATE(E3411,""fr"",""it"")"),"Non mi piacciono i test, preferisco i cartoni animati.")</f>
        <v>Non mi piacciono i test, preferisco i cartoni animati.</v>
      </c>
    </row>
    <row r="3412">
      <c r="A3412" s="4">
        <v>3410.0</v>
      </c>
      <c r="B3412" s="5" t="s">
        <v>10237</v>
      </c>
      <c r="C3412" s="4">
        <v>1.0</v>
      </c>
      <c r="D3412" s="5" t="s">
        <v>10238</v>
      </c>
      <c r="E3412" s="5" t="s">
        <v>10239</v>
      </c>
      <c r="F3412" s="6" t="str">
        <f>IFERROR(__xludf.DUMMYFUNCTION("GOOGLETRANSLATE(D3412,""en"",""it"")"),"Non mi piacciono i cartoni animati, preferisco i saggi.")</f>
        <v>Non mi piacciono i cartoni animati, preferisco i saggi.</v>
      </c>
      <c r="G3412" s="6" t="str">
        <f>IFERROR(__xludf.DUMMYFUNCTION("GOOGLETRANSLATE(E3412,""fr"",""it"")"),"Non mi piacciono i cartoni animati, preferisco i test.")</f>
        <v>Non mi piacciono i cartoni animati, preferisco i test.</v>
      </c>
    </row>
    <row r="3413">
      <c r="A3413" s="4">
        <v>3411.0</v>
      </c>
      <c r="B3413" s="5" t="s">
        <v>10240</v>
      </c>
      <c r="C3413" s="4">
        <v>1.0</v>
      </c>
      <c r="D3413" s="5" t="s">
        <v>10241</v>
      </c>
      <c r="E3413" s="5" t="s">
        <v>10242</v>
      </c>
      <c r="F3413" s="6" t="str">
        <f>IFERROR(__xludf.DUMMYFUNCTION("GOOGLETRANSLATE(D3413,""en"",""it"")"),"Non mi piacciono i saggi, preferisco i dipinti.")</f>
        <v>Non mi piacciono i saggi, preferisco i dipinti.</v>
      </c>
      <c r="G3413" s="6" t="str">
        <f>IFERROR(__xludf.DUMMYFUNCTION("GOOGLETRANSLATE(E3413,""fr"",""it"")"),"Non mi piacciono i test, preferisco i dipinti.")</f>
        <v>Non mi piacciono i test, preferisco i dipinti.</v>
      </c>
    </row>
    <row r="3414">
      <c r="A3414" s="4">
        <v>3412.0</v>
      </c>
      <c r="B3414" s="5" t="s">
        <v>10243</v>
      </c>
      <c r="C3414" s="4">
        <v>1.0</v>
      </c>
      <c r="D3414" s="5" t="s">
        <v>10244</v>
      </c>
      <c r="E3414" s="5" t="s">
        <v>10245</v>
      </c>
      <c r="F3414" s="6" t="str">
        <f>IFERROR(__xludf.DUMMYFUNCTION("GOOGLETRANSLATE(D3414,""en"",""it"")"),"Non mi piacciono i dipinti, preferisco i saggi.")</f>
        <v>Non mi piacciono i dipinti, preferisco i saggi.</v>
      </c>
      <c r="G3414" s="6" t="str">
        <f>IFERROR(__xludf.DUMMYFUNCTION("GOOGLETRANSLATE(E3414,""fr"",""it"")"),"Non mi piacciono i dipinti, preferisco i test.")</f>
        <v>Non mi piacciono i dipinti, preferisco i test.</v>
      </c>
    </row>
    <row r="3415">
      <c r="A3415" s="4">
        <v>3413.0</v>
      </c>
      <c r="B3415" s="5" t="s">
        <v>10246</v>
      </c>
      <c r="C3415" s="4">
        <v>1.0</v>
      </c>
      <c r="D3415" s="5" t="s">
        <v>10247</v>
      </c>
      <c r="E3415" s="5" t="s">
        <v>10248</v>
      </c>
      <c r="F3415" s="6" t="str">
        <f>IFERROR(__xludf.DUMMYFUNCTION("GOOGLETRANSLATE(D3415,""en"",""it"")"),"Non mi piacciono i romanzi, preferisco la musica.")</f>
        <v>Non mi piacciono i romanzi, preferisco la musica.</v>
      </c>
      <c r="G3415" s="6" t="str">
        <f>IFERROR(__xludf.DUMMYFUNCTION("GOOGLETRANSLATE(E3415,""fr"",""it"")"),"Non mi piacciono i romanzi, preferisco la musica.")</f>
        <v>Non mi piacciono i romanzi, preferisco la musica.</v>
      </c>
    </row>
    <row r="3416">
      <c r="A3416" s="4">
        <v>3414.0</v>
      </c>
      <c r="B3416" s="5" t="s">
        <v>10249</v>
      </c>
      <c r="C3416" s="4">
        <v>1.0</v>
      </c>
      <c r="D3416" s="5" t="s">
        <v>10250</v>
      </c>
      <c r="E3416" s="5" t="s">
        <v>10251</v>
      </c>
      <c r="F3416" s="6" t="str">
        <f>IFERROR(__xludf.DUMMYFUNCTION("GOOGLETRANSLATE(D3416,""en"",""it"")"),"Non mi piace la musica, preferisco romanzi.")</f>
        <v>Non mi piace la musica, preferisco romanzi.</v>
      </c>
      <c r="G3416" s="6" t="str">
        <f>IFERROR(__xludf.DUMMYFUNCTION("GOOGLETRANSLATE(E3416,""fr"",""it"")"),"Non mi piace la musica, preferisco romanzi.")</f>
        <v>Non mi piace la musica, preferisco romanzi.</v>
      </c>
    </row>
    <row r="3417">
      <c r="A3417" s="4">
        <v>3415.0</v>
      </c>
      <c r="B3417" s="5" t="s">
        <v>10252</v>
      </c>
      <c r="C3417" s="4">
        <v>0.0</v>
      </c>
      <c r="D3417" s="5" t="s">
        <v>10253</v>
      </c>
      <c r="E3417" s="5" t="s">
        <v>10254</v>
      </c>
      <c r="F3417" s="6" t="str">
        <f>IFERROR(__xludf.DUMMYFUNCTION("GOOGLETRANSLATE(D3417,""en"",""it"")"),"Non mi piacciono i romanzi, preferisco i libri.")</f>
        <v>Non mi piacciono i romanzi, preferisco i libri.</v>
      </c>
      <c r="G3417" s="6" t="str">
        <f>IFERROR(__xludf.DUMMYFUNCTION("GOOGLETRANSLATE(E3417,""fr"",""it"")"),"Non mi piacciono i romanzi, preferisco i libri.")</f>
        <v>Non mi piacciono i romanzi, preferisco i libri.</v>
      </c>
    </row>
    <row r="3418">
      <c r="A3418" s="4">
        <v>3416.0</v>
      </c>
      <c r="B3418" s="5" t="s">
        <v>10255</v>
      </c>
      <c r="C3418" s="4">
        <v>0.0</v>
      </c>
      <c r="D3418" s="5" t="s">
        <v>10256</v>
      </c>
      <c r="E3418" s="5" t="s">
        <v>10257</v>
      </c>
      <c r="F3418" s="6" t="str">
        <f>IFERROR(__xludf.DUMMYFUNCTION("GOOGLETRANSLATE(D3418,""en"",""it"")"),"Non mi piacciono i libri, preferisco romanzi.")</f>
        <v>Non mi piacciono i libri, preferisco romanzi.</v>
      </c>
      <c r="G3418" s="6" t="str">
        <f>IFERROR(__xludf.DUMMYFUNCTION("GOOGLETRANSLATE(E3418,""fr"",""it"")"),"Non mi piacciono i libri, preferisco romanzi.")</f>
        <v>Non mi piacciono i libri, preferisco romanzi.</v>
      </c>
    </row>
    <row r="3419">
      <c r="A3419" s="4">
        <v>3417.0</v>
      </c>
      <c r="B3419" s="5" t="s">
        <v>10258</v>
      </c>
      <c r="C3419" s="4">
        <v>1.0</v>
      </c>
      <c r="D3419" s="5" t="s">
        <v>10259</v>
      </c>
      <c r="E3419" s="5" t="s">
        <v>10260</v>
      </c>
      <c r="F3419" s="6" t="str">
        <f>IFERROR(__xludf.DUMMYFUNCTION("GOOGLETRANSLATE(D3419,""en"",""it"")"),"Non mi piacciono i romanzi, preferisco i film.")</f>
        <v>Non mi piacciono i romanzi, preferisco i film.</v>
      </c>
      <c r="G3419" s="6" t="str">
        <f>IFERROR(__xludf.DUMMYFUNCTION("GOOGLETRANSLATE(E3419,""fr"",""it"")"),"Non mi piacciono i romanzi, preferisco il cinema.")</f>
        <v>Non mi piacciono i romanzi, preferisco il cinema.</v>
      </c>
    </row>
    <row r="3420">
      <c r="A3420" s="4">
        <v>3418.0</v>
      </c>
      <c r="B3420" s="5" t="s">
        <v>10261</v>
      </c>
      <c r="C3420" s="4">
        <v>1.0</v>
      </c>
      <c r="D3420" s="5" t="s">
        <v>10262</v>
      </c>
      <c r="E3420" s="5" t="s">
        <v>10263</v>
      </c>
      <c r="F3420" s="6" t="str">
        <f>IFERROR(__xludf.DUMMYFUNCTION("GOOGLETRANSLATE(D3420,""en"",""it"")"),"Non mi piacciono i film, preferisco romanzi.")</f>
        <v>Non mi piacciono i film, preferisco romanzi.</v>
      </c>
      <c r="G3420" s="6" t="str">
        <f>IFERROR(__xludf.DUMMYFUNCTION("GOOGLETRANSLATE(E3420,""fr"",""it"")"),"Non mi piace il cinema, preferisco romanzi.")</f>
        <v>Non mi piace il cinema, preferisco romanzi.</v>
      </c>
    </row>
    <row r="3421">
      <c r="A3421" s="4">
        <v>3419.0</v>
      </c>
      <c r="B3421" s="5" t="s">
        <v>10264</v>
      </c>
      <c r="C3421" s="4">
        <v>1.0</v>
      </c>
      <c r="D3421" s="5" t="s">
        <v>10265</v>
      </c>
      <c r="E3421" s="5" t="s">
        <v>10266</v>
      </c>
      <c r="F3421" s="6" t="str">
        <f>IFERROR(__xludf.DUMMYFUNCTION("GOOGLETRANSLATE(D3421,""en"",""it"")"),"Non mi piacciono i romanzi, preferisco i cartoni animati.")</f>
        <v>Non mi piacciono i romanzi, preferisco i cartoni animati.</v>
      </c>
      <c r="G3421" s="6" t="str">
        <f>IFERROR(__xludf.DUMMYFUNCTION("GOOGLETRANSLATE(E3421,""fr"",""it"")"),"Non mi piacciono i romanzi, preferisco i cartoni animati.")</f>
        <v>Non mi piacciono i romanzi, preferisco i cartoni animati.</v>
      </c>
    </row>
    <row r="3422">
      <c r="A3422" s="4">
        <v>3420.0</v>
      </c>
      <c r="B3422" s="5" t="s">
        <v>10267</v>
      </c>
      <c r="C3422" s="4">
        <v>1.0</v>
      </c>
      <c r="D3422" s="5" t="s">
        <v>10268</v>
      </c>
      <c r="E3422" s="5" t="s">
        <v>10269</v>
      </c>
      <c r="F3422" s="6" t="str">
        <f>IFERROR(__xludf.DUMMYFUNCTION("GOOGLETRANSLATE(D3422,""en"",""it"")"),"Non mi piacciono i cartoni animati, preferisco romanzi.")</f>
        <v>Non mi piacciono i cartoni animati, preferisco romanzi.</v>
      </c>
      <c r="G3422" s="6" t="str">
        <f>IFERROR(__xludf.DUMMYFUNCTION("GOOGLETRANSLATE(E3422,""fr"",""it"")"),"Non mi piacciono i cartoni animati, preferisco romanzi.")</f>
        <v>Non mi piacciono i cartoni animati, preferisco romanzi.</v>
      </c>
    </row>
    <row r="3423">
      <c r="A3423" s="4">
        <v>3421.0</v>
      </c>
      <c r="B3423" s="5" t="s">
        <v>10270</v>
      </c>
      <c r="C3423" s="4">
        <v>1.0</v>
      </c>
      <c r="D3423" s="5" t="s">
        <v>10271</v>
      </c>
      <c r="E3423" s="5" t="s">
        <v>10272</v>
      </c>
      <c r="F3423" s="6" t="str">
        <f>IFERROR(__xludf.DUMMYFUNCTION("GOOGLETRANSLATE(D3423,""en"",""it"")"),"Non mi piacciono i romanzi, preferisco i dipinti.")</f>
        <v>Non mi piacciono i romanzi, preferisco i dipinti.</v>
      </c>
      <c r="G3423" s="6" t="str">
        <f>IFERROR(__xludf.DUMMYFUNCTION("GOOGLETRANSLATE(E3423,""fr"",""it"")"),"Non mi piacciono i romanzi, preferisco i dipinti.")</f>
        <v>Non mi piacciono i romanzi, preferisco i dipinti.</v>
      </c>
    </row>
    <row r="3424">
      <c r="A3424" s="4">
        <v>3422.0</v>
      </c>
      <c r="B3424" s="5" t="s">
        <v>10273</v>
      </c>
      <c r="C3424" s="4">
        <v>1.0</v>
      </c>
      <c r="D3424" s="5" t="s">
        <v>10274</v>
      </c>
      <c r="E3424" s="5" t="s">
        <v>10275</v>
      </c>
      <c r="F3424" s="6" t="str">
        <f>IFERROR(__xludf.DUMMYFUNCTION("GOOGLETRANSLATE(D3424,""en"",""it"")"),"Non mi piacciono i dipinti, preferisco i romanzi.")</f>
        <v>Non mi piacciono i dipinti, preferisco i romanzi.</v>
      </c>
      <c r="G3424" s="6" t="str">
        <f>IFERROR(__xludf.DUMMYFUNCTION("GOOGLETRANSLATE(E3424,""fr"",""it"")"),"Non mi piacciono i dipinti, preferisco i romanzi.")</f>
        <v>Non mi piacciono i dipinti, preferisco i romanzi.</v>
      </c>
    </row>
    <row r="3425">
      <c r="A3425" s="4">
        <v>3423.0</v>
      </c>
      <c r="B3425" s="5" t="s">
        <v>10276</v>
      </c>
      <c r="C3425" s="4">
        <v>1.0</v>
      </c>
      <c r="D3425" s="5" t="s">
        <v>10277</v>
      </c>
      <c r="E3425" s="5" t="s">
        <v>10278</v>
      </c>
      <c r="F3425" s="6" t="str">
        <f>IFERROR(__xludf.DUMMYFUNCTION("GOOGLETRANSLATE(D3425,""en"",""it"")"),"Non mi piacciono i manuali, preferisco la musica.")</f>
        <v>Non mi piacciono i manuali, preferisco la musica.</v>
      </c>
      <c r="G3425" s="6" t="str">
        <f>IFERROR(__xludf.DUMMYFUNCTION("GOOGLETRANSLATE(E3425,""fr"",""it"")"),"Non mi piacciono i manuali, preferisco la musica.")</f>
        <v>Non mi piacciono i manuali, preferisco la musica.</v>
      </c>
    </row>
    <row r="3426">
      <c r="A3426" s="4">
        <v>3424.0</v>
      </c>
      <c r="B3426" s="5" t="s">
        <v>10279</v>
      </c>
      <c r="C3426" s="4">
        <v>1.0</v>
      </c>
      <c r="D3426" s="5" t="s">
        <v>10280</v>
      </c>
      <c r="E3426" s="5" t="s">
        <v>10281</v>
      </c>
      <c r="F3426" s="6" t="str">
        <f>IFERROR(__xludf.DUMMYFUNCTION("GOOGLETRANSLATE(D3426,""en"",""it"")"),"Non mi piace la musica, preferisco i manuali.")</f>
        <v>Non mi piace la musica, preferisco i manuali.</v>
      </c>
      <c r="G3426" s="6" t="str">
        <f>IFERROR(__xludf.DUMMYFUNCTION("GOOGLETRANSLATE(E3426,""fr"",""it"")"),"Non mi piace la musica, preferisco i manuali.")</f>
        <v>Non mi piace la musica, preferisco i manuali.</v>
      </c>
    </row>
    <row r="3427">
      <c r="A3427" s="4">
        <v>3425.0</v>
      </c>
      <c r="B3427" s="5" t="s">
        <v>10282</v>
      </c>
      <c r="C3427" s="4">
        <v>0.0</v>
      </c>
      <c r="D3427" s="5" t="s">
        <v>10283</v>
      </c>
      <c r="E3427" s="5" t="s">
        <v>10284</v>
      </c>
      <c r="F3427" s="6" t="str">
        <f>IFERROR(__xludf.DUMMYFUNCTION("GOOGLETRANSLATE(D3427,""en"",""it"")"),"Non mi piacciono i manuali, preferisco i libri.")</f>
        <v>Non mi piacciono i manuali, preferisco i libri.</v>
      </c>
      <c r="G3427" s="6" t="str">
        <f>IFERROR(__xludf.DUMMYFUNCTION("GOOGLETRANSLATE(E3427,""fr"",""it"")"),"Non mi piacciono i manuali, preferisco i libri.")</f>
        <v>Non mi piacciono i manuali, preferisco i libri.</v>
      </c>
    </row>
    <row r="3428">
      <c r="A3428" s="4">
        <v>3426.0</v>
      </c>
      <c r="B3428" s="5" t="s">
        <v>10285</v>
      </c>
      <c r="C3428" s="4">
        <v>0.0</v>
      </c>
      <c r="D3428" s="5" t="s">
        <v>10286</v>
      </c>
      <c r="E3428" s="5" t="s">
        <v>10287</v>
      </c>
      <c r="F3428" s="6" t="str">
        <f>IFERROR(__xludf.DUMMYFUNCTION("GOOGLETRANSLATE(D3428,""en"",""it"")"),"Non mi piacciono i libri, preferisco i manuali.")</f>
        <v>Non mi piacciono i libri, preferisco i manuali.</v>
      </c>
      <c r="G3428" s="6" t="str">
        <f>IFERROR(__xludf.DUMMYFUNCTION("GOOGLETRANSLATE(E3428,""fr"",""it"")"),"Non mi piacciono i libri, preferisco i manuali.")</f>
        <v>Non mi piacciono i libri, preferisco i manuali.</v>
      </c>
    </row>
    <row r="3429">
      <c r="A3429" s="4">
        <v>3427.0</v>
      </c>
      <c r="B3429" s="5" t="s">
        <v>10288</v>
      </c>
      <c r="C3429" s="4">
        <v>1.0</v>
      </c>
      <c r="D3429" s="5" t="s">
        <v>10289</v>
      </c>
      <c r="E3429" s="5" t="s">
        <v>10290</v>
      </c>
      <c r="F3429" s="6" t="str">
        <f>IFERROR(__xludf.DUMMYFUNCTION("GOOGLETRANSLATE(D3429,""en"",""it"")"),"Non mi piacciono i manuali, preferisco i film.")</f>
        <v>Non mi piacciono i manuali, preferisco i film.</v>
      </c>
      <c r="G3429" s="6" t="str">
        <f>IFERROR(__xludf.DUMMYFUNCTION("GOOGLETRANSLATE(E3429,""fr"",""it"")"),"Non mi piacciono i manuali, preferisco il cinema.")</f>
        <v>Non mi piacciono i manuali, preferisco il cinema.</v>
      </c>
    </row>
    <row r="3430">
      <c r="A3430" s="4">
        <v>3428.0</v>
      </c>
      <c r="B3430" s="5" t="s">
        <v>10291</v>
      </c>
      <c r="C3430" s="4">
        <v>1.0</v>
      </c>
      <c r="D3430" s="5" t="s">
        <v>10292</v>
      </c>
      <c r="E3430" s="5" t="s">
        <v>10293</v>
      </c>
      <c r="F3430" s="6" t="str">
        <f>IFERROR(__xludf.DUMMYFUNCTION("GOOGLETRANSLATE(D3430,""en"",""it"")"),"Non mi piacciono i film, preferisco i manuali.")</f>
        <v>Non mi piacciono i film, preferisco i manuali.</v>
      </c>
      <c r="G3430" s="6" t="str">
        <f>IFERROR(__xludf.DUMMYFUNCTION("GOOGLETRANSLATE(E3430,""fr"",""it"")"),"Non mi piace il cinema, preferisco i manuali.")</f>
        <v>Non mi piace il cinema, preferisco i manuali.</v>
      </c>
    </row>
    <row r="3431">
      <c r="A3431" s="4">
        <v>3429.0</v>
      </c>
      <c r="B3431" s="5" t="s">
        <v>10294</v>
      </c>
      <c r="C3431" s="4">
        <v>1.0</v>
      </c>
      <c r="D3431" s="5" t="s">
        <v>10295</v>
      </c>
      <c r="E3431" s="5" t="s">
        <v>10296</v>
      </c>
      <c r="F3431" s="6" t="str">
        <f>IFERROR(__xludf.DUMMYFUNCTION("GOOGLETRANSLATE(D3431,""en"",""it"")"),"Non mi piacciono i manuali, preferisco i cartoni animati.")</f>
        <v>Non mi piacciono i manuali, preferisco i cartoni animati.</v>
      </c>
      <c r="G3431" s="6" t="str">
        <f>IFERROR(__xludf.DUMMYFUNCTION("GOOGLETRANSLATE(E3431,""fr"",""it"")"),"Non mi piacciono i manuali, preferisco i cartoni animati.")</f>
        <v>Non mi piacciono i manuali, preferisco i cartoni animati.</v>
      </c>
    </row>
    <row r="3432">
      <c r="A3432" s="4">
        <v>3430.0</v>
      </c>
      <c r="B3432" s="5" t="s">
        <v>10297</v>
      </c>
      <c r="C3432" s="4">
        <v>1.0</v>
      </c>
      <c r="D3432" s="5" t="s">
        <v>10298</v>
      </c>
      <c r="E3432" s="5" t="s">
        <v>10299</v>
      </c>
      <c r="F3432" s="6" t="str">
        <f>IFERROR(__xludf.DUMMYFUNCTION("GOOGLETRANSLATE(D3432,""en"",""it"")"),"Non mi piacciono i cartoni animati, preferisco i manuali.")</f>
        <v>Non mi piacciono i cartoni animati, preferisco i manuali.</v>
      </c>
      <c r="G3432" s="6" t="str">
        <f>IFERROR(__xludf.DUMMYFUNCTION("GOOGLETRANSLATE(E3432,""fr"",""it"")"),"Non mi piacciono i cartoni animati, preferisco i manuali.")</f>
        <v>Non mi piacciono i cartoni animati, preferisco i manuali.</v>
      </c>
    </row>
    <row r="3433">
      <c r="A3433" s="4">
        <v>3431.0</v>
      </c>
      <c r="B3433" s="5" t="s">
        <v>10300</v>
      </c>
      <c r="C3433" s="4">
        <v>1.0</v>
      </c>
      <c r="D3433" s="5" t="s">
        <v>10301</v>
      </c>
      <c r="E3433" s="5" t="s">
        <v>10302</v>
      </c>
      <c r="F3433" s="6" t="str">
        <f>IFERROR(__xludf.DUMMYFUNCTION("GOOGLETRANSLATE(D3433,""en"",""it"")"),"Non mi piacciono i manuali, preferisco i dipinti.")</f>
        <v>Non mi piacciono i manuali, preferisco i dipinti.</v>
      </c>
      <c r="G3433" s="6" t="str">
        <f>IFERROR(__xludf.DUMMYFUNCTION("GOOGLETRANSLATE(E3433,""fr"",""it"")"),"Non mi piacciono i manuali, preferisco i dipinti.")</f>
        <v>Non mi piacciono i manuali, preferisco i dipinti.</v>
      </c>
    </row>
    <row r="3434">
      <c r="A3434" s="4">
        <v>3432.0</v>
      </c>
      <c r="B3434" s="5" t="s">
        <v>10303</v>
      </c>
      <c r="C3434" s="4">
        <v>1.0</v>
      </c>
      <c r="D3434" s="5" t="s">
        <v>10304</v>
      </c>
      <c r="E3434" s="5" t="s">
        <v>10305</v>
      </c>
      <c r="F3434" s="6" t="str">
        <f>IFERROR(__xludf.DUMMYFUNCTION("GOOGLETRANSLATE(D3434,""en"",""it"")"),"Non mi piacciono i dipinti, preferisco i manuali.")</f>
        <v>Non mi piacciono i dipinti, preferisco i manuali.</v>
      </c>
      <c r="G3434" s="6" t="str">
        <f>IFERROR(__xludf.DUMMYFUNCTION("GOOGLETRANSLATE(E3434,""fr"",""it"")"),"Non mi piacciono i dipinti, preferisco i manuali.")</f>
        <v>Non mi piacciono i dipinti, preferisco i manuali.</v>
      </c>
    </row>
    <row r="3435">
      <c r="A3435" s="4">
        <v>3433.0</v>
      </c>
      <c r="B3435" s="5" t="s">
        <v>10306</v>
      </c>
      <c r="C3435" s="4">
        <v>1.0</v>
      </c>
      <c r="D3435" s="5" t="s">
        <v>10307</v>
      </c>
      <c r="E3435" s="5" t="s">
        <v>10308</v>
      </c>
      <c r="F3435" s="6" t="str">
        <f>IFERROR(__xludf.DUMMYFUNCTION("GOOGLETRANSLATE(D3435,""en"",""it"")"),"Non mi piacciono gli impiegati, preferisco fabbriche.")</f>
        <v>Non mi piacciono gli impiegati, preferisco fabbriche.</v>
      </c>
      <c r="G3435" s="6" t="str">
        <f>IFERROR(__xludf.DUMMYFUNCTION("GOOGLETRANSLATE(E3435,""fr"",""it"")"),"Non mi piacciono gli impiegati, preferisco fabbriche.")</f>
        <v>Non mi piacciono gli impiegati, preferisco fabbriche.</v>
      </c>
    </row>
    <row r="3436">
      <c r="A3436" s="4">
        <v>3434.0</v>
      </c>
      <c r="B3436" s="5" t="s">
        <v>10309</v>
      </c>
      <c r="C3436" s="4">
        <v>1.0</v>
      </c>
      <c r="D3436" s="5" t="s">
        <v>10310</v>
      </c>
      <c r="E3436" s="5" t="s">
        <v>10311</v>
      </c>
      <c r="F3436" s="6" t="str">
        <f>IFERROR(__xludf.DUMMYFUNCTION("GOOGLETRANSLATE(D3436,""en"",""it"")"),"Non mi piacciono le fabbriche, preferisco gli impiegati.")</f>
        <v>Non mi piacciono le fabbriche, preferisco gli impiegati.</v>
      </c>
      <c r="G3436" s="6" t="str">
        <f>IFERROR(__xludf.DUMMYFUNCTION("GOOGLETRANSLATE(E3436,""fr"",""it"")"),"Non mi piacciono le fabbriche, preferisco gli impiegati.")</f>
        <v>Non mi piacciono le fabbriche, preferisco gli impiegati.</v>
      </c>
    </row>
    <row r="3437">
      <c r="A3437" s="4">
        <v>3435.0</v>
      </c>
      <c r="B3437" s="5" t="s">
        <v>10312</v>
      </c>
      <c r="C3437" s="4">
        <v>0.0</v>
      </c>
      <c r="D3437" s="5" t="s">
        <v>10313</v>
      </c>
      <c r="E3437" s="5" t="s">
        <v>10314</v>
      </c>
      <c r="F3437" s="6" t="str">
        <f>IFERROR(__xludf.DUMMYFUNCTION("GOOGLETRANSLATE(D3437,""en"",""it"")"),"Non mi piacciono gli impiegati, preferisco i lavoratori.")</f>
        <v>Non mi piacciono gli impiegati, preferisco i lavoratori.</v>
      </c>
      <c r="G3437" s="6" t="str">
        <f>IFERROR(__xludf.DUMMYFUNCTION("GOOGLETRANSLATE(E3437,""fr"",""it"")"),"Non mi piacciono gli impiegati, preferisco i lavoratori.")</f>
        <v>Non mi piacciono gli impiegati, preferisco i lavoratori.</v>
      </c>
    </row>
    <row r="3438">
      <c r="A3438" s="4">
        <v>3436.0</v>
      </c>
      <c r="B3438" s="5" t="s">
        <v>10315</v>
      </c>
      <c r="C3438" s="4">
        <v>0.0</v>
      </c>
      <c r="D3438" s="5" t="s">
        <v>10316</v>
      </c>
      <c r="E3438" s="5" t="s">
        <v>10317</v>
      </c>
      <c r="F3438" s="6" t="str">
        <f>IFERROR(__xludf.DUMMYFUNCTION("GOOGLETRANSLATE(D3438,""en"",""it"")"),"Non mi piacciono i lavoratori, preferisco gli impiegati.")</f>
        <v>Non mi piacciono i lavoratori, preferisco gli impiegati.</v>
      </c>
      <c r="G3438" s="6" t="str">
        <f>IFERROR(__xludf.DUMMYFUNCTION("GOOGLETRANSLATE(E3438,""fr"",""it"")"),"Non mi piacciono i lavoratori, preferisco gli impiegati.")</f>
        <v>Non mi piacciono i lavoratori, preferisco gli impiegati.</v>
      </c>
    </row>
    <row r="3439">
      <c r="A3439" s="4">
        <v>3437.0</v>
      </c>
      <c r="B3439" s="5" t="s">
        <v>10318</v>
      </c>
      <c r="C3439" s="4">
        <v>1.0</v>
      </c>
      <c r="D3439" s="5" t="s">
        <v>10319</v>
      </c>
      <c r="E3439" s="5" t="s">
        <v>10320</v>
      </c>
      <c r="F3439" s="6" t="str">
        <f>IFERROR(__xludf.DUMMYFUNCTION("GOOGLETRANSLATE(D3439,""en"",""it"")"),"Non mi piacciono i lavoratori, preferisco fabbriche.")</f>
        <v>Non mi piacciono i lavoratori, preferisco fabbriche.</v>
      </c>
      <c r="G3439" s="6" t="str">
        <f>IFERROR(__xludf.DUMMYFUNCTION("GOOGLETRANSLATE(E3439,""fr"",""it"")"),"Non mi piacciono i lavoratori, preferisco fabbriche.")</f>
        <v>Non mi piacciono i lavoratori, preferisco fabbriche.</v>
      </c>
    </row>
    <row r="3440">
      <c r="A3440" s="4">
        <v>3438.0</v>
      </c>
      <c r="B3440" s="5" t="s">
        <v>10321</v>
      </c>
      <c r="C3440" s="4">
        <v>1.0</v>
      </c>
      <c r="D3440" s="5" t="s">
        <v>10322</v>
      </c>
      <c r="E3440" s="5" t="s">
        <v>10323</v>
      </c>
      <c r="F3440" s="6" t="str">
        <f>IFERROR(__xludf.DUMMYFUNCTION("GOOGLETRANSLATE(D3440,""en"",""it"")"),"Non mi piacciono gli impiegati, preferisco i ristoranti.")</f>
        <v>Non mi piacciono gli impiegati, preferisco i ristoranti.</v>
      </c>
      <c r="G3440" s="6" t="str">
        <f>IFERROR(__xludf.DUMMYFUNCTION("GOOGLETRANSLATE(E3440,""fr"",""it"")"),"Non mi piacciono gli impiegati, preferisco i ristoranti.")</f>
        <v>Non mi piacciono gli impiegati, preferisco i ristoranti.</v>
      </c>
    </row>
    <row r="3441">
      <c r="A3441" s="4">
        <v>3439.0</v>
      </c>
      <c r="B3441" s="5" t="s">
        <v>10324</v>
      </c>
      <c r="C3441" s="4">
        <v>1.0</v>
      </c>
      <c r="D3441" s="5" t="s">
        <v>10325</v>
      </c>
      <c r="E3441" s="5" t="s">
        <v>10326</v>
      </c>
      <c r="F3441" s="6" t="str">
        <f>IFERROR(__xludf.DUMMYFUNCTION("GOOGLETRANSLATE(D3441,""en"",""it"")"),"Non mi piacciono i ristoranti, preferisco gli impiegati.")</f>
        <v>Non mi piacciono i ristoranti, preferisco gli impiegati.</v>
      </c>
      <c r="G3441" s="6" t="str">
        <f>IFERROR(__xludf.DUMMYFUNCTION("GOOGLETRANSLATE(E3441,""fr"",""it"")"),"Non mi piacciono i ristoranti, preferisco gli impiegati.")</f>
        <v>Non mi piacciono i ristoranti, preferisco gli impiegati.</v>
      </c>
    </row>
    <row r="3442">
      <c r="A3442" s="4">
        <v>3440.0</v>
      </c>
      <c r="B3442" s="5" t="s">
        <v>10327</v>
      </c>
      <c r="C3442" s="4">
        <v>1.0</v>
      </c>
      <c r="D3442" s="5" t="s">
        <v>10328</v>
      </c>
      <c r="E3442" s="5" t="s">
        <v>10329</v>
      </c>
      <c r="F3442" s="6" t="str">
        <f>IFERROR(__xludf.DUMMYFUNCTION("GOOGLETRANSLATE(D3442,""en"",""it"")"),"Non mi piacciono i lavoratori, preferisco i ristoranti.")</f>
        <v>Non mi piacciono i lavoratori, preferisco i ristoranti.</v>
      </c>
      <c r="G3442" s="6" t="str">
        <f>IFERROR(__xludf.DUMMYFUNCTION("GOOGLETRANSLATE(E3442,""fr"",""it"")"),"Non mi piacciono i lavoratori, preferisco i ristoranti.")</f>
        <v>Non mi piacciono i lavoratori, preferisco i ristoranti.</v>
      </c>
    </row>
    <row r="3443">
      <c r="A3443" s="4">
        <v>3441.0</v>
      </c>
      <c r="B3443" s="5" t="s">
        <v>10330</v>
      </c>
      <c r="C3443" s="4">
        <v>1.0</v>
      </c>
      <c r="D3443" s="5" t="s">
        <v>10331</v>
      </c>
      <c r="E3443" s="5" t="s">
        <v>10332</v>
      </c>
      <c r="F3443" s="6" t="str">
        <f>IFERROR(__xludf.DUMMYFUNCTION("GOOGLETRANSLATE(D3443,""en"",""it"")"),"Non mi piacciono gli impiegati, preferisco le scuole.")</f>
        <v>Non mi piacciono gli impiegati, preferisco le scuole.</v>
      </c>
      <c r="G3443" s="6" t="str">
        <f>IFERROR(__xludf.DUMMYFUNCTION("GOOGLETRANSLATE(E3443,""fr"",""it"")"),"Non mi piacciono gli impiegati, preferisco le scuole.")</f>
        <v>Non mi piacciono gli impiegati, preferisco le scuole.</v>
      </c>
    </row>
    <row r="3444">
      <c r="A3444" s="4">
        <v>3442.0</v>
      </c>
      <c r="B3444" s="5" t="s">
        <v>10333</v>
      </c>
      <c r="C3444" s="4">
        <v>1.0</v>
      </c>
      <c r="D3444" s="5" t="s">
        <v>10334</v>
      </c>
      <c r="E3444" s="5" t="s">
        <v>10335</v>
      </c>
      <c r="F3444" s="6" t="str">
        <f>IFERROR(__xludf.DUMMYFUNCTION("GOOGLETRANSLATE(D3444,""en"",""it"")"),"Non mi piacciono le scuole, preferisco gli impiegati.")</f>
        <v>Non mi piacciono le scuole, preferisco gli impiegati.</v>
      </c>
      <c r="G3444" s="6" t="str">
        <f>IFERROR(__xludf.DUMMYFUNCTION("GOOGLETRANSLATE(E3444,""fr"",""it"")"),"Non mi piacciono le scuole, preferisco gli impiegati.")</f>
        <v>Non mi piacciono le scuole, preferisco gli impiegati.</v>
      </c>
    </row>
    <row r="3445">
      <c r="A3445" s="4">
        <v>3443.0</v>
      </c>
      <c r="B3445" s="5" t="s">
        <v>10336</v>
      </c>
      <c r="C3445" s="4">
        <v>1.0</v>
      </c>
      <c r="D3445" s="5" t="s">
        <v>10337</v>
      </c>
      <c r="E3445" s="5" t="s">
        <v>10338</v>
      </c>
      <c r="F3445" s="6" t="str">
        <f>IFERROR(__xludf.DUMMYFUNCTION("GOOGLETRANSLATE(D3445,""en"",""it"")"),"Non mi piacciono i lavoratori, preferisco le scuole.")</f>
        <v>Non mi piacciono i lavoratori, preferisco le scuole.</v>
      </c>
      <c r="G3445" s="6" t="str">
        <f>IFERROR(__xludf.DUMMYFUNCTION("GOOGLETRANSLATE(E3445,""fr"",""it"")"),"Non mi piacciono i lavoratori, preferisco le scuole.")</f>
        <v>Non mi piacciono i lavoratori, preferisco le scuole.</v>
      </c>
    </row>
    <row r="3446">
      <c r="A3446" s="4">
        <v>3444.0</v>
      </c>
      <c r="B3446" s="5" t="s">
        <v>10339</v>
      </c>
      <c r="C3446" s="4">
        <v>1.0</v>
      </c>
      <c r="D3446" s="5" t="s">
        <v>10340</v>
      </c>
      <c r="E3446" s="5" t="s">
        <v>10341</v>
      </c>
      <c r="F3446" s="6" t="str">
        <f>IFERROR(__xludf.DUMMYFUNCTION("GOOGLETRANSLATE(D3446,""en"",""it"")"),"Non mi piacciono gli impiegati, preferisco gli uffici.")</f>
        <v>Non mi piacciono gli impiegati, preferisco gli uffici.</v>
      </c>
      <c r="G3446" s="6" t="str">
        <f>IFERROR(__xludf.DUMMYFUNCTION("GOOGLETRANSLATE(E3446,""fr"",""it"")"),"Non mi piacciono gli impiegati, preferisco gli uffici.")</f>
        <v>Non mi piacciono gli impiegati, preferisco gli uffici.</v>
      </c>
    </row>
    <row r="3447">
      <c r="A3447" s="4">
        <v>3445.0</v>
      </c>
      <c r="B3447" s="5" t="s">
        <v>10342</v>
      </c>
      <c r="C3447" s="4">
        <v>1.0</v>
      </c>
      <c r="D3447" s="5" t="s">
        <v>10343</v>
      </c>
      <c r="E3447" s="5" t="s">
        <v>10344</v>
      </c>
      <c r="F3447" s="6" t="str">
        <f>IFERROR(__xludf.DUMMYFUNCTION("GOOGLETRANSLATE(D3447,""en"",""it"")"),"Non mi piacciono gli uffici, preferisco gli impiegati.")</f>
        <v>Non mi piacciono gli uffici, preferisco gli impiegati.</v>
      </c>
      <c r="G3447" s="6" t="str">
        <f>IFERROR(__xludf.DUMMYFUNCTION("GOOGLETRANSLATE(E3447,""fr"",""it"")"),"Non mi piacciono gli uffici, preferisco gli impiegati.")</f>
        <v>Non mi piacciono gli uffici, preferisco gli impiegati.</v>
      </c>
    </row>
    <row r="3448">
      <c r="A3448" s="4">
        <v>3446.0</v>
      </c>
      <c r="B3448" s="5" t="s">
        <v>10345</v>
      </c>
      <c r="C3448" s="4">
        <v>1.0</v>
      </c>
      <c r="D3448" s="5" t="s">
        <v>10346</v>
      </c>
      <c r="E3448" s="5" t="s">
        <v>10347</v>
      </c>
      <c r="F3448" s="6" t="str">
        <f>IFERROR(__xludf.DUMMYFUNCTION("GOOGLETRANSLATE(D3448,""en"",""it"")"),"Non mi piacciono i lavoratori, preferisco gli uffici.")</f>
        <v>Non mi piacciono i lavoratori, preferisco gli uffici.</v>
      </c>
      <c r="G3448" s="6" t="str">
        <f>IFERROR(__xludf.DUMMYFUNCTION("GOOGLETRANSLATE(E3448,""fr"",""it"")"),"Non mi piacciono i lavoratori, preferisco gli uffici.")</f>
        <v>Non mi piacciono i lavoratori, preferisco gli uffici.</v>
      </c>
    </row>
    <row r="3449">
      <c r="A3449" s="4">
        <v>3447.0</v>
      </c>
      <c r="B3449" s="5" t="s">
        <v>10348</v>
      </c>
      <c r="C3449" s="4">
        <v>1.0</v>
      </c>
      <c r="D3449" s="5" t="s">
        <v>10349</v>
      </c>
      <c r="E3449" s="5" t="s">
        <v>10350</v>
      </c>
      <c r="F3449" s="6" t="str">
        <f>IFERROR(__xludf.DUMMYFUNCTION("GOOGLETRANSLATE(D3449,""en"",""it"")"),"Non mi piacciono i camerieri, preferisco fabbriche.")</f>
        <v>Non mi piacciono i camerieri, preferisco fabbriche.</v>
      </c>
      <c r="G3449" s="6" t="str">
        <f>IFERROR(__xludf.DUMMYFUNCTION("GOOGLETRANSLATE(E3449,""fr"",""it"")"),"Non mi piacciono i server, preferisco fabbriche.")</f>
        <v>Non mi piacciono i server, preferisco fabbriche.</v>
      </c>
    </row>
    <row r="3450">
      <c r="A3450" s="4">
        <v>3448.0</v>
      </c>
      <c r="B3450" s="5" t="s">
        <v>10351</v>
      </c>
      <c r="C3450" s="4">
        <v>1.0</v>
      </c>
      <c r="D3450" s="5" t="s">
        <v>10352</v>
      </c>
      <c r="E3450" s="5" t="s">
        <v>10353</v>
      </c>
      <c r="F3450" s="6" t="str">
        <f>IFERROR(__xludf.DUMMYFUNCTION("GOOGLETRANSLATE(D3450,""en"",""it"")"),"Non mi piacciono le fabbriche, preferisco i camerieri.")</f>
        <v>Non mi piacciono le fabbriche, preferisco i camerieri.</v>
      </c>
      <c r="G3450" s="6" t="str">
        <f>IFERROR(__xludf.DUMMYFUNCTION("GOOGLETRANSLATE(E3450,""fr"",""it"")"),"Non mi piacciono le fabbriche, preferisco i camerieri.")</f>
        <v>Non mi piacciono le fabbriche, preferisco i camerieri.</v>
      </c>
    </row>
    <row r="3451">
      <c r="A3451" s="4">
        <v>3449.0</v>
      </c>
      <c r="B3451" s="5" t="s">
        <v>10354</v>
      </c>
      <c r="C3451" s="4">
        <v>0.0</v>
      </c>
      <c r="D3451" s="5" t="s">
        <v>10355</v>
      </c>
      <c r="E3451" s="5" t="s">
        <v>10356</v>
      </c>
      <c r="F3451" s="6" t="str">
        <f>IFERROR(__xludf.DUMMYFUNCTION("GOOGLETRANSLATE(D3451,""en"",""it"")"),"Non mi piacciono i camerieri, preferisco i lavoratori.")</f>
        <v>Non mi piacciono i camerieri, preferisco i lavoratori.</v>
      </c>
      <c r="G3451" s="6" t="str">
        <f>IFERROR(__xludf.DUMMYFUNCTION("GOOGLETRANSLATE(E3451,""fr"",""it"")"),"Non mi piacciono i server, preferisco i lavoratori.")</f>
        <v>Non mi piacciono i server, preferisco i lavoratori.</v>
      </c>
    </row>
    <row r="3452">
      <c r="A3452" s="4">
        <v>3450.0</v>
      </c>
      <c r="B3452" s="5" t="s">
        <v>10357</v>
      </c>
      <c r="C3452" s="4">
        <v>0.0</v>
      </c>
      <c r="D3452" s="5" t="s">
        <v>10358</v>
      </c>
      <c r="E3452" s="5" t="s">
        <v>10359</v>
      </c>
      <c r="F3452" s="6" t="str">
        <f>IFERROR(__xludf.DUMMYFUNCTION("GOOGLETRANSLATE(D3452,""en"",""it"")"),"Non mi piacciono i lavoratori, preferisco i camerieri.")</f>
        <v>Non mi piacciono i lavoratori, preferisco i camerieri.</v>
      </c>
      <c r="G3452" s="6" t="str">
        <f>IFERROR(__xludf.DUMMYFUNCTION("GOOGLETRANSLATE(E3452,""fr"",""it"")"),"Non mi piacciono i lavoratori, preferisco i camerieri.")</f>
        <v>Non mi piacciono i lavoratori, preferisco i camerieri.</v>
      </c>
    </row>
    <row r="3453">
      <c r="A3453" s="4">
        <v>3451.0</v>
      </c>
      <c r="B3453" s="5" t="s">
        <v>10360</v>
      </c>
      <c r="C3453" s="4">
        <v>1.0</v>
      </c>
      <c r="D3453" s="5" t="s">
        <v>10361</v>
      </c>
      <c r="E3453" s="5" t="s">
        <v>10362</v>
      </c>
      <c r="F3453" s="6" t="str">
        <f>IFERROR(__xludf.DUMMYFUNCTION("GOOGLETRANSLATE(D3453,""en"",""it"")"),"Non mi piacciono i camerieri, preferisco ristoranti.")</f>
        <v>Non mi piacciono i camerieri, preferisco ristoranti.</v>
      </c>
      <c r="G3453" s="6" t="str">
        <f>IFERROR(__xludf.DUMMYFUNCTION("GOOGLETRANSLATE(E3453,""fr"",""it"")"),"Non mi piacciono i server, preferisco i ristoranti.")</f>
        <v>Non mi piacciono i server, preferisco i ristoranti.</v>
      </c>
    </row>
    <row r="3454">
      <c r="A3454" s="4">
        <v>3452.0</v>
      </c>
      <c r="B3454" s="5" t="s">
        <v>10363</v>
      </c>
      <c r="C3454" s="4">
        <v>1.0</v>
      </c>
      <c r="D3454" s="5" t="s">
        <v>10364</v>
      </c>
      <c r="E3454" s="5" t="s">
        <v>10365</v>
      </c>
      <c r="F3454" s="6" t="str">
        <f>IFERROR(__xludf.DUMMYFUNCTION("GOOGLETRANSLATE(D3454,""en"",""it"")"),"Non mi piacciono i ristoranti, preferisco i camerieri.")</f>
        <v>Non mi piacciono i ristoranti, preferisco i camerieri.</v>
      </c>
      <c r="G3454" s="6" t="str">
        <f>IFERROR(__xludf.DUMMYFUNCTION("GOOGLETRANSLATE(E3454,""fr"",""it"")"),"Non mi piacciono i ristoranti, preferisco i camerieri.")</f>
        <v>Non mi piacciono i ristoranti, preferisco i camerieri.</v>
      </c>
    </row>
    <row r="3455">
      <c r="A3455" s="4">
        <v>3453.0</v>
      </c>
      <c r="B3455" s="5" t="s">
        <v>10366</v>
      </c>
      <c r="C3455" s="4">
        <v>1.0</v>
      </c>
      <c r="D3455" s="5" t="s">
        <v>10367</v>
      </c>
      <c r="E3455" s="5" t="s">
        <v>10368</v>
      </c>
      <c r="F3455" s="6" t="str">
        <f>IFERROR(__xludf.DUMMYFUNCTION("GOOGLETRANSLATE(D3455,""en"",""it"")"),"Non mi piacciono i camerieri, preferisco le scuole.")</f>
        <v>Non mi piacciono i camerieri, preferisco le scuole.</v>
      </c>
      <c r="G3455" s="6" t="str">
        <f>IFERROR(__xludf.DUMMYFUNCTION("GOOGLETRANSLATE(E3455,""fr"",""it"")"),"Non mi piacciono i server, preferisco le scuole.")</f>
        <v>Non mi piacciono i server, preferisco le scuole.</v>
      </c>
    </row>
    <row r="3456">
      <c r="A3456" s="4">
        <v>3454.0</v>
      </c>
      <c r="B3456" s="5" t="s">
        <v>10369</v>
      </c>
      <c r="C3456" s="4">
        <v>1.0</v>
      </c>
      <c r="D3456" s="5" t="s">
        <v>10370</v>
      </c>
      <c r="E3456" s="5" t="s">
        <v>10371</v>
      </c>
      <c r="F3456" s="6" t="str">
        <f>IFERROR(__xludf.DUMMYFUNCTION("GOOGLETRANSLATE(D3456,""en"",""it"")"),"Non mi piacciono le scuole, preferisco i camerieri.")</f>
        <v>Non mi piacciono le scuole, preferisco i camerieri.</v>
      </c>
      <c r="G3456" s="6" t="str">
        <f>IFERROR(__xludf.DUMMYFUNCTION("GOOGLETRANSLATE(E3456,""fr"",""it"")"),"Non mi piacciono le scuole, preferisco i camerieri.")</f>
        <v>Non mi piacciono le scuole, preferisco i camerieri.</v>
      </c>
    </row>
    <row r="3457">
      <c r="A3457" s="4">
        <v>3455.0</v>
      </c>
      <c r="B3457" s="5" t="s">
        <v>10372</v>
      </c>
      <c r="C3457" s="4">
        <v>1.0</v>
      </c>
      <c r="D3457" s="5" t="s">
        <v>10373</v>
      </c>
      <c r="E3457" s="5" t="s">
        <v>10374</v>
      </c>
      <c r="F3457" s="6" t="str">
        <f>IFERROR(__xludf.DUMMYFUNCTION("GOOGLETRANSLATE(D3457,""en"",""it"")"),"Non mi piacciono i camerieri, preferisco gli uffici.")</f>
        <v>Non mi piacciono i camerieri, preferisco gli uffici.</v>
      </c>
      <c r="G3457" s="6" t="str">
        <f>IFERROR(__xludf.DUMMYFUNCTION("GOOGLETRANSLATE(E3457,""fr"",""it"")"),"Non mi piacciono i server, preferisco gli uffici.")</f>
        <v>Non mi piacciono i server, preferisco gli uffici.</v>
      </c>
    </row>
    <row r="3458">
      <c r="A3458" s="4">
        <v>3456.0</v>
      </c>
      <c r="B3458" s="5" t="s">
        <v>10375</v>
      </c>
      <c r="C3458" s="4">
        <v>1.0</v>
      </c>
      <c r="D3458" s="5" t="s">
        <v>10376</v>
      </c>
      <c r="E3458" s="5" t="s">
        <v>10377</v>
      </c>
      <c r="F3458" s="6" t="str">
        <f>IFERROR(__xludf.DUMMYFUNCTION("GOOGLETRANSLATE(D3458,""en"",""it"")"),"Non mi piacciono gli uffici, preferisco i camerieri.")</f>
        <v>Non mi piacciono gli uffici, preferisco i camerieri.</v>
      </c>
      <c r="G3458" s="6" t="str">
        <f>IFERROR(__xludf.DUMMYFUNCTION("GOOGLETRANSLATE(E3458,""fr"",""it"")"),"Non mi piacciono gli uffici, preferisco i camerieri.")</f>
        <v>Non mi piacciono gli uffici, preferisco i camerieri.</v>
      </c>
    </row>
    <row r="3459">
      <c r="A3459" s="4">
        <v>3457.0</v>
      </c>
      <c r="B3459" s="5" t="s">
        <v>10378</v>
      </c>
      <c r="C3459" s="4">
        <v>1.0</v>
      </c>
      <c r="D3459" s="5" t="s">
        <v>10379</v>
      </c>
      <c r="E3459" s="5" t="s">
        <v>10380</v>
      </c>
      <c r="F3459" s="6" t="str">
        <f>IFERROR(__xludf.DUMMYFUNCTION("GOOGLETRANSLATE(D3459,""en"",""it"")"),"Non mi piacciono i custodi, preferisco fabbriche.")</f>
        <v>Non mi piacciono i custodi, preferisco fabbriche.</v>
      </c>
      <c r="G3459" s="6" t="str">
        <f>IFERROR(__xludf.DUMMYFUNCTION("GOOGLETRANSLATE(E3459,""fr"",""it"")"),"Non mi piacciono i guardiani, preferisco fabbriche.")</f>
        <v>Non mi piacciono i guardiani, preferisco fabbriche.</v>
      </c>
    </row>
    <row r="3460">
      <c r="A3460" s="4">
        <v>3458.0</v>
      </c>
      <c r="B3460" s="5" t="s">
        <v>10381</v>
      </c>
      <c r="C3460" s="4">
        <v>1.0</v>
      </c>
      <c r="D3460" s="5" t="s">
        <v>10382</v>
      </c>
      <c r="E3460" s="5" t="s">
        <v>10383</v>
      </c>
      <c r="F3460" s="6" t="str">
        <f>IFERROR(__xludf.DUMMYFUNCTION("GOOGLETRANSLATE(D3460,""en"",""it"")"),"Non mi piacciono le fabbriche, preferisco i custodi.")</f>
        <v>Non mi piacciono le fabbriche, preferisco i custodi.</v>
      </c>
      <c r="G3460" s="6" t="str">
        <f>IFERROR(__xludf.DUMMYFUNCTION("GOOGLETRANSLATE(E3460,""fr"",""it"")"),"Non mi piacciono le fabbriche, preferisco le guardie.")</f>
        <v>Non mi piacciono le fabbriche, preferisco le guardie.</v>
      </c>
    </row>
    <row r="3461">
      <c r="A3461" s="4">
        <v>3459.0</v>
      </c>
      <c r="B3461" s="5" t="s">
        <v>10384</v>
      </c>
      <c r="C3461" s="4">
        <v>0.0</v>
      </c>
      <c r="D3461" s="5" t="s">
        <v>10385</v>
      </c>
      <c r="E3461" s="5" t="s">
        <v>10386</v>
      </c>
      <c r="F3461" s="6" t="str">
        <f>IFERROR(__xludf.DUMMYFUNCTION("GOOGLETRANSLATE(D3461,""en"",""it"")"),"Non mi piacciono i custodi, preferisco i lavoratori.")</f>
        <v>Non mi piacciono i custodi, preferisco i lavoratori.</v>
      </c>
      <c r="G3461" s="6" t="str">
        <f>IFERROR(__xludf.DUMMYFUNCTION("GOOGLETRANSLATE(E3461,""fr"",""it"")"),"Non mi piacciono i Guardiani, preferisco i lavoratori.")</f>
        <v>Non mi piacciono i Guardiani, preferisco i lavoratori.</v>
      </c>
    </row>
    <row r="3462">
      <c r="A3462" s="4">
        <v>3460.0</v>
      </c>
      <c r="B3462" s="5" t="s">
        <v>10387</v>
      </c>
      <c r="C3462" s="4">
        <v>0.0</v>
      </c>
      <c r="D3462" s="5" t="s">
        <v>10388</v>
      </c>
      <c r="E3462" s="5" t="s">
        <v>10389</v>
      </c>
      <c r="F3462" s="6" t="str">
        <f>IFERROR(__xludf.DUMMYFUNCTION("GOOGLETRANSLATE(D3462,""en"",""it"")"),"Non mi piacciono i lavoratori, preferisco i custodi.")</f>
        <v>Non mi piacciono i lavoratori, preferisco i custodi.</v>
      </c>
      <c r="G3462" s="6" t="str">
        <f>IFERROR(__xludf.DUMMYFUNCTION("GOOGLETRANSLATE(E3462,""fr"",""it"")"),"Non mi piacciono i lavoratori, preferisco le guardie.")</f>
        <v>Non mi piacciono i lavoratori, preferisco le guardie.</v>
      </c>
    </row>
    <row r="3463">
      <c r="A3463" s="4">
        <v>3461.0</v>
      </c>
      <c r="B3463" s="5" t="s">
        <v>10390</v>
      </c>
      <c r="C3463" s="4">
        <v>1.0</v>
      </c>
      <c r="D3463" s="5" t="s">
        <v>10391</v>
      </c>
      <c r="E3463" s="5" t="s">
        <v>10392</v>
      </c>
      <c r="F3463" s="6" t="str">
        <f>IFERROR(__xludf.DUMMYFUNCTION("GOOGLETRANSLATE(D3463,""en"",""it"")"),"Non mi piacciono i custodi, preferisco i ristoranti.")</f>
        <v>Non mi piacciono i custodi, preferisco i ristoranti.</v>
      </c>
      <c r="G3463" s="6" t="str">
        <f>IFERROR(__xludf.DUMMYFUNCTION("GOOGLETRANSLATE(E3463,""fr"",""it"")"),"Non mi piacciono i Guardiani, preferisco i ristoranti.")</f>
        <v>Non mi piacciono i Guardiani, preferisco i ristoranti.</v>
      </c>
    </row>
    <row r="3464">
      <c r="A3464" s="4">
        <v>3462.0</v>
      </c>
      <c r="B3464" s="5" t="s">
        <v>10393</v>
      </c>
      <c r="C3464" s="4">
        <v>1.0</v>
      </c>
      <c r="D3464" s="5" t="s">
        <v>10394</v>
      </c>
      <c r="E3464" s="5" t="s">
        <v>10395</v>
      </c>
      <c r="F3464" s="6" t="str">
        <f>IFERROR(__xludf.DUMMYFUNCTION("GOOGLETRANSLATE(D3464,""en"",""it"")"),"Non mi piacciono i ristoranti, preferisco i custodi.")</f>
        <v>Non mi piacciono i ristoranti, preferisco i custodi.</v>
      </c>
      <c r="G3464" s="6" t="str">
        <f>IFERROR(__xludf.DUMMYFUNCTION("GOOGLETRANSLATE(E3464,""fr"",""it"")"),"Non mi piacciono i ristoranti, preferisco le guardie.")</f>
        <v>Non mi piacciono i ristoranti, preferisco le guardie.</v>
      </c>
    </row>
    <row r="3465">
      <c r="A3465" s="4">
        <v>3463.0</v>
      </c>
      <c r="B3465" s="5" t="s">
        <v>10396</v>
      </c>
      <c r="C3465" s="4">
        <v>1.0</v>
      </c>
      <c r="D3465" s="5" t="s">
        <v>10397</v>
      </c>
      <c r="E3465" s="5" t="s">
        <v>10398</v>
      </c>
      <c r="F3465" s="6" t="str">
        <f>IFERROR(__xludf.DUMMYFUNCTION("GOOGLETRANSLATE(D3465,""en"",""it"")"),"Non mi piacciono i custodi, preferisco le scuole.")</f>
        <v>Non mi piacciono i custodi, preferisco le scuole.</v>
      </c>
      <c r="G3465" s="6" t="str">
        <f>IFERROR(__xludf.DUMMYFUNCTION("GOOGLETRANSLATE(E3465,""fr"",""it"")"),"Non mi piacciono i guardiani, preferisco le scuole.")</f>
        <v>Non mi piacciono i guardiani, preferisco le scuole.</v>
      </c>
    </row>
    <row r="3466">
      <c r="A3466" s="4">
        <v>3464.0</v>
      </c>
      <c r="B3466" s="5" t="s">
        <v>10399</v>
      </c>
      <c r="C3466" s="4">
        <v>1.0</v>
      </c>
      <c r="D3466" s="5" t="s">
        <v>10400</v>
      </c>
      <c r="E3466" s="5" t="s">
        <v>10401</v>
      </c>
      <c r="F3466" s="6" t="str">
        <f>IFERROR(__xludf.DUMMYFUNCTION("GOOGLETRANSLATE(D3466,""en"",""it"")"),"Non mi piacciono le scuole, preferisco i custodi.")</f>
        <v>Non mi piacciono le scuole, preferisco i custodi.</v>
      </c>
      <c r="G3466" s="6" t="str">
        <f>IFERROR(__xludf.DUMMYFUNCTION("GOOGLETRANSLATE(E3466,""fr"",""it"")"),"Non mi piacciono le scuole, preferisco le guardie.")</f>
        <v>Non mi piacciono le scuole, preferisco le guardie.</v>
      </c>
    </row>
    <row r="3467">
      <c r="A3467" s="4">
        <v>3465.0</v>
      </c>
      <c r="B3467" s="5" t="s">
        <v>10402</v>
      </c>
      <c r="C3467" s="4">
        <v>1.0</v>
      </c>
      <c r="D3467" s="5" t="s">
        <v>10403</v>
      </c>
      <c r="E3467" s="5" t="s">
        <v>10404</v>
      </c>
      <c r="F3467" s="6" t="str">
        <f>IFERROR(__xludf.DUMMYFUNCTION("GOOGLETRANSLATE(D3467,""en"",""it"")"),"Non mi piacciono i custodi, preferisco gli uffici.")</f>
        <v>Non mi piacciono i custodi, preferisco gli uffici.</v>
      </c>
      <c r="G3467" s="6" t="str">
        <f>IFERROR(__xludf.DUMMYFUNCTION("GOOGLETRANSLATE(E3467,""fr"",""it"")"),"Non mi piacciono le guardie, preferisco gli uffici.")</f>
        <v>Non mi piacciono le guardie, preferisco gli uffici.</v>
      </c>
    </row>
    <row r="3468">
      <c r="A3468" s="4">
        <v>3466.0</v>
      </c>
      <c r="B3468" s="5" t="s">
        <v>10405</v>
      </c>
      <c r="C3468" s="4">
        <v>1.0</v>
      </c>
      <c r="D3468" s="5" t="s">
        <v>10406</v>
      </c>
      <c r="E3468" s="5" t="s">
        <v>10407</v>
      </c>
      <c r="F3468" s="6" t="str">
        <f>IFERROR(__xludf.DUMMYFUNCTION("GOOGLETRANSLATE(D3468,""en"",""it"")"),"Non mi piacciono gli uffici, preferisco i custodi.")</f>
        <v>Non mi piacciono gli uffici, preferisco i custodi.</v>
      </c>
      <c r="G3468" s="6" t="str">
        <f>IFERROR(__xludf.DUMMYFUNCTION("GOOGLETRANSLATE(E3468,""fr"",""it"")"),"Non mi piacciono gli uffici, preferisco le guardie.")</f>
        <v>Non mi piacciono gli uffici, preferisco le guardie.</v>
      </c>
    </row>
    <row r="3469">
      <c r="A3469" s="4">
        <v>3467.0</v>
      </c>
      <c r="B3469" s="5" t="s">
        <v>10408</v>
      </c>
      <c r="C3469" s="4">
        <v>1.0</v>
      </c>
      <c r="D3469" s="5" t="s">
        <v>10409</v>
      </c>
      <c r="E3469" s="5" t="s">
        <v>10410</v>
      </c>
      <c r="F3469" s="6" t="str">
        <f>IFERROR(__xludf.DUMMYFUNCTION("GOOGLETRANSLATE(D3469,""en"",""it"")"),"Non mi piacciono i professori, preferisco fabbriche.")</f>
        <v>Non mi piacciono i professori, preferisco fabbriche.</v>
      </c>
      <c r="G3469" s="6" t="str">
        <f>IFERROR(__xludf.DUMMYFUNCTION("GOOGLETRANSLATE(E3469,""fr"",""it"")"),"Non mi piacciono gli insegnanti, preferisco fabbriche.")</f>
        <v>Non mi piacciono gli insegnanti, preferisco fabbriche.</v>
      </c>
    </row>
    <row r="3470">
      <c r="A3470" s="4">
        <v>3468.0</v>
      </c>
      <c r="B3470" s="5" t="s">
        <v>10411</v>
      </c>
      <c r="C3470" s="4">
        <v>1.0</v>
      </c>
      <c r="D3470" s="5" t="s">
        <v>10412</v>
      </c>
      <c r="E3470" s="5" t="s">
        <v>10413</v>
      </c>
      <c r="F3470" s="6" t="str">
        <f>IFERROR(__xludf.DUMMYFUNCTION("GOOGLETRANSLATE(D3470,""en"",""it"")"),"Non mi piacciono le fabbriche, preferisco i professori.")</f>
        <v>Non mi piacciono le fabbriche, preferisco i professori.</v>
      </c>
      <c r="G3470" s="6" t="str">
        <f>IFERROR(__xludf.DUMMYFUNCTION("GOOGLETRANSLATE(E3470,""fr"",""it"")"),"Non mi piacciono le fabbriche, preferisco gli insegnanti.")</f>
        <v>Non mi piacciono le fabbriche, preferisco gli insegnanti.</v>
      </c>
    </row>
    <row r="3471">
      <c r="A3471" s="4">
        <v>3469.0</v>
      </c>
      <c r="B3471" s="5" t="s">
        <v>10414</v>
      </c>
      <c r="C3471" s="4">
        <v>0.0</v>
      </c>
      <c r="D3471" s="5" t="s">
        <v>10415</v>
      </c>
      <c r="E3471" s="5" t="s">
        <v>10416</v>
      </c>
      <c r="F3471" s="6" t="str">
        <f>IFERROR(__xludf.DUMMYFUNCTION("GOOGLETRANSLATE(D3471,""en"",""it"")"),"Non mi piacciono i professori, preferisco i lavoratori.")</f>
        <v>Non mi piacciono i professori, preferisco i lavoratori.</v>
      </c>
      <c r="G3471" s="6" t="str">
        <f>IFERROR(__xludf.DUMMYFUNCTION("GOOGLETRANSLATE(E3471,""fr"",""it"")"),"Non mi piacciono gli insegnanti, preferisco i lavoratori.")</f>
        <v>Non mi piacciono gli insegnanti, preferisco i lavoratori.</v>
      </c>
    </row>
    <row r="3472">
      <c r="A3472" s="4">
        <v>3470.0</v>
      </c>
      <c r="B3472" s="5" t="s">
        <v>10417</v>
      </c>
      <c r="C3472" s="4">
        <v>0.0</v>
      </c>
      <c r="D3472" s="5" t="s">
        <v>10418</v>
      </c>
      <c r="E3472" s="5" t="s">
        <v>10419</v>
      </c>
      <c r="F3472" s="6" t="str">
        <f>IFERROR(__xludf.DUMMYFUNCTION("GOOGLETRANSLATE(D3472,""en"",""it"")"),"Non mi piacciono i lavoratori, preferisco i professori.")</f>
        <v>Non mi piacciono i lavoratori, preferisco i professori.</v>
      </c>
      <c r="G3472" s="6" t="str">
        <f>IFERROR(__xludf.DUMMYFUNCTION("GOOGLETRANSLATE(E3472,""fr"",""it"")"),"Non mi piacciono i lavoratori, preferisco gli insegnanti.")</f>
        <v>Non mi piacciono i lavoratori, preferisco gli insegnanti.</v>
      </c>
    </row>
    <row r="3473">
      <c r="A3473" s="4">
        <v>3471.0</v>
      </c>
      <c r="B3473" s="5" t="s">
        <v>10420</v>
      </c>
      <c r="C3473" s="4">
        <v>1.0</v>
      </c>
      <c r="D3473" s="5" t="s">
        <v>10421</v>
      </c>
      <c r="E3473" s="5" t="s">
        <v>10422</v>
      </c>
      <c r="F3473" s="6" t="str">
        <f>IFERROR(__xludf.DUMMYFUNCTION("GOOGLETRANSLATE(D3473,""en"",""it"")"),"Non mi piacciono i professori, preferisco i ristoranti.")</f>
        <v>Non mi piacciono i professori, preferisco i ristoranti.</v>
      </c>
      <c r="G3473" s="6" t="str">
        <f>IFERROR(__xludf.DUMMYFUNCTION("GOOGLETRANSLATE(E3473,""fr"",""it"")"),"Non mi piacciono gli insegnanti, preferisco ristoranti.")</f>
        <v>Non mi piacciono gli insegnanti, preferisco ristoranti.</v>
      </c>
    </row>
    <row r="3474">
      <c r="A3474" s="4">
        <v>3472.0</v>
      </c>
      <c r="B3474" s="5" t="s">
        <v>10423</v>
      </c>
      <c r="C3474" s="4">
        <v>1.0</v>
      </c>
      <c r="D3474" s="5" t="s">
        <v>10424</v>
      </c>
      <c r="E3474" s="5" t="s">
        <v>10425</v>
      </c>
      <c r="F3474" s="6" t="str">
        <f>IFERROR(__xludf.DUMMYFUNCTION("GOOGLETRANSLATE(D3474,""en"",""it"")"),"Non mi piacciono i ristoranti, preferisco i professori.")</f>
        <v>Non mi piacciono i ristoranti, preferisco i professori.</v>
      </c>
      <c r="G3474" s="6" t="str">
        <f>IFERROR(__xludf.DUMMYFUNCTION("GOOGLETRANSLATE(E3474,""fr"",""it"")"),"Non mi piacciono i ristoranti, preferisco gli insegnanti.")</f>
        <v>Non mi piacciono i ristoranti, preferisco gli insegnanti.</v>
      </c>
    </row>
    <row r="3475">
      <c r="A3475" s="4">
        <v>3473.0</v>
      </c>
      <c r="B3475" s="5" t="s">
        <v>10426</v>
      </c>
      <c r="C3475" s="4">
        <v>1.0</v>
      </c>
      <c r="D3475" s="5" t="s">
        <v>10427</v>
      </c>
      <c r="E3475" s="5" t="s">
        <v>10428</v>
      </c>
      <c r="F3475" s="6" t="str">
        <f>IFERROR(__xludf.DUMMYFUNCTION("GOOGLETRANSLATE(D3475,""en"",""it"")"),"Non mi piacciono i professori, preferisco le scuole.")</f>
        <v>Non mi piacciono i professori, preferisco le scuole.</v>
      </c>
      <c r="G3475" s="6" t="str">
        <f>IFERROR(__xludf.DUMMYFUNCTION("GOOGLETRANSLATE(E3475,""fr"",""it"")"),"Non mi piacciono gli insegnanti, preferisco le scuole.")</f>
        <v>Non mi piacciono gli insegnanti, preferisco le scuole.</v>
      </c>
    </row>
    <row r="3476">
      <c r="A3476" s="4">
        <v>3474.0</v>
      </c>
      <c r="B3476" s="5" t="s">
        <v>10429</v>
      </c>
      <c r="C3476" s="4">
        <v>1.0</v>
      </c>
      <c r="D3476" s="5" t="s">
        <v>10430</v>
      </c>
      <c r="E3476" s="5" t="s">
        <v>10431</v>
      </c>
      <c r="F3476" s="6" t="str">
        <f>IFERROR(__xludf.DUMMYFUNCTION("GOOGLETRANSLATE(D3476,""en"",""it"")"),"Non mi piacciono le scuole, preferisco i professori.")</f>
        <v>Non mi piacciono le scuole, preferisco i professori.</v>
      </c>
      <c r="G3476" s="6" t="str">
        <f>IFERROR(__xludf.DUMMYFUNCTION("GOOGLETRANSLATE(E3476,""fr"",""it"")"),"Non mi piacciono le scuole, preferisco gli insegnanti.")</f>
        <v>Non mi piacciono le scuole, preferisco gli insegnanti.</v>
      </c>
    </row>
    <row r="3477">
      <c r="A3477" s="4">
        <v>3475.0</v>
      </c>
      <c r="B3477" s="5" t="s">
        <v>10432</v>
      </c>
      <c r="C3477" s="4">
        <v>1.0</v>
      </c>
      <c r="D3477" s="5" t="s">
        <v>10433</v>
      </c>
      <c r="E3477" s="5" t="s">
        <v>10434</v>
      </c>
      <c r="F3477" s="6" t="str">
        <f>IFERROR(__xludf.DUMMYFUNCTION("GOOGLETRANSLATE(D3477,""en"",""it"")"),"Non mi piacciono i professori, preferisco gli uffici.")</f>
        <v>Non mi piacciono i professori, preferisco gli uffici.</v>
      </c>
      <c r="G3477" s="6" t="str">
        <f>IFERROR(__xludf.DUMMYFUNCTION("GOOGLETRANSLATE(E3477,""fr"",""it"")"),"Non mi piacciono gli insegnanti, preferisco gli uffici.")</f>
        <v>Non mi piacciono gli insegnanti, preferisco gli uffici.</v>
      </c>
    </row>
    <row r="3478">
      <c r="A3478" s="4">
        <v>3476.0</v>
      </c>
      <c r="B3478" s="5" t="s">
        <v>10435</v>
      </c>
      <c r="C3478" s="4">
        <v>1.0</v>
      </c>
      <c r="D3478" s="5" t="s">
        <v>10436</v>
      </c>
      <c r="E3478" s="5" t="s">
        <v>10437</v>
      </c>
      <c r="F3478" s="6" t="str">
        <f>IFERROR(__xludf.DUMMYFUNCTION("GOOGLETRANSLATE(D3478,""en"",""it"")"),"Non mi piacciono gli uffici, preferisco i professori.")</f>
        <v>Non mi piacciono gli uffici, preferisco i professori.</v>
      </c>
      <c r="G3478" s="6" t="str">
        <f>IFERROR(__xludf.DUMMYFUNCTION("GOOGLETRANSLATE(E3478,""fr"",""it"")"),"Non mi piacciono gli uffici, preferisco gli insegnanti.")</f>
        <v>Non mi piacciono gli uffici, preferisco gli insegnanti.</v>
      </c>
    </row>
    <row r="3479">
      <c r="A3479" s="4">
        <v>3477.0</v>
      </c>
      <c r="B3479" s="5" t="s">
        <v>10438</v>
      </c>
      <c r="C3479" s="4">
        <v>1.0</v>
      </c>
      <c r="D3479" s="5" t="s">
        <v>10439</v>
      </c>
      <c r="E3479" s="5" t="s">
        <v>10440</v>
      </c>
      <c r="F3479" s="6" t="str">
        <f>IFERROR(__xludf.DUMMYFUNCTION("GOOGLETRANSLATE(D3479,""en"",""it"")"),"Non mi piacciono i biologi, preferisco gli impiegati.")</f>
        <v>Non mi piacciono i biologi, preferisco gli impiegati.</v>
      </c>
      <c r="G3479" s="6" t="str">
        <f>IFERROR(__xludf.DUMMYFUNCTION("GOOGLETRANSLATE(E3479,""fr"",""it"")"),"Non mi piacciono i biologi, preferisco gli impiegati.")</f>
        <v>Non mi piacciono i biologi, preferisco gli impiegati.</v>
      </c>
    </row>
    <row r="3480">
      <c r="A3480" s="4">
        <v>3478.0</v>
      </c>
      <c r="B3480" s="5" t="s">
        <v>10441</v>
      </c>
      <c r="C3480" s="4">
        <v>1.0</v>
      </c>
      <c r="D3480" s="5" t="s">
        <v>10442</v>
      </c>
      <c r="E3480" s="5" t="s">
        <v>10443</v>
      </c>
      <c r="F3480" s="6" t="str">
        <f>IFERROR(__xludf.DUMMYFUNCTION("GOOGLETRANSLATE(D3480,""en"",""it"")"),"Non mi piacciono gli impiegati, preferisco i biologi.")</f>
        <v>Non mi piacciono gli impiegati, preferisco i biologi.</v>
      </c>
      <c r="G3480" s="6" t="str">
        <f>IFERROR(__xludf.DUMMYFUNCTION("GOOGLETRANSLATE(E3480,""fr"",""it"")"),"Non mi piacciono gli impiegati, preferisco i biologi.")</f>
        <v>Non mi piacciono gli impiegati, preferisco i biologi.</v>
      </c>
    </row>
    <row r="3481">
      <c r="A3481" s="4">
        <v>3479.0</v>
      </c>
      <c r="B3481" s="5" t="s">
        <v>10444</v>
      </c>
      <c r="C3481" s="4">
        <v>0.0</v>
      </c>
      <c r="D3481" s="5" t="s">
        <v>10445</v>
      </c>
      <c r="E3481" s="5" t="s">
        <v>10446</v>
      </c>
      <c r="F3481" s="6" t="str">
        <f>IFERROR(__xludf.DUMMYFUNCTION("GOOGLETRANSLATE(D3481,""en"",""it"")"),"Non mi piacciono i biologi, preferisco gli scienziati.")</f>
        <v>Non mi piacciono i biologi, preferisco gli scienziati.</v>
      </c>
      <c r="G3481" s="6" t="str">
        <f>IFERROR(__xludf.DUMMYFUNCTION("GOOGLETRANSLATE(E3481,""fr"",""it"")"),"Non mi piacciono i biologi, preferisco gli scienziati.")</f>
        <v>Non mi piacciono i biologi, preferisco gli scienziati.</v>
      </c>
    </row>
    <row r="3482">
      <c r="A3482" s="4">
        <v>3480.0</v>
      </c>
      <c r="B3482" s="5" t="s">
        <v>10447</v>
      </c>
      <c r="C3482" s="4">
        <v>0.0</v>
      </c>
      <c r="D3482" s="5" t="s">
        <v>10448</v>
      </c>
      <c r="E3482" s="5" t="s">
        <v>10449</v>
      </c>
      <c r="F3482" s="6" t="str">
        <f>IFERROR(__xludf.DUMMYFUNCTION("GOOGLETRANSLATE(D3482,""en"",""it"")"),"Non mi piacciono gli scienziati, preferisco i biologi.")</f>
        <v>Non mi piacciono gli scienziati, preferisco i biologi.</v>
      </c>
      <c r="G3482" s="6" t="str">
        <f>IFERROR(__xludf.DUMMYFUNCTION("GOOGLETRANSLATE(E3482,""fr"",""it"")"),"Non mi piacciono gli scienziati, preferisco i biologi.")</f>
        <v>Non mi piacciono gli scienziati, preferisco i biologi.</v>
      </c>
    </row>
    <row r="3483">
      <c r="A3483" s="4">
        <v>3481.0</v>
      </c>
      <c r="B3483" s="5" t="s">
        <v>10450</v>
      </c>
      <c r="C3483" s="4">
        <v>1.0</v>
      </c>
      <c r="D3483" s="5" t="s">
        <v>10451</v>
      </c>
      <c r="E3483" s="5" t="s">
        <v>10452</v>
      </c>
      <c r="F3483" s="6" t="str">
        <f>IFERROR(__xludf.DUMMYFUNCTION("GOOGLETRANSLATE(D3483,""en"",""it"")"),"Non mi piacciono gli scienziati, preferisco gli impiegati.")</f>
        <v>Non mi piacciono gli scienziati, preferisco gli impiegati.</v>
      </c>
      <c r="G3483" s="6" t="str">
        <f>IFERROR(__xludf.DUMMYFUNCTION("GOOGLETRANSLATE(E3483,""fr"",""it"")"),"Non mi piacciono gli scienziati, preferisco gli impiegati.")</f>
        <v>Non mi piacciono gli scienziati, preferisco gli impiegati.</v>
      </c>
    </row>
    <row r="3484">
      <c r="A3484" s="4">
        <v>3482.0</v>
      </c>
      <c r="B3484" s="5" t="s">
        <v>10453</v>
      </c>
      <c r="C3484" s="4">
        <v>1.0</v>
      </c>
      <c r="D3484" s="5" t="s">
        <v>10454</v>
      </c>
      <c r="E3484" s="5" t="s">
        <v>10455</v>
      </c>
      <c r="F3484" s="6" t="str">
        <f>IFERROR(__xludf.DUMMYFUNCTION("GOOGLETRANSLATE(D3484,""en"",""it"")"),"Non mi piacciono i biologi, preferisco i camerieri.")</f>
        <v>Non mi piacciono i biologi, preferisco i camerieri.</v>
      </c>
      <c r="G3484" s="6" t="str">
        <f>IFERROR(__xludf.DUMMYFUNCTION("GOOGLETRANSLATE(E3484,""fr"",""it"")"),"Non mi piacciono i biologi, preferisco i camerieri.")</f>
        <v>Non mi piacciono i biologi, preferisco i camerieri.</v>
      </c>
    </row>
    <row r="3485">
      <c r="A3485" s="4">
        <v>3483.0</v>
      </c>
      <c r="B3485" s="5" t="s">
        <v>10456</v>
      </c>
      <c r="C3485" s="4">
        <v>1.0</v>
      </c>
      <c r="D3485" s="5" t="s">
        <v>10457</v>
      </c>
      <c r="E3485" s="5" t="s">
        <v>10458</v>
      </c>
      <c r="F3485" s="6" t="str">
        <f>IFERROR(__xludf.DUMMYFUNCTION("GOOGLETRANSLATE(D3485,""en"",""it"")"),"Non mi piacciono i camerieri, preferisco i biologi.")</f>
        <v>Non mi piacciono i camerieri, preferisco i biologi.</v>
      </c>
      <c r="G3485" s="6" t="str">
        <f>IFERROR(__xludf.DUMMYFUNCTION("GOOGLETRANSLATE(E3485,""fr"",""it"")"),"Non mi piacciono i server, preferisco i biologi.")</f>
        <v>Non mi piacciono i server, preferisco i biologi.</v>
      </c>
    </row>
    <row r="3486">
      <c r="A3486" s="4">
        <v>3484.0</v>
      </c>
      <c r="B3486" s="5" t="s">
        <v>10459</v>
      </c>
      <c r="C3486" s="4">
        <v>1.0</v>
      </c>
      <c r="D3486" s="5" t="s">
        <v>10460</v>
      </c>
      <c r="E3486" s="5" t="s">
        <v>10461</v>
      </c>
      <c r="F3486" s="6" t="str">
        <f>IFERROR(__xludf.DUMMYFUNCTION("GOOGLETRANSLATE(D3486,""en"",""it"")"),"Non mi piacciono gli scienziati, preferisco i camerieri.")</f>
        <v>Non mi piacciono gli scienziati, preferisco i camerieri.</v>
      </c>
      <c r="G3486" s="6" t="str">
        <f>IFERROR(__xludf.DUMMYFUNCTION("GOOGLETRANSLATE(E3486,""fr"",""it"")"),"Non mi piacciono gli scienziati, preferisco i camerieri.")</f>
        <v>Non mi piacciono gli scienziati, preferisco i camerieri.</v>
      </c>
    </row>
    <row r="3487">
      <c r="A3487" s="4">
        <v>3485.0</v>
      </c>
      <c r="B3487" s="5" t="s">
        <v>10462</v>
      </c>
      <c r="C3487" s="4">
        <v>1.0</v>
      </c>
      <c r="D3487" s="5" t="s">
        <v>10463</v>
      </c>
      <c r="E3487" s="5" t="s">
        <v>10464</v>
      </c>
      <c r="F3487" s="6" t="str">
        <f>IFERROR(__xludf.DUMMYFUNCTION("GOOGLETRANSLATE(D3487,""en"",""it"")"),"Non mi piacciono i biologi, preferisco i custodi.")</f>
        <v>Non mi piacciono i biologi, preferisco i custodi.</v>
      </c>
      <c r="G3487" s="6" t="str">
        <f>IFERROR(__xludf.DUMMYFUNCTION("GOOGLETRANSLATE(E3487,""fr"",""it"")"),"Non mi piacciono i biologi, preferisco le guardie.")</f>
        <v>Non mi piacciono i biologi, preferisco le guardie.</v>
      </c>
    </row>
    <row r="3488">
      <c r="A3488" s="4">
        <v>3486.0</v>
      </c>
      <c r="B3488" s="5" t="s">
        <v>10465</v>
      </c>
      <c r="C3488" s="4">
        <v>1.0</v>
      </c>
      <c r="D3488" s="5" t="s">
        <v>10466</v>
      </c>
      <c r="E3488" s="5" t="s">
        <v>10467</v>
      </c>
      <c r="F3488" s="6" t="str">
        <f>IFERROR(__xludf.DUMMYFUNCTION("GOOGLETRANSLATE(D3488,""en"",""it"")"),"Non mi piacciono i custodi, preferisco i biologi.")</f>
        <v>Non mi piacciono i custodi, preferisco i biologi.</v>
      </c>
      <c r="G3488" s="6" t="str">
        <f>IFERROR(__xludf.DUMMYFUNCTION("GOOGLETRANSLATE(E3488,""fr"",""it"")"),"Non mi piacciono i Guardiani, preferisco i biologi.")</f>
        <v>Non mi piacciono i Guardiani, preferisco i biologi.</v>
      </c>
    </row>
    <row r="3489">
      <c r="A3489" s="4">
        <v>3487.0</v>
      </c>
      <c r="B3489" s="5" t="s">
        <v>10468</v>
      </c>
      <c r="C3489" s="4">
        <v>1.0</v>
      </c>
      <c r="D3489" s="5" t="s">
        <v>10469</v>
      </c>
      <c r="E3489" s="5" t="s">
        <v>10470</v>
      </c>
      <c r="F3489" s="6" t="str">
        <f>IFERROR(__xludf.DUMMYFUNCTION("GOOGLETRANSLATE(D3489,""en"",""it"")"),"Non mi piacciono gli scienziati, preferisco i custodi.")</f>
        <v>Non mi piacciono gli scienziati, preferisco i custodi.</v>
      </c>
      <c r="G3489" s="6" t="str">
        <f>IFERROR(__xludf.DUMMYFUNCTION("GOOGLETRANSLATE(E3489,""fr"",""it"")"),"Non mi piacciono gli scienziati, preferisco le guardie.")</f>
        <v>Non mi piacciono gli scienziati, preferisco le guardie.</v>
      </c>
    </row>
    <row r="3490">
      <c r="A3490" s="4">
        <v>3488.0</v>
      </c>
      <c r="B3490" s="5" t="s">
        <v>10471</v>
      </c>
      <c r="C3490" s="4">
        <v>1.0</v>
      </c>
      <c r="D3490" s="5" t="s">
        <v>10472</v>
      </c>
      <c r="E3490" s="5" t="s">
        <v>10473</v>
      </c>
      <c r="F3490" s="6" t="str">
        <f>IFERROR(__xludf.DUMMYFUNCTION("GOOGLETRANSLATE(D3490,""en"",""it"")"),"Non mi piacciono i biologi, preferisco i bidelli.")</f>
        <v>Non mi piacciono i biologi, preferisco i bidelli.</v>
      </c>
      <c r="G3490" s="6" t="str">
        <f>IFERROR(__xludf.DUMMYFUNCTION("GOOGLETRANSLATE(E3490,""fr"",""it"")"),"Non mi piacciono i biologi, preferisco i conciergie.")</f>
        <v>Non mi piacciono i biologi, preferisco i conciergie.</v>
      </c>
    </row>
    <row r="3491">
      <c r="A3491" s="4">
        <v>3489.0</v>
      </c>
      <c r="B3491" s="5" t="s">
        <v>10474</v>
      </c>
      <c r="C3491" s="4">
        <v>1.0</v>
      </c>
      <c r="D3491" s="5" t="s">
        <v>10475</v>
      </c>
      <c r="E3491" s="5" t="s">
        <v>10476</v>
      </c>
      <c r="F3491" s="6" t="str">
        <f>IFERROR(__xludf.DUMMYFUNCTION("GOOGLETRANSLATE(D3491,""en"",""it"")"),"Non mi piacciono i bidelli, preferisco i biologi.")</f>
        <v>Non mi piacciono i bidelli, preferisco i biologi.</v>
      </c>
      <c r="G3491" s="6" t="str">
        <f>IFERROR(__xludf.DUMMYFUNCTION("GOOGLETRANSLATE(E3491,""fr"",""it"")"),"Non mi piacciono i concierges, preferisco i biologi.")</f>
        <v>Non mi piacciono i concierges, preferisco i biologi.</v>
      </c>
    </row>
    <row r="3492">
      <c r="A3492" s="4">
        <v>3490.0</v>
      </c>
      <c r="B3492" s="5" t="s">
        <v>10477</v>
      </c>
      <c r="C3492" s="4">
        <v>0.0</v>
      </c>
      <c r="D3492" s="5" t="s">
        <v>10478</v>
      </c>
      <c r="E3492" s="5" t="s">
        <v>10479</v>
      </c>
      <c r="F3492" s="6" t="str">
        <f>IFERROR(__xludf.DUMMYFUNCTION("GOOGLETRANSLATE(D3492,""en"",""it"")"),"Mi piacciono le ostriche, tranne il pollo.")</f>
        <v>Mi piacciono le ostriche, tranne il pollo.</v>
      </c>
      <c r="G3492" s="6" t="str">
        <f>IFERROR(__xludf.DUMMYFUNCTION("GOOGLETRANSLATE(E3492,""fr"",""it"")"),"Adoro le ostriche tranne il pollo.")</f>
        <v>Adoro le ostriche tranne il pollo.</v>
      </c>
    </row>
    <row r="3493">
      <c r="A3493" s="4">
        <v>3491.0</v>
      </c>
      <c r="B3493" s="5" t="s">
        <v>10480</v>
      </c>
      <c r="C3493" s="4">
        <v>1.0</v>
      </c>
      <c r="D3493" s="5" t="s">
        <v>10481</v>
      </c>
      <c r="E3493" s="5" t="s">
        <v>10482</v>
      </c>
      <c r="F3493" s="6" t="str">
        <f>IFERROR(__xludf.DUMMYFUNCTION("GOOGLETRANSLATE(D3493,""en"",""it"")"),"Non mi piacciono gli scienziati, preferisco i bidelli.")</f>
        <v>Non mi piacciono gli scienziati, preferisco i bidelli.</v>
      </c>
      <c r="G3493" s="6" t="str">
        <f>IFERROR(__xludf.DUMMYFUNCTION("GOOGLETRANSLATE(E3493,""fr"",""it"")"),"Non mi piacciono gli scienziati, preferisco i conietti.")</f>
        <v>Non mi piacciono gli scienziati, preferisco i conietti.</v>
      </c>
    </row>
    <row r="3494">
      <c r="A3494" s="4">
        <v>3492.0</v>
      </c>
      <c r="B3494" s="5" t="s">
        <v>10483</v>
      </c>
      <c r="C3494" s="4">
        <v>1.0</v>
      </c>
      <c r="D3494" s="5" t="s">
        <v>10484</v>
      </c>
      <c r="E3494" s="5" t="s">
        <v>10485</v>
      </c>
      <c r="F3494" s="6" t="str">
        <f>IFERROR(__xludf.DUMMYFUNCTION("GOOGLETRANSLATE(D3494,""en"",""it"")"),"Non mi piacciono i genetisti, preferisco gli impiegati.")</f>
        <v>Non mi piacciono i genetisti, preferisco gli impiegati.</v>
      </c>
      <c r="G3494" s="6" t="str">
        <f>IFERROR(__xludf.DUMMYFUNCTION("GOOGLETRANSLATE(E3494,""fr"",""it"")"),"Non mi piacciono i genetisti, preferisco gli impiegati.")</f>
        <v>Non mi piacciono i genetisti, preferisco gli impiegati.</v>
      </c>
    </row>
    <row r="3495">
      <c r="A3495" s="4">
        <v>3493.0</v>
      </c>
      <c r="B3495" s="5" t="s">
        <v>10486</v>
      </c>
      <c r="C3495" s="4">
        <v>1.0</v>
      </c>
      <c r="D3495" s="5" t="s">
        <v>10487</v>
      </c>
      <c r="E3495" s="5" t="s">
        <v>10488</v>
      </c>
      <c r="F3495" s="6" t="str">
        <f>IFERROR(__xludf.DUMMYFUNCTION("GOOGLETRANSLATE(D3495,""en"",""it"")"),"Non mi piacciono gli impiegati, preferisco i genetisti.")</f>
        <v>Non mi piacciono gli impiegati, preferisco i genetisti.</v>
      </c>
      <c r="G3495" s="6" t="str">
        <f>IFERROR(__xludf.DUMMYFUNCTION("GOOGLETRANSLATE(E3495,""fr"",""it"")"),"Non mi piacciono gli impiegati, preferisco i genetisti.")</f>
        <v>Non mi piacciono gli impiegati, preferisco i genetisti.</v>
      </c>
    </row>
    <row r="3496">
      <c r="A3496" s="4">
        <v>3494.0</v>
      </c>
      <c r="B3496" s="5" t="s">
        <v>10489</v>
      </c>
      <c r="C3496" s="4">
        <v>0.0</v>
      </c>
      <c r="D3496" s="5" t="s">
        <v>10490</v>
      </c>
      <c r="E3496" s="5" t="s">
        <v>10491</v>
      </c>
      <c r="F3496" s="6" t="str">
        <f>IFERROR(__xludf.DUMMYFUNCTION("GOOGLETRANSLATE(D3496,""en"",""it"")"),"Non mi piacciono i genetisti, preferisco gli scienziati.")</f>
        <v>Non mi piacciono i genetisti, preferisco gli scienziati.</v>
      </c>
      <c r="G3496" s="6" t="str">
        <f>IFERROR(__xludf.DUMMYFUNCTION("GOOGLETRANSLATE(E3496,""fr"",""it"")"),"Non mi piacciono i genetisti, preferisco gli scienziati.")</f>
        <v>Non mi piacciono i genetisti, preferisco gli scienziati.</v>
      </c>
    </row>
    <row r="3497">
      <c r="A3497" s="4">
        <v>3495.0</v>
      </c>
      <c r="B3497" s="5" t="s">
        <v>10492</v>
      </c>
      <c r="C3497" s="4">
        <v>0.0</v>
      </c>
      <c r="D3497" s="5" t="s">
        <v>10493</v>
      </c>
      <c r="E3497" s="5" t="s">
        <v>10494</v>
      </c>
      <c r="F3497" s="6" t="str">
        <f>IFERROR(__xludf.DUMMYFUNCTION("GOOGLETRANSLATE(D3497,""en"",""it"")"),"Non mi piacciono gli scienziati, preferisco i genetisti.")</f>
        <v>Non mi piacciono gli scienziati, preferisco i genetisti.</v>
      </c>
      <c r="G3497" s="6" t="str">
        <f>IFERROR(__xludf.DUMMYFUNCTION("GOOGLETRANSLATE(E3497,""fr"",""it"")"),"Non mi piacciono gli scienziati, preferisco i genetisti.")</f>
        <v>Non mi piacciono gli scienziati, preferisco i genetisti.</v>
      </c>
    </row>
    <row r="3498">
      <c r="A3498" s="4">
        <v>3496.0</v>
      </c>
      <c r="B3498" s="5" t="s">
        <v>10495</v>
      </c>
      <c r="C3498" s="4">
        <v>1.0</v>
      </c>
      <c r="D3498" s="5" t="s">
        <v>10496</v>
      </c>
      <c r="E3498" s="5" t="s">
        <v>10497</v>
      </c>
      <c r="F3498" s="6" t="str">
        <f>IFERROR(__xludf.DUMMYFUNCTION("GOOGLETRANSLATE(D3498,""en"",""it"")"),"Non mi piacciono i genetisti, preferisco i camerieri.")</f>
        <v>Non mi piacciono i genetisti, preferisco i camerieri.</v>
      </c>
      <c r="G3498" s="6" t="str">
        <f>IFERROR(__xludf.DUMMYFUNCTION("GOOGLETRANSLATE(E3498,""fr"",""it"")"),"Non mi piacciono i genetisti, preferisco i server.")</f>
        <v>Non mi piacciono i genetisti, preferisco i server.</v>
      </c>
    </row>
    <row r="3499">
      <c r="A3499" s="4">
        <v>3497.0</v>
      </c>
      <c r="B3499" s="5" t="s">
        <v>10498</v>
      </c>
      <c r="C3499" s="4">
        <v>1.0</v>
      </c>
      <c r="D3499" s="5" t="s">
        <v>10499</v>
      </c>
      <c r="E3499" s="5" t="s">
        <v>10500</v>
      </c>
      <c r="F3499" s="6" t="str">
        <f>IFERROR(__xludf.DUMMYFUNCTION("GOOGLETRANSLATE(D3499,""en"",""it"")"),"Non mi piacciono i camerieri, preferisco i genetisti.")</f>
        <v>Non mi piacciono i camerieri, preferisco i genetisti.</v>
      </c>
      <c r="G3499" s="6" t="str">
        <f>IFERROR(__xludf.DUMMYFUNCTION("GOOGLETRANSLATE(E3499,""fr"",""it"")"),"Non mi piacciono i server, preferisco i genetisti.")</f>
        <v>Non mi piacciono i server, preferisco i genetisti.</v>
      </c>
    </row>
    <row r="3500">
      <c r="A3500" s="4">
        <v>3498.0</v>
      </c>
      <c r="B3500" s="5" t="s">
        <v>10501</v>
      </c>
      <c r="C3500" s="4">
        <v>0.0</v>
      </c>
      <c r="D3500" s="5" t="s">
        <v>10502</v>
      </c>
      <c r="E3500" s="5" t="s">
        <v>10503</v>
      </c>
      <c r="F3500" s="6" t="str">
        <f>IFERROR(__xludf.DUMMYFUNCTION("GOOGLETRANSLATE(D3500,""en"",""it"")"),"Mi piace il pollo, tranne le ostriche.")</f>
        <v>Mi piace il pollo, tranne le ostriche.</v>
      </c>
      <c r="G3500" s="6" t="str">
        <f>IFERROR(__xludf.DUMMYFUNCTION("GOOGLETRANSLATE(E3500,""fr"",""it"")"),"Adoro il pollo tranne le ostriche.")</f>
        <v>Adoro il pollo tranne le ostriche.</v>
      </c>
    </row>
    <row r="3501">
      <c r="A3501" s="4">
        <v>3499.0</v>
      </c>
      <c r="B3501" s="5" t="s">
        <v>10504</v>
      </c>
      <c r="C3501" s="4">
        <v>1.0</v>
      </c>
      <c r="D3501" s="5" t="s">
        <v>10505</v>
      </c>
      <c r="E3501" s="5" t="s">
        <v>10506</v>
      </c>
      <c r="F3501" s="6" t="str">
        <f>IFERROR(__xludf.DUMMYFUNCTION("GOOGLETRANSLATE(D3501,""en"",""it"")"),"Non mi piacciono i genetisti, preferisco i custodi.")</f>
        <v>Non mi piacciono i genetisti, preferisco i custodi.</v>
      </c>
      <c r="G3501" s="6" t="str">
        <f>IFERROR(__xludf.DUMMYFUNCTION("GOOGLETRANSLATE(E3501,""fr"",""it"")"),"Non mi piacciono i genetisti, preferisco le guardie.")</f>
        <v>Non mi piacciono i genetisti, preferisco le guardie.</v>
      </c>
    </row>
    <row r="3502">
      <c r="A3502" s="4">
        <v>3500.0</v>
      </c>
      <c r="B3502" s="5" t="s">
        <v>10507</v>
      </c>
      <c r="C3502" s="4">
        <v>1.0</v>
      </c>
      <c r="D3502" s="5" t="s">
        <v>10508</v>
      </c>
      <c r="E3502" s="5" t="s">
        <v>10509</v>
      </c>
      <c r="F3502" s="6" t="str">
        <f>IFERROR(__xludf.DUMMYFUNCTION("GOOGLETRANSLATE(D3502,""en"",""it"")"),"Non mi piacciono i custodi, preferisco i genetisti.")</f>
        <v>Non mi piacciono i custodi, preferisco i genetisti.</v>
      </c>
      <c r="G3502" s="6" t="str">
        <f>IFERROR(__xludf.DUMMYFUNCTION("GOOGLETRANSLATE(E3502,""fr"",""it"")"),"Non mi piacciono i Guardiani, preferisco i genetisti.")</f>
        <v>Non mi piacciono i Guardiani, preferisco i genetisti.</v>
      </c>
    </row>
    <row r="3503">
      <c r="A3503" s="4">
        <v>3501.0</v>
      </c>
      <c r="B3503" s="5" t="s">
        <v>10510</v>
      </c>
      <c r="C3503" s="4">
        <v>1.0</v>
      </c>
      <c r="D3503" s="5" t="s">
        <v>10511</v>
      </c>
      <c r="E3503" s="5" t="s">
        <v>10512</v>
      </c>
      <c r="F3503" s="6" t="str">
        <f>IFERROR(__xludf.DUMMYFUNCTION("GOOGLETRANSLATE(D3503,""en"",""it"")"),"Non mi piacciono i genetisti, preferisco i bidelli.")</f>
        <v>Non mi piacciono i genetisti, preferisco i bidelli.</v>
      </c>
      <c r="G3503" s="6" t="str">
        <f>IFERROR(__xludf.DUMMYFUNCTION("GOOGLETRANSLATE(E3503,""fr"",""it"")"),"Non mi piacciono i genetisti, preferisco i concieti.")</f>
        <v>Non mi piacciono i genetisti, preferisco i concieti.</v>
      </c>
    </row>
    <row r="3504">
      <c r="A3504" s="4">
        <v>3502.0</v>
      </c>
      <c r="B3504" s="5" t="s">
        <v>10513</v>
      </c>
      <c r="C3504" s="4">
        <v>1.0</v>
      </c>
      <c r="D3504" s="5" t="s">
        <v>10514</v>
      </c>
      <c r="E3504" s="5" t="s">
        <v>10515</v>
      </c>
      <c r="F3504" s="6" t="str">
        <f>IFERROR(__xludf.DUMMYFUNCTION("GOOGLETRANSLATE(D3504,""en"",""it"")"),"Non mi piacciono i bidelli, preferisco i genetisti.")</f>
        <v>Non mi piacciono i bidelli, preferisco i genetisti.</v>
      </c>
      <c r="G3504" s="6" t="str">
        <f>IFERROR(__xludf.DUMMYFUNCTION("GOOGLETRANSLATE(E3504,""fr"",""it"")"),"Non mi piacciono i concierges, preferisco i genetisti.")</f>
        <v>Non mi piacciono i concierges, preferisco i genetisti.</v>
      </c>
    </row>
    <row r="3505">
      <c r="A3505" s="4">
        <v>3503.0</v>
      </c>
      <c r="B3505" s="5" t="s">
        <v>10516</v>
      </c>
      <c r="C3505" s="4">
        <v>0.0</v>
      </c>
      <c r="D3505" s="5" t="s">
        <v>10517</v>
      </c>
      <c r="E3505" s="5" t="s">
        <v>10518</v>
      </c>
      <c r="F3505" s="6" t="str">
        <f>IFERROR(__xludf.DUMMYFUNCTION("GOOGLETRANSLATE(D3505,""en"",""it"")"),"Mi piacciono le ostriche, tranne i frutti di mare.")</f>
        <v>Mi piacciono le ostriche, tranne i frutti di mare.</v>
      </c>
      <c r="G3505" s="6" t="str">
        <f>IFERROR(__xludf.DUMMYFUNCTION("GOOGLETRANSLATE(E3505,""fr"",""it"")"),"Adoro le ostriche tranne i prodotti del mare.")</f>
        <v>Adoro le ostriche tranne i prodotti del mare.</v>
      </c>
    </row>
    <row r="3506">
      <c r="A3506" s="4">
        <v>3504.0</v>
      </c>
      <c r="B3506" s="5" t="s">
        <v>10519</v>
      </c>
      <c r="C3506" s="4">
        <v>1.0</v>
      </c>
      <c r="D3506" s="5" t="s">
        <v>10520</v>
      </c>
      <c r="E3506" s="5" t="s">
        <v>10521</v>
      </c>
      <c r="F3506" s="6" t="str">
        <f>IFERROR(__xludf.DUMMYFUNCTION("GOOGLETRANSLATE(D3506,""en"",""it"")"),"Non mi piacciono gli astronomi, preferisco gli impiegati.")</f>
        <v>Non mi piacciono gli astronomi, preferisco gli impiegati.</v>
      </c>
      <c r="G3506" s="6" t="str">
        <f>IFERROR(__xludf.DUMMYFUNCTION("GOOGLETRANSLATE(E3506,""fr"",""it"")"),"Non mi piacciono gli astronomi, preferisco gli impiegati.")</f>
        <v>Non mi piacciono gli astronomi, preferisco gli impiegati.</v>
      </c>
    </row>
    <row r="3507">
      <c r="A3507" s="4">
        <v>3505.0</v>
      </c>
      <c r="B3507" s="5" t="s">
        <v>10522</v>
      </c>
      <c r="C3507" s="4">
        <v>1.0</v>
      </c>
      <c r="D3507" s="5" t="s">
        <v>10523</v>
      </c>
      <c r="E3507" s="5" t="s">
        <v>10524</v>
      </c>
      <c r="F3507" s="6" t="str">
        <f>IFERROR(__xludf.DUMMYFUNCTION("GOOGLETRANSLATE(D3507,""en"",""it"")"),"Non mi piacciono gli impiegati, preferisco gli astronomi.")</f>
        <v>Non mi piacciono gli impiegati, preferisco gli astronomi.</v>
      </c>
      <c r="G3507" s="6" t="str">
        <f>IFERROR(__xludf.DUMMYFUNCTION("GOOGLETRANSLATE(E3507,""fr"",""it"")"),"Non mi piacciono gli impiegati, preferisco gli astronomi.")</f>
        <v>Non mi piacciono gli impiegati, preferisco gli astronomi.</v>
      </c>
    </row>
    <row r="3508">
      <c r="A3508" s="4">
        <v>3506.0</v>
      </c>
      <c r="B3508" s="5" t="s">
        <v>10525</v>
      </c>
      <c r="C3508" s="4">
        <v>0.0</v>
      </c>
      <c r="D3508" s="5" t="s">
        <v>10526</v>
      </c>
      <c r="E3508" s="5" t="s">
        <v>10527</v>
      </c>
      <c r="F3508" s="6" t="str">
        <f>IFERROR(__xludf.DUMMYFUNCTION("GOOGLETRANSLATE(D3508,""en"",""it"")"),"Non mi piacciono gli astronomi, preferisco gli scienziati.")</f>
        <v>Non mi piacciono gli astronomi, preferisco gli scienziati.</v>
      </c>
      <c r="G3508" s="6" t="str">
        <f>IFERROR(__xludf.DUMMYFUNCTION("GOOGLETRANSLATE(E3508,""fr"",""it"")"),"Non mi piacciono gli astronomi, preferisco gli scienziati.")</f>
        <v>Non mi piacciono gli astronomi, preferisco gli scienziati.</v>
      </c>
    </row>
    <row r="3509">
      <c r="A3509" s="4">
        <v>3507.0</v>
      </c>
      <c r="B3509" s="5" t="s">
        <v>10528</v>
      </c>
      <c r="C3509" s="4">
        <v>0.0</v>
      </c>
      <c r="D3509" s="5" t="s">
        <v>10529</v>
      </c>
      <c r="E3509" s="5" t="s">
        <v>10530</v>
      </c>
      <c r="F3509" s="6" t="str">
        <f>IFERROR(__xludf.DUMMYFUNCTION("GOOGLETRANSLATE(D3509,""en"",""it"")"),"Non mi piacciono gli scienziati, preferisco gli astronomi.")</f>
        <v>Non mi piacciono gli scienziati, preferisco gli astronomi.</v>
      </c>
      <c r="G3509" s="6" t="str">
        <f>IFERROR(__xludf.DUMMYFUNCTION("GOOGLETRANSLATE(E3509,""fr"",""it"")"),"Non mi piacciono gli scienziati, preferisco gli astronomi.")</f>
        <v>Non mi piacciono gli scienziati, preferisco gli astronomi.</v>
      </c>
    </row>
    <row r="3510">
      <c r="A3510" s="4">
        <v>3508.0</v>
      </c>
      <c r="B3510" s="5" t="s">
        <v>10531</v>
      </c>
      <c r="C3510" s="4">
        <v>1.0</v>
      </c>
      <c r="D3510" s="5" t="s">
        <v>10532</v>
      </c>
      <c r="E3510" s="5" t="s">
        <v>10533</v>
      </c>
      <c r="F3510" s="6" t="str">
        <f>IFERROR(__xludf.DUMMYFUNCTION("GOOGLETRANSLATE(D3510,""en"",""it"")"),"Non mi piacciono gli astronomi, preferisco i camerieri.")</f>
        <v>Non mi piacciono gli astronomi, preferisco i camerieri.</v>
      </c>
      <c r="G3510" s="6" t="str">
        <f>IFERROR(__xludf.DUMMYFUNCTION("GOOGLETRANSLATE(E3510,""fr"",""it"")"),"Non mi piacciono gli astronomi, preferisco i camerieri.")</f>
        <v>Non mi piacciono gli astronomi, preferisco i camerieri.</v>
      </c>
    </row>
    <row r="3511">
      <c r="A3511" s="4">
        <v>3509.0</v>
      </c>
      <c r="B3511" s="5" t="s">
        <v>10534</v>
      </c>
      <c r="C3511" s="4">
        <v>1.0</v>
      </c>
      <c r="D3511" s="5" t="s">
        <v>10535</v>
      </c>
      <c r="E3511" s="5" t="s">
        <v>10536</v>
      </c>
      <c r="F3511" s="6" t="str">
        <f>IFERROR(__xludf.DUMMYFUNCTION("GOOGLETRANSLATE(D3511,""en"",""it"")"),"Non mi piacciono i camerieri, preferisco gli astronomi.")</f>
        <v>Non mi piacciono i camerieri, preferisco gli astronomi.</v>
      </c>
      <c r="G3511" s="6" t="str">
        <f>IFERROR(__xludf.DUMMYFUNCTION("GOOGLETRANSLATE(E3511,""fr"",""it"")"),"Non mi piacciono i server, preferisco gli astronomi.")</f>
        <v>Non mi piacciono i server, preferisco gli astronomi.</v>
      </c>
    </row>
    <row r="3512">
      <c r="A3512" s="4">
        <v>3510.0</v>
      </c>
      <c r="B3512" s="5" t="s">
        <v>10537</v>
      </c>
      <c r="C3512" s="4">
        <v>1.0</v>
      </c>
      <c r="D3512" s="5" t="s">
        <v>10538</v>
      </c>
      <c r="E3512" s="5" t="s">
        <v>10539</v>
      </c>
      <c r="F3512" s="6" t="str">
        <f>IFERROR(__xludf.DUMMYFUNCTION("GOOGLETRANSLATE(D3512,""en"",""it"")"),"Mi piacciono i frutti di mare, tranne le ostriche.")</f>
        <v>Mi piacciono i frutti di mare, tranne le ostriche.</v>
      </c>
      <c r="G3512" s="6" t="str">
        <f>IFERROR(__xludf.DUMMYFUNCTION("GOOGLETRANSLATE(E3512,""fr"",""it"")"),"Adoro i prodotti del mare, tranne le ostriche.")</f>
        <v>Adoro i prodotti del mare, tranne le ostriche.</v>
      </c>
    </row>
    <row r="3513">
      <c r="A3513" s="4">
        <v>3511.0</v>
      </c>
      <c r="B3513" s="5" t="s">
        <v>10540</v>
      </c>
      <c r="C3513" s="4">
        <v>1.0</v>
      </c>
      <c r="D3513" s="5" t="s">
        <v>10541</v>
      </c>
      <c r="E3513" s="5" t="s">
        <v>10542</v>
      </c>
      <c r="F3513" s="6" t="str">
        <f>IFERROR(__xludf.DUMMYFUNCTION("GOOGLETRANSLATE(D3513,""en"",""it"")"),"Non mi piacciono gli astronomi, preferisco i custodi.")</f>
        <v>Non mi piacciono gli astronomi, preferisco i custodi.</v>
      </c>
      <c r="G3513" s="6" t="str">
        <f>IFERROR(__xludf.DUMMYFUNCTION("GOOGLETRANSLATE(E3513,""fr"",""it"")"),"Non mi piacciono gli astronomi, preferisco le guardie.")</f>
        <v>Non mi piacciono gli astronomi, preferisco le guardie.</v>
      </c>
    </row>
    <row r="3514">
      <c r="A3514" s="4">
        <v>3512.0</v>
      </c>
      <c r="B3514" s="5" t="s">
        <v>10543</v>
      </c>
      <c r="C3514" s="4">
        <v>1.0</v>
      </c>
      <c r="D3514" s="5" t="s">
        <v>10544</v>
      </c>
      <c r="E3514" s="5" t="s">
        <v>10545</v>
      </c>
      <c r="F3514" s="6" t="str">
        <f>IFERROR(__xludf.DUMMYFUNCTION("GOOGLETRANSLATE(D3514,""en"",""it"")"),"Non mi piacciono i custodi, preferisco gli astronomi.")</f>
        <v>Non mi piacciono i custodi, preferisco gli astronomi.</v>
      </c>
      <c r="G3514" s="6" t="str">
        <f>IFERROR(__xludf.DUMMYFUNCTION("GOOGLETRANSLATE(E3514,""fr"",""it"")"),"Non mi piacciono le guardie, preferisco gli astronomi.")</f>
        <v>Non mi piacciono le guardie, preferisco gli astronomi.</v>
      </c>
    </row>
    <row r="3515">
      <c r="A3515" s="4">
        <v>3513.0</v>
      </c>
      <c r="B3515" s="5" t="s">
        <v>10546</v>
      </c>
      <c r="C3515" s="4">
        <v>1.0</v>
      </c>
      <c r="D3515" s="5" t="s">
        <v>10547</v>
      </c>
      <c r="E3515" s="5" t="s">
        <v>10548</v>
      </c>
      <c r="F3515" s="6" t="str">
        <f>IFERROR(__xludf.DUMMYFUNCTION("GOOGLETRANSLATE(D3515,""en"",""it"")"),"Non mi piacciono gli astronomi, preferisco i bidelli.")</f>
        <v>Non mi piacciono gli astronomi, preferisco i bidelli.</v>
      </c>
      <c r="G3515" s="6" t="str">
        <f>IFERROR(__xludf.DUMMYFUNCTION("GOOGLETRANSLATE(E3515,""fr"",""it"")"),"Non mi piacciono gli astronomi, preferisco i porciere.")</f>
        <v>Non mi piacciono gli astronomi, preferisco i porciere.</v>
      </c>
    </row>
    <row r="3516">
      <c r="A3516" s="4">
        <v>3514.0</v>
      </c>
      <c r="B3516" s="5" t="s">
        <v>10549</v>
      </c>
      <c r="C3516" s="4">
        <v>1.0</v>
      </c>
      <c r="D3516" s="5" t="s">
        <v>10550</v>
      </c>
      <c r="E3516" s="5" t="s">
        <v>10551</v>
      </c>
      <c r="F3516" s="6" t="str">
        <f>IFERROR(__xludf.DUMMYFUNCTION("GOOGLETRANSLATE(D3516,""en"",""it"")"),"Non mi piacciono i bidelli, preferisco gli astronomi.")</f>
        <v>Non mi piacciono i bidelli, preferisco gli astronomi.</v>
      </c>
      <c r="G3516" s="6" t="str">
        <f>IFERROR(__xludf.DUMMYFUNCTION("GOOGLETRANSLATE(E3516,""fr"",""it"")"),"Non mi piacciono i concierges, preferisco gli astronomi.")</f>
        <v>Non mi piacciono i concierges, preferisco gli astronomi.</v>
      </c>
    </row>
    <row r="3517">
      <c r="A3517" s="4">
        <v>3515.0</v>
      </c>
      <c r="B3517" s="5" t="s">
        <v>10552</v>
      </c>
      <c r="C3517" s="4">
        <v>1.0</v>
      </c>
      <c r="D3517" s="5" t="s">
        <v>10553</v>
      </c>
      <c r="E3517" s="5" t="s">
        <v>10554</v>
      </c>
      <c r="F3517" s="6" t="str">
        <f>IFERROR(__xludf.DUMMYFUNCTION("GOOGLETRANSLATE(D3517,""en"",""it"")"),"Non mi piacciono i fisici, preferisco gli impiegati.")</f>
        <v>Non mi piacciono i fisici, preferisco gli impiegati.</v>
      </c>
      <c r="G3517" s="6" t="str">
        <f>IFERROR(__xludf.DUMMYFUNCTION("GOOGLETRANSLATE(E3517,""fr"",""it"")"),"Non mi piacciono i fisici, preferisco gli impiegati.")</f>
        <v>Non mi piacciono i fisici, preferisco gli impiegati.</v>
      </c>
    </row>
    <row r="3518">
      <c r="A3518" s="4">
        <v>3516.0</v>
      </c>
      <c r="B3518" s="5" t="s">
        <v>10555</v>
      </c>
      <c r="C3518" s="4">
        <v>1.0</v>
      </c>
      <c r="D3518" s="5" t="s">
        <v>10556</v>
      </c>
      <c r="E3518" s="5" t="s">
        <v>10557</v>
      </c>
      <c r="F3518" s="6" t="str">
        <f>IFERROR(__xludf.DUMMYFUNCTION("GOOGLETRANSLATE(D3518,""en"",""it"")"),"Non mi piacciono gli impiegati, preferisco i fisici.")</f>
        <v>Non mi piacciono gli impiegati, preferisco i fisici.</v>
      </c>
      <c r="G3518" s="6" t="str">
        <f>IFERROR(__xludf.DUMMYFUNCTION("GOOGLETRANSLATE(E3518,""fr"",""it"")"),"Non mi piacciono gli impiegati, preferisco i fisici.")</f>
        <v>Non mi piacciono gli impiegati, preferisco i fisici.</v>
      </c>
    </row>
    <row r="3519">
      <c r="A3519" s="4">
        <v>3517.0</v>
      </c>
      <c r="B3519" s="5" t="s">
        <v>10558</v>
      </c>
      <c r="C3519" s="4">
        <v>0.0</v>
      </c>
      <c r="D3519" s="5" t="s">
        <v>10559</v>
      </c>
      <c r="E3519" s="5" t="s">
        <v>10560</v>
      </c>
      <c r="F3519" s="6" t="str">
        <f>IFERROR(__xludf.DUMMYFUNCTION("GOOGLETRANSLATE(D3519,""en"",""it"")"),"Non mi piacciono i fisici, preferisco gli scienziati.")</f>
        <v>Non mi piacciono i fisici, preferisco gli scienziati.</v>
      </c>
      <c r="G3519" s="6" t="str">
        <f>IFERROR(__xludf.DUMMYFUNCTION("GOOGLETRANSLATE(E3519,""fr"",""it"")"),"Non mi piacciono i fisici, preferisco gli scienziati.")</f>
        <v>Non mi piacciono i fisici, preferisco gli scienziati.</v>
      </c>
    </row>
    <row r="3520">
      <c r="A3520" s="4">
        <v>3518.0</v>
      </c>
      <c r="B3520" s="5" t="s">
        <v>10561</v>
      </c>
      <c r="C3520" s="4">
        <v>0.0</v>
      </c>
      <c r="D3520" s="5" t="s">
        <v>10562</v>
      </c>
      <c r="E3520" s="5" t="s">
        <v>10563</v>
      </c>
      <c r="F3520" s="6" t="str">
        <f>IFERROR(__xludf.DUMMYFUNCTION("GOOGLETRANSLATE(D3520,""en"",""it"")"),"Non mi piacciono gli scienziati, preferisco i fisici.")</f>
        <v>Non mi piacciono gli scienziati, preferisco i fisici.</v>
      </c>
      <c r="G3520" s="6" t="str">
        <f>IFERROR(__xludf.DUMMYFUNCTION("GOOGLETRANSLATE(E3520,""fr"",""it"")"),"Non mi piacciono gli scienziati, preferisco i fisici.")</f>
        <v>Non mi piacciono gli scienziati, preferisco i fisici.</v>
      </c>
    </row>
    <row r="3521">
      <c r="A3521" s="4">
        <v>3519.0</v>
      </c>
      <c r="B3521" s="5" t="s">
        <v>10564</v>
      </c>
      <c r="C3521" s="4">
        <v>1.0</v>
      </c>
      <c r="D3521" s="5" t="s">
        <v>10565</v>
      </c>
      <c r="E3521" s="5" t="s">
        <v>10566</v>
      </c>
      <c r="F3521" s="6" t="str">
        <f>IFERROR(__xludf.DUMMYFUNCTION("GOOGLETRANSLATE(D3521,""en"",""it"")"),"Non mi piacciono i fisici, preferisco i camerieri.")</f>
        <v>Non mi piacciono i fisici, preferisco i camerieri.</v>
      </c>
      <c r="G3521" s="6" t="str">
        <f>IFERROR(__xludf.DUMMYFUNCTION("GOOGLETRANSLATE(E3521,""fr"",""it"")"),"Non mi piacciono i fisici, preferisco i camerieri.")</f>
        <v>Non mi piacciono i fisici, preferisco i camerieri.</v>
      </c>
    </row>
    <row r="3522">
      <c r="A3522" s="4">
        <v>3520.0</v>
      </c>
      <c r="B3522" s="5" t="s">
        <v>10567</v>
      </c>
      <c r="C3522" s="4">
        <v>1.0</v>
      </c>
      <c r="D3522" s="5" t="s">
        <v>10568</v>
      </c>
      <c r="E3522" s="5" t="s">
        <v>10569</v>
      </c>
      <c r="F3522" s="6" t="str">
        <f>IFERROR(__xludf.DUMMYFUNCTION("GOOGLETRANSLATE(D3522,""en"",""it"")"),"Non mi piacciono i camerieri, preferisco i fisici.")</f>
        <v>Non mi piacciono i camerieri, preferisco i fisici.</v>
      </c>
      <c r="G3522" s="6" t="str">
        <f>IFERROR(__xludf.DUMMYFUNCTION("GOOGLETRANSLATE(E3522,""fr"",""it"")"),"Non mi piacciono i server, preferisco i fisici.")</f>
        <v>Non mi piacciono i server, preferisco i fisici.</v>
      </c>
    </row>
    <row r="3523">
      <c r="A3523" s="4">
        <v>3521.0</v>
      </c>
      <c r="B3523" s="5" t="s">
        <v>10570</v>
      </c>
      <c r="C3523" s="4">
        <v>0.0</v>
      </c>
      <c r="D3523" s="5" t="s">
        <v>10571</v>
      </c>
      <c r="E3523" s="5" t="s">
        <v>10572</v>
      </c>
      <c r="F3523" s="6" t="str">
        <f>IFERROR(__xludf.DUMMYFUNCTION("GOOGLETRANSLATE(D3523,""en"",""it"")"),"Mi piacciono le ostriche, tranne il vitello.")</f>
        <v>Mi piacciono le ostriche, tranne il vitello.</v>
      </c>
      <c r="G3523" s="6" t="str">
        <f>IFERROR(__xludf.DUMMYFUNCTION("GOOGLETRANSLATE(E3523,""fr"",""it"")"),"Adoro le ostriche tranne il vitello.")</f>
        <v>Adoro le ostriche tranne il vitello.</v>
      </c>
    </row>
    <row r="3524">
      <c r="A3524" s="4">
        <v>3522.0</v>
      </c>
      <c r="B3524" s="5" t="s">
        <v>10573</v>
      </c>
      <c r="C3524" s="4">
        <v>1.0</v>
      </c>
      <c r="D3524" s="5" t="s">
        <v>10574</v>
      </c>
      <c r="E3524" s="5" t="s">
        <v>10575</v>
      </c>
      <c r="F3524" s="6" t="str">
        <f>IFERROR(__xludf.DUMMYFUNCTION("GOOGLETRANSLATE(D3524,""en"",""it"")"),"Non mi piacciono i fisici, preferisco i custodi.")</f>
        <v>Non mi piacciono i fisici, preferisco i custodi.</v>
      </c>
      <c r="G3524" s="6" t="str">
        <f>IFERROR(__xludf.DUMMYFUNCTION("GOOGLETRANSLATE(E3524,""fr"",""it"")"),"Non mi piacciono i fisici, preferisco le guardie.")</f>
        <v>Non mi piacciono i fisici, preferisco le guardie.</v>
      </c>
    </row>
    <row r="3525">
      <c r="A3525" s="4">
        <v>3523.0</v>
      </c>
      <c r="B3525" s="5" t="s">
        <v>10576</v>
      </c>
      <c r="C3525" s="4">
        <v>1.0</v>
      </c>
      <c r="D3525" s="5" t="s">
        <v>10577</v>
      </c>
      <c r="E3525" s="5" t="s">
        <v>10578</v>
      </c>
      <c r="F3525" s="6" t="str">
        <f>IFERROR(__xludf.DUMMYFUNCTION("GOOGLETRANSLATE(D3525,""en"",""it"")"),"Non mi piacciono i custodi, preferisco i fisici.")</f>
        <v>Non mi piacciono i custodi, preferisco i fisici.</v>
      </c>
      <c r="G3525" s="6" t="str">
        <f>IFERROR(__xludf.DUMMYFUNCTION("GOOGLETRANSLATE(E3525,""fr"",""it"")"),"Non mi piacciono le guardie, preferisco i fisici.")</f>
        <v>Non mi piacciono le guardie, preferisco i fisici.</v>
      </c>
    </row>
    <row r="3526">
      <c r="A3526" s="4">
        <v>3524.0</v>
      </c>
      <c r="B3526" s="5" t="s">
        <v>10579</v>
      </c>
      <c r="C3526" s="4">
        <v>1.0</v>
      </c>
      <c r="D3526" s="5" t="s">
        <v>10580</v>
      </c>
      <c r="E3526" s="5" t="s">
        <v>10581</v>
      </c>
      <c r="F3526" s="6" t="str">
        <f>IFERROR(__xludf.DUMMYFUNCTION("GOOGLETRANSLATE(D3526,""en"",""it"")"),"Non mi piacciono i fisici, preferisco i bidelli.")</f>
        <v>Non mi piacciono i fisici, preferisco i bidelli.</v>
      </c>
      <c r="G3526" s="6" t="str">
        <f>IFERROR(__xludf.DUMMYFUNCTION("GOOGLETRANSLATE(E3526,""fr"",""it"")"),"Non mi piacciono i fisici, preferisco i concieti.")</f>
        <v>Non mi piacciono i fisici, preferisco i concieti.</v>
      </c>
    </row>
    <row r="3527">
      <c r="A3527" s="4">
        <v>3525.0</v>
      </c>
      <c r="B3527" s="5" t="s">
        <v>10582</v>
      </c>
      <c r="C3527" s="4">
        <v>1.0</v>
      </c>
      <c r="D3527" s="5" t="s">
        <v>10583</v>
      </c>
      <c r="E3527" s="5" t="s">
        <v>10584</v>
      </c>
      <c r="F3527" s="6" t="str">
        <f>IFERROR(__xludf.DUMMYFUNCTION("GOOGLETRANSLATE(D3527,""en"",""it"")"),"Non mi piacciono i bidelli, preferisco i fisici.")</f>
        <v>Non mi piacciono i bidelli, preferisco i fisici.</v>
      </c>
      <c r="G3527" s="6" t="str">
        <f>IFERROR(__xludf.DUMMYFUNCTION("GOOGLETRANSLATE(E3527,""fr"",""it"")"),"Non mi piacciono i concierges, preferisco i fisici.")</f>
        <v>Non mi piacciono i concierges, preferisco i fisici.</v>
      </c>
    </row>
    <row r="3528">
      <c r="A3528" s="4">
        <v>3526.0</v>
      </c>
      <c r="B3528" s="5" t="s">
        <v>10585</v>
      </c>
      <c r="C3528" s="4">
        <v>0.0</v>
      </c>
      <c r="D3528" s="5" t="s">
        <v>10586</v>
      </c>
      <c r="E3528" s="5" t="s">
        <v>10587</v>
      </c>
      <c r="F3528" s="6" t="str">
        <f>IFERROR(__xludf.DUMMYFUNCTION("GOOGLETRANSLATE(D3528,""en"",""it"")"),"Mi piace il vitello, tranne le ostriche.")</f>
        <v>Mi piace il vitello, tranne le ostriche.</v>
      </c>
      <c r="G3528" s="6" t="str">
        <f>IFERROR(__xludf.DUMMYFUNCTION("GOOGLETRANSLATE(E3528,""fr"",""it"")"),"Adoro il vitello tranne le ostriche.")</f>
        <v>Adoro il vitello tranne le ostriche.</v>
      </c>
    </row>
    <row r="3529">
      <c r="A3529" s="4">
        <v>3527.0</v>
      </c>
      <c r="B3529" s="5" t="s">
        <v>10588</v>
      </c>
      <c r="C3529" s="4">
        <v>0.0</v>
      </c>
      <c r="D3529" s="5" t="s">
        <v>10589</v>
      </c>
      <c r="E3529" s="5" t="s">
        <v>10590</v>
      </c>
      <c r="F3529" s="6" t="str">
        <f>IFERROR(__xludf.DUMMYFUNCTION("GOOGLETRANSLATE(D3529,""en"",""it"")"),"Mi piacciono le ostriche, tranne la Turchia.")</f>
        <v>Mi piacciono le ostriche, tranne la Turchia.</v>
      </c>
      <c r="G3529" s="6" t="str">
        <f>IFERROR(__xludf.DUMMYFUNCTION("GOOGLETRANSLATE(E3529,""fr"",""it"")"),"Adoro le ostriche tranne la Turchia.")</f>
        <v>Adoro le ostriche tranne la Turchia.</v>
      </c>
    </row>
    <row r="3530">
      <c r="A3530" s="4">
        <v>3528.0</v>
      </c>
      <c r="B3530" s="5" t="s">
        <v>10591</v>
      </c>
      <c r="C3530" s="4">
        <v>0.0</v>
      </c>
      <c r="D3530" s="5" t="s">
        <v>10592</v>
      </c>
      <c r="E3530" s="5" t="s">
        <v>10593</v>
      </c>
      <c r="F3530" s="6" t="str">
        <f>IFERROR(__xludf.DUMMYFUNCTION("GOOGLETRANSLATE(D3530,""en"",""it"")"),"Mi piace la Turchia, tranne le ostriche.")</f>
        <v>Mi piace la Turchia, tranne le ostriche.</v>
      </c>
      <c r="G3530" s="6" t="str">
        <f>IFERROR(__xludf.DUMMYFUNCTION("GOOGLETRANSLATE(E3530,""fr"",""it"")"),"Adoro il tacchino, tranne le ostriche.")</f>
        <v>Adoro il tacchino, tranne le ostriche.</v>
      </c>
    </row>
    <row r="3531">
      <c r="A3531" s="4">
        <v>3529.0</v>
      </c>
      <c r="B3531" s="5" t="s">
        <v>10594</v>
      </c>
      <c r="C3531" s="4">
        <v>0.0</v>
      </c>
      <c r="D3531" s="5" t="s">
        <v>10595</v>
      </c>
      <c r="E3531" s="5" t="s">
        <v>10596</v>
      </c>
      <c r="F3531" s="6" t="str">
        <f>IFERROR(__xludf.DUMMYFUNCTION("GOOGLETRANSLATE(D3531,""en"",""it"")"),"Mi piacciono le ostriche, tranne la carne.")</f>
        <v>Mi piacciono le ostriche, tranne la carne.</v>
      </c>
      <c r="G3531" s="6" t="str">
        <f>IFERROR(__xludf.DUMMYFUNCTION("GOOGLETRANSLATE(E3531,""fr"",""it"")"),"Adoro le ostriche tranne la carne bovina.")</f>
        <v>Adoro le ostriche tranne la carne bovina.</v>
      </c>
    </row>
    <row r="3532">
      <c r="A3532" s="4">
        <v>3530.0</v>
      </c>
      <c r="B3532" s="5" t="s">
        <v>10597</v>
      </c>
      <c r="C3532" s="4">
        <v>0.0</v>
      </c>
      <c r="D3532" s="5" t="s">
        <v>10598</v>
      </c>
      <c r="E3532" s="5" t="s">
        <v>10599</v>
      </c>
      <c r="F3532" s="6" t="str">
        <f>IFERROR(__xludf.DUMMYFUNCTION("GOOGLETRANSLATE(D3532,""en"",""it"")"),"Mi piace il manzo, tranne le ostriche.")</f>
        <v>Mi piace il manzo, tranne le ostriche.</v>
      </c>
      <c r="G3532" s="6" t="str">
        <f>IFERROR(__xludf.DUMMYFUNCTION("GOOGLETRANSLATE(E3532,""fr"",""it"")"),"Amo la carne, tranne le ostriche.")</f>
        <v>Amo la carne, tranne le ostriche.</v>
      </c>
    </row>
    <row r="3533">
      <c r="A3533" s="4">
        <v>3531.0</v>
      </c>
      <c r="B3533" s="5" t="s">
        <v>10600</v>
      </c>
      <c r="C3533" s="4">
        <v>0.0</v>
      </c>
      <c r="D3533" s="5" t="s">
        <v>10601</v>
      </c>
      <c r="E3533" s="5" t="s">
        <v>10602</v>
      </c>
      <c r="F3533" s="6" t="str">
        <f>IFERROR(__xludf.DUMMYFUNCTION("GOOGLETRANSLATE(D3533,""en"",""it"")"),"Mi piace il caviale, tranne il pollo.")</f>
        <v>Mi piace il caviale, tranne il pollo.</v>
      </c>
      <c r="G3533" s="6" t="str">
        <f>IFERROR(__xludf.DUMMYFUNCTION("GOOGLETRANSLATE(E3533,""fr"",""it"")"),"Amo il caviale, tranne il pollo.")</f>
        <v>Amo il caviale, tranne il pollo.</v>
      </c>
    </row>
    <row r="3534">
      <c r="A3534" s="4">
        <v>3532.0</v>
      </c>
      <c r="B3534" s="5" t="s">
        <v>10603</v>
      </c>
      <c r="C3534" s="4">
        <v>0.0</v>
      </c>
      <c r="D3534" s="5" t="s">
        <v>10604</v>
      </c>
      <c r="E3534" s="5" t="s">
        <v>10605</v>
      </c>
      <c r="F3534" s="6" t="str">
        <f>IFERROR(__xludf.DUMMYFUNCTION("GOOGLETRANSLATE(D3534,""en"",""it"")"),"Mi piace il pollo, tranne il caviale.")</f>
        <v>Mi piace il pollo, tranne il caviale.</v>
      </c>
      <c r="G3534" s="6" t="str">
        <f>IFERROR(__xludf.DUMMYFUNCTION("GOOGLETRANSLATE(E3534,""fr"",""it"")"),"Adoro il pollo tranne il caviale.")</f>
        <v>Adoro il pollo tranne il caviale.</v>
      </c>
    </row>
    <row r="3535">
      <c r="A3535" s="4">
        <v>3533.0</v>
      </c>
      <c r="B3535" s="5" t="s">
        <v>10606</v>
      </c>
      <c r="C3535" s="4">
        <v>0.0</v>
      </c>
      <c r="D3535" s="5" t="s">
        <v>10607</v>
      </c>
      <c r="E3535" s="5" t="s">
        <v>10608</v>
      </c>
      <c r="F3535" s="6" t="str">
        <f>IFERROR(__xludf.DUMMYFUNCTION("GOOGLETRANSLATE(D3535,""en"",""it"")"),"Mi piace il caviale, tranne i frutti di mare.")</f>
        <v>Mi piace il caviale, tranne i frutti di mare.</v>
      </c>
      <c r="G3535" s="6" t="str">
        <f>IFERROR(__xludf.DUMMYFUNCTION("GOOGLETRANSLATE(E3535,""fr"",""it"")"),"Adoro il caviale, tranne i prodotti del mare.")</f>
        <v>Adoro il caviale, tranne i prodotti del mare.</v>
      </c>
    </row>
    <row r="3536">
      <c r="A3536" s="4">
        <v>3534.0</v>
      </c>
      <c r="B3536" s="5" t="s">
        <v>10609</v>
      </c>
      <c r="C3536" s="4">
        <v>1.0</v>
      </c>
      <c r="D3536" s="5" t="s">
        <v>10610</v>
      </c>
      <c r="E3536" s="5" t="s">
        <v>10611</v>
      </c>
      <c r="F3536" s="6" t="str">
        <f>IFERROR(__xludf.DUMMYFUNCTION("GOOGLETRANSLATE(D3536,""en"",""it"")"),"Mi piacciono i frutti di mare, tranne il caviale.")</f>
        <v>Mi piacciono i frutti di mare, tranne il caviale.</v>
      </c>
      <c r="G3536" s="6" t="str">
        <f>IFERROR(__xludf.DUMMYFUNCTION("GOOGLETRANSLATE(E3536,""fr"",""it"")"),"Adoro i prodotti del mare, tranne il caviale.")</f>
        <v>Adoro i prodotti del mare, tranne il caviale.</v>
      </c>
    </row>
    <row r="3537">
      <c r="A3537" s="4">
        <v>3535.0</v>
      </c>
      <c r="B3537" s="5" t="s">
        <v>10612</v>
      </c>
      <c r="C3537" s="4">
        <v>0.0</v>
      </c>
      <c r="D3537" s="5" t="s">
        <v>10613</v>
      </c>
      <c r="E3537" s="5" t="s">
        <v>10614</v>
      </c>
      <c r="F3537" s="6" t="str">
        <f>IFERROR(__xludf.DUMMYFUNCTION("GOOGLETRANSLATE(D3537,""en"",""it"")"),"Mi piace il caviale, tranne il vitello.")</f>
        <v>Mi piace il caviale, tranne il vitello.</v>
      </c>
      <c r="G3537" s="6" t="str">
        <f>IFERROR(__xludf.DUMMYFUNCTION("GOOGLETRANSLATE(E3537,""fr"",""it"")"),"Adoro il caviale, tranne il polpaccio.")</f>
        <v>Adoro il caviale, tranne il polpaccio.</v>
      </c>
    </row>
    <row r="3538">
      <c r="A3538" s="4">
        <v>3536.0</v>
      </c>
      <c r="B3538" s="5" t="s">
        <v>10615</v>
      </c>
      <c r="C3538" s="4">
        <v>0.0</v>
      </c>
      <c r="D3538" s="5" t="s">
        <v>10616</v>
      </c>
      <c r="E3538" s="5" t="s">
        <v>10617</v>
      </c>
      <c r="F3538" s="6" t="str">
        <f>IFERROR(__xludf.DUMMYFUNCTION("GOOGLETRANSLATE(D3538,""en"",""it"")"),"Mi piace il vitello, tranne il caviale.")</f>
        <v>Mi piace il vitello, tranne il caviale.</v>
      </c>
      <c r="G3538" s="6" t="str">
        <f>IFERROR(__xludf.DUMMYFUNCTION("GOOGLETRANSLATE(E3538,""fr"",""it"")"),"Adoro il polpaccio, tranne il caviale.")</f>
        <v>Adoro il polpaccio, tranne il caviale.</v>
      </c>
    </row>
    <row r="3539">
      <c r="A3539" s="4">
        <v>3537.0</v>
      </c>
      <c r="B3539" s="5" t="s">
        <v>10618</v>
      </c>
      <c r="C3539" s="4">
        <v>1.0</v>
      </c>
      <c r="D3539" s="5" t="s">
        <v>10619</v>
      </c>
      <c r="E3539" s="5" t="s">
        <v>10620</v>
      </c>
      <c r="F3539" s="6" t="str">
        <f>IFERROR(__xludf.DUMMYFUNCTION("GOOGLETRANSLATE(D3539,""en"",""it"")"),"Mi piacciono i huskies più dei gatti.")</f>
        <v>Mi piacciono i huskies più dei gatti.</v>
      </c>
      <c r="G3539" s="6" t="str">
        <f>IFERROR(__xludf.DUMMYFUNCTION("GOOGLETRANSLATE(E3539,""fr"",""it"")"),"Mi piacciono i huskies più dei gatti.")</f>
        <v>Mi piacciono i huskies più dei gatti.</v>
      </c>
    </row>
    <row r="3540">
      <c r="A3540" s="4">
        <v>3538.0</v>
      </c>
      <c r="B3540" s="5" t="s">
        <v>10621</v>
      </c>
      <c r="C3540" s="4">
        <v>1.0</v>
      </c>
      <c r="D3540" s="5" t="s">
        <v>10622</v>
      </c>
      <c r="E3540" s="5" t="s">
        <v>10623</v>
      </c>
      <c r="F3540" s="6" t="str">
        <f>IFERROR(__xludf.DUMMYFUNCTION("GOOGLETRANSLATE(D3540,""en"",""it"")"),"Mi piacciono i gatti più che i husky.")</f>
        <v>Mi piacciono i gatti più che i husky.</v>
      </c>
      <c r="G3540" s="6" t="str">
        <f>IFERROR(__xludf.DUMMYFUNCTION("GOOGLETRANSLATE(E3540,""fr"",""it"")"),"Mi piacciono i gatti più che i husky.")</f>
        <v>Mi piacciono i gatti più che i husky.</v>
      </c>
    </row>
    <row r="3541">
      <c r="A3541" s="4">
        <v>3539.0</v>
      </c>
      <c r="B3541" s="5" t="s">
        <v>10624</v>
      </c>
      <c r="C3541" s="4">
        <v>0.0</v>
      </c>
      <c r="D3541" s="5" t="s">
        <v>10625</v>
      </c>
      <c r="E3541" s="5" t="s">
        <v>10626</v>
      </c>
      <c r="F3541" s="6" t="str">
        <f>IFERROR(__xludf.DUMMYFUNCTION("GOOGLETRANSLATE(D3541,""en"",""it"")"),"Mi piacciono i huskies più dei cani.")</f>
        <v>Mi piacciono i huskies più dei cani.</v>
      </c>
      <c r="G3541" s="6" t="str">
        <f>IFERROR(__xludf.DUMMYFUNCTION("GOOGLETRANSLATE(E3541,""fr"",""it"")"),"Mi piacciono i huskies più dei cani.")</f>
        <v>Mi piacciono i huskies più dei cani.</v>
      </c>
    </row>
    <row r="3542">
      <c r="A3542" s="4">
        <v>3540.0</v>
      </c>
      <c r="B3542" s="5" t="s">
        <v>10627</v>
      </c>
      <c r="C3542" s="4">
        <v>0.0</v>
      </c>
      <c r="D3542" s="5" t="s">
        <v>10628</v>
      </c>
      <c r="E3542" s="5" t="s">
        <v>10629</v>
      </c>
      <c r="F3542" s="6" t="str">
        <f>IFERROR(__xludf.DUMMYFUNCTION("GOOGLETRANSLATE(D3542,""en"",""it"")"),"Mi piacciono i cani più dei husky.")</f>
        <v>Mi piacciono i cani più dei husky.</v>
      </c>
      <c r="G3542" s="6" t="str">
        <f>IFERROR(__xludf.DUMMYFUNCTION("GOOGLETRANSLATE(E3542,""fr"",""it"")"),"Mi piacciono i cani più dei husky.")</f>
        <v>Mi piacciono i cani più dei husky.</v>
      </c>
    </row>
    <row r="3543">
      <c r="A3543" s="4">
        <v>3541.0</v>
      </c>
      <c r="B3543" s="5" t="s">
        <v>10630</v>
      </c>
      <c r="C3543" s="4">
        <v>1.0</v>
      </c>
      <c r="D3543" s="5" t="s">
        <v>10631</v>
      </c>
      <c r="E3543" s="5" t="s">
        <v>10632</v>
      </c>
      <c r="F3543" s="6" t="str">
        <f>IFERROR(__xludf.DUMMYFUNCTION("GOOGLETRANSLATE(D3543,""en"",""it"")"),"Mi piacciono i cani più dei gatti.")</f>
        <v>Mi piacciono i cani più dei gatti.</v>
      </c>
      <c r="G3543" s="6" t="str">
        <f>IFERROR(__xludf.DUMMYFUNCTION("GOOGLETRANSLATE(E3543,""fr"",""it"")"),"Mi piacciono i cani più dei gatti.")</f>
        <v>Mi piacciono i cani più dei gatti.</v>
      </c>
    </row>
    <row r="3544">
      <c r="A3544" s="4">
        <v>3542.0</v>
      </c>
      <c r="B3544" s="5" t="s">
        <v>10633</v>
      </c>
      <c r="C3544" s="4">
        <v>1.0</v>
      </c>
      <c r="D3544" s="5" t="s">
        <v>10634</v>
      </c>
      <c r="E3544" s="5" t="s">
        <v>10635</v>
      </c>
      <c r="F3544" s="6" t="str">
        <f>IFERROR(__xludf.DUMMYFUNCTION("GOOGLETRANSLATE(D3544,""en"",""it"")"),"Mi piacciono gli huskies più dei criceti.")</f>
        <v>Mi piacciono gli huskies più dei criceti.</v>
      </c>
      <c r="G3544" s="6" t="str">
        <f>IFERROR(__xludf.DUMMYFUNCTION("GOOGLETRANSLATE(E3544,""fr"",""it"")"),"Adoro i husky più dei criceti.")</f>
        <v>Adoro i husky più dei criceti.</v>
      </c>
    </row>
    <row r="3545">
      <c r="A3545" s="4">
        <v>3543.0</v>
      </c>
      <c r="B3545" s="5" t="s">
        <v>10636</v>
      </c>
      <c r="C3545" s="4">
        <v>1.0</v>
      </c>
      <c r="D3545" s="5" t="s">
        <v>10637</v>
      </c>
      <c r="E3545" s="5" t="s">
        <v>10638</v>
      </c>
      <c r="F3545" s="6" t="str">
        <f>IFERROR(__xludf.DUMMYFUNCTION("GOOGLETRANSLATE(D3545,""en"",""it"")"),"Mi piacciono i criceti più che i husky.")</f>
        <v>Mi piacciono i criceti più che i husky.</v>
      </c>
      <c r="G3545" s="6" t="str">
        <f>IFERROR(__xludf.DUMMYFUNCTION("GOOGLETRANSLATE(E3545,""fr"",""it"")"),"Mi piacciono i criceti più che i husky.")</f>
        <v>Mi piacciono i criceti più che i husky.</v>
      </c>
    </row>
    <row r="3546">
      <c r="A3546" s="4">
        <v>3544.0</v>
      </c>
      <c r="B3546" s="5" t="s">
        <v>10639</v>
      </c>
      <c r="C3546" s="4">
        <v>1.0</v>
      </c>
      <c r="D3546" s="5" t="s">
        <v>10640</v>
      </c>
      <c r="E3546" s="5" t="s">
        <v>10641</v>
      </c>
      <c r="F3546" s="6" t="str">
        <f>IFERROR(__xludf.DUMMYFUNCTION("GOOGLETRANSLATE(D3546,""en"",""it"")"),"Mi piacciono i cani più dei criceti.")</f>
        <v>Mi piacciono i cani più dei criceti.</v>
      </c>
      <c r="G3546" s="6" t="str">
        <f>IFERROR(__xludf.DUMMYFUNCTION("GOOGLETRANSLATE(E3546,""fr"",""it"")"),"Mi piacciono i cani più dei criceti.")</f>
        <v>Mi piacciono i cani più dei criceti.</v>
      </c>
    </row>
    <row r="3547">
      <c r="A3547" s="4">
        <v>3545.0</v>
      </c>
      <c r="B3547" s="5" t="s">
        <v>10642</v>
      </c>
      <c r="C3547" s="4">
        <v>1.0</v>
      </c>
      <c r="D3547" s="5" t="s">
        <v>10643</v>
      </c>
      <c r="E3547" s="5" t="s">
        <v>10644</v>
      </c>
      <c r="F3547" s="6" t="str">
        <f>IFERROR(__xludf.DUMMYFUNCTION("GOOGLETRANSLATE(D3547,""en"",""it"")"),"Mi piacciono gli huskies più dei pappagalli.")</f>
        <v>Mi piacciono gli huskies più dei pappagalli.</v>
      </c>
      <c r="G3547" s="6" t="str">
        <f>IFERROR(__xludf.DUMMYFUNCTION("GOOGLETRANSLATE(E3547,""fr"",""it"")"),"Mi piacciono gli huskies più dei perirouches.")</f>
        <v>Mi piacciono gli huskies più dei perirouches.</v>
      </c>
    </row>
    <row r="3548">
      <c r="A3548" s="4">
        <v>3546.0</v>
      </c>
      <c r="B3548" s="5" t="s">
        <v>10645</v>
      </c>
      <c r="C3548" s="4">
        <v>1.0</v>
      </c>
      <c r="D3548" s="5" t="s">
        <v>10646</v>
      </c>
      <c r="E3548" s="5" t="s">
        <v>10647</v>
      </c>
      <c r="F3548" s="6" t="str">
        <f>IFERROR(__xludf.DUMMYFUNCTION("GOOGLETRANSLATE(D3548,""en"",""it"")"),"Mi piacciono i pappagalli più dei husky.")</f>
        <v>Mi piacciono i pappagalli più dei husky.</v>
      </c>
      <c r="G3548" s="6" t="str">
        <f>IFERROR(__xludf.DUMMYFUNCTION("GOOGLETRANSLATE(E3548,""fr"",""it"")"),"Mi piacciono i perrouches più dei husky.")</f>
        <v>Mi piacciono i perrouches più dei husky.</v>
      </c>
    </row>
    <row r="3549">
      <c r="A3549" s="4">
        <v>3547.0</v>
      </c>
      <c r="B3549" s="5" t="s">
        <v>10648</v>
      </c>
      <c r="C3549" s="4">
        <v>1.0</v>
      </c>
      <c r="D3549" s="5" t="s">
        <v>10649</v>
      </c>
      <c r="E3549" s="5" t="s">
        <v>10650</v>
      </c>
      <c r="F3549" s="6" t="str">
        <f>IFERROR(__xludf.DUMMYFUNCTION("GOOGLETRANSLATE(D3549,""en"",""it"")"),"Mi piacciono i cani più dei pappagalli.")</f>
        <v>Mi piacciono i cani più dei pappagalli.</v>
      </c>
      <c r="G3549" s="6" t="str">
        <f>IFERROR(__xludf.DUMMYFUNCTION("GOOGLETRANSLATE(E3549,""fr"",""it"")"),"Mi piacciono i cani più di perrouches.")</f>
        <v>Mi piacciono i cani più di perrouches.</v>
      </c>
    </row>
    <row r="3550">
      <c r="A3550" s="4">
        <v>3548.0</v>
      </c>
      <c r="B3550" s="5" t="s">
        <v>10651</v>
      </c>
      <c r="C3550" s="4">
        <v>1.0</v>
      </c>
      <c r="D3550" s="5" t="s">
        <v>10652</v>
      </c>
      <c r="E3550" s="5" t="s">
        <v>10653</v>
      </c>
      <c r="F3550" s="6" t="str">
        <f>IFERROR(__xludf.DUMMYFUNCTION("GOOGLETRANSLATE(D3550,""en"",""it"")"),"Mi piacciono gli huskies più dei conigli.")</f>
        <v>Mi piacciono gli huskies più dei conigli.</v>
      </c>
      <c r="G3550" s="6" t="str">
        <f>IFERROR(__xludf.DUMMYFUNCTION("GOOGLETRANSLATE(E3550,""fr"",""it"")"),"Mi piacciono gli huskies più dei conigli.")</f>
        <v>Mi piacciono gli huskies più dei conigli.</v>
      </c>
    </row>
    <row r="3551">
      <c r="A3551" s="4">
        <v>3549.0</v>
      </c>
      <c r="B3551" s="5" t="s">
        <v>10654</v>
      </c>
      <c r="C3551" s="4">
        <v>1.0</v>
      </c>
      <c r="D3551" s="5" t="s">
        <v>10655</v>
      </c>
      <c r="E3551" s="5" t="s">
        <v>10656</v>
      </c>
      <c r="F3551" s="6" t="str">
        <f>IFERROR(__xludf.DUMMYFUNCTION("GOOGLETRANSLATE(D3551,""en"",""it"")"),"Mi piacciono i conigli più dei husky.")</f>
        <v>Mi piacciono i conigli più dei husky.</v>
      </c>
      <c r="G3551" s="6" t="str">
        <f>IFERROR(__xludf.DUMMYFUNCTION("GOOGLETRANSLATE(E3551,""fr"",""it"")"),"Amo i conigli più dei husky.")</f>
        <v>Amo i conigli più dei husky.</v>
      </c>
    </row>
    <row r="3552">
      <c r="A3552" s="4">
        <v>3550.0</v>
      </c>
      <c r="B3552" s="5" t="s">
        <v>10657</v>
      </c>
      <c r="C3552" s="4">
        <v>1.0</v>
      </c>
      <c r="D3552" s="5" t="s">
        <v>10658</v>
      </c>
      <c r="E3552" s="5" t="s">
        <v>10659</v>
      </c>
      <c r="F3552" s="6" t="str">
        <f>IFERROR(__xludf.DUMMYFUNCTION("GOOGLETRANSLATE(D3552,""en"",""it"")"),"Mi piacciono i cani più dei conigli.")</f>
        <v>Mi piacciono i cani più dei conigli.</v>
      </c>
      <c r="G3552" s="6" t="str">
        <f>IFERROR(__xludf.DUMMYFUNCTION("GOOGLETRANSLATE(E3552,""fr"",""it"")"),"Mi piacciono i cani più dei conigli.")</f>
        <v>Mi piacciono i cani più dei conigli.</v>
      </c>
    </row>
    <row r="3553">
      <c r="A3553" s="4">
        <v>3551.0</v>
      </c>
      <c r="B3553" s="5" t="s">
        <v>10660</v>
      </c>
      <c r="C3553" s="4">
        <v>0.0</v>
      </c>
      <c r="D3553" s="5" t="s">
        <v>10661</v>
      </c>
      <c r="E3553" s="5" t="s">
        <v>10662</v>
      </c>
      <c r="F3553" s="6" t="str">
        <f>IFERROR(__xludf.DUMMYFUNCTION("GOOGLETRANSLATE(D3553,""en"",""it"")"),"Mi piace il caviale, tranne il tacchino.")</f>
        <v>Mi piace il caviale, tranne il tacchino.</v>
      </c>
      <c r="G3553" s="6" t="str">
        <f>IFERROR(__xludf.DUMMYFUNCTION("GOOGLETRANSLATE(E3553,""fr"",""it"")"),"Adoro il caviale, tranne il tacchino.")</f>
        <v>Adoro il caviale, tranne il tacchino.</v>
      </c>
    </row>
    <row r="3554">
      <c r="A3554" s="4">
        <v>3552.0</v>
      </c>
      <c r="B3554" s="5" t="s">
        <v>10663</v>
      </c>
      <c r="C3554" s="4">
        <v>0.0</v>
      </c>
      <c r="D3554" s="5" t="s">
        <v>10664</v>
      </c>
      <c r="E3554" s="5" t="s">
        <v>10665</v>
      </c>
      <c r="F3554" s="6" t="str">
        <f>IFERROR(__xludf.DUMMYFUNCTION("GOOGLETRANSLATE(D3554,""en"",""it"")"),"Mi piace la Turchia, tranne il caviale.")</f>
        <v>Mi piace la Turchia, tranne il caviale.</v>
      </c>
      <c r="G3554" s="6" t="str">
        <f>IFERROR(__xludf.DUMMYFUNCTION("GOOGLETRANSLATE(E3554,""fr"",""it"")"),"Adoro il tacchino, tranne il caviale.")</f>
        <v>Adoro il tacchino, tranne il caviale.</v>
      </c>
    </row>
    <row r="3555">
      <c r="A3555" s="4">
        <v>3553.0</v>
      </c>
      <c r="B3555" s="5" t="s">
        <v>10666</v>
      </c>
      <c r="C3555" s="4">
        <v>1.0</v>
      </c>
      <c r="D3555" s="5" t="s">
        <v>10667</v>
      </c>
      <c r="E3555" s="5" t="s">
        <v>10668</v>
      </c>
      <c r="F3555" s="6" t="str">
        <f>IFERROR(__xludf.DUMMYFUNCTION("GOOGLETRANSLATE(D3555,""en"",""it"")"),"Mi piacciono i bobtail più dei gatti.")</f>
        <v>Mi piacciono i bobtail più dei gatti.</v>
      </c>
      <c r="G3555" s="6" t="str">
        <f>IFERROR(__xludf.DUMMYFUNCTION("GOOGLETRANSLATE(E3555,""fr"",""it"")"),"Mi piacciono i bobtail più dei gatti.")</f>
        <v>Mi piacciono i bobtail più dei gatti.</v>
      </c>
    </row>
    <row r="3556">
      <c r="A3556" s="4">
        <v>3554.0</v>
      </c>
      <c r="B3556" s="5" t="s">
        <v>10669</v>
      </c>
      <c r="C3556" s="4">
        <v>1.0</v>
      </c>
      <c r="D3556" s="5" t="s">
        <v>10670</v>
      </c>
      <c r="E3556" s="5" t="s">
        <v>10671</v>
      </c>
      <c r="F3556" s="6" t="str">
        <f>IFERROR(__xludf.DUMMYFUNCTION("GOOGLETRANSLATE(D3556,""en"",""it"")"),"Mi piacciono i gatti più dei bobtail.")</f>
        <v>Mi piacciono i gatti più dei bobtail.</v>
      </c>
      <c r="G3556" s="6" t="str">
        <f>IFERROR(__xludf.DUMMYFUNCTION("GOOGLETRANSLATE(E3556,""fr"",""it"")"),"Mi piacciono i gatti più dei kobtail.")</f>
        <v>Mi piacciono i gatti più dei kobtail.</v>
      </c>
    </row>
    <row r="3557">
      <c r="A3557" s="4">
        <v>3555.0</v>
      </c>
      <c r="B3557" s="5" t="s">
        <v>10672</v>
      </c>
      <c r="C3557" s="4">
        <v>0.0</v>
      </c>
      <c r="D3557" s="5" t="s">
        <v>10673</v>
      </c>
      <c r="E3557" s="5" t="s">
        <v>10674</v>
      </c>
      <c r="F3557" s="6" t="str">
        <f>IFERROR(__xludf.DUMMYFUNCTION("GOOGLETRANSLATE(D3557,""en"",""it"")"),"Mi piacciono i bobtail più dei cani.")</f>
        <v>Mi piacciono i bobtail più dei cani.</v>
      </c>
      <c r="G3557" s="6" t="str">
        <f>IFERROR(__xludf.DUMMYFUNCTION("GOOGLETRANSLATE(E3557,""fr"",""it"")"),"Mi piacciono i bobtail più dei cani.")</f>
        <v>Mi piacciono i bobtail più dei cani.</v>
      </c>
    </row>
    <row r="3558">
      <c r="A3558" s="4">
        <v>3556.0</v>
      </c>
      <c r="B3558" s="5" t="s">
        <v>10675</v>
      </c>
      <c r="C3558" s="4">
        <v>0.0</v>
      </c>
      <c r="D3558" s="5" t="s">
        <v>10676</v>
      </c>
      <c r="E3558" s="5" t="s">
        <v>10677</v>
      </c>
      <c r="F3558" s="6" t="str">
        <f>IFERROR(__xludf.DUMMYFUNCTION("GOOGLETRANSLATE(D3558,""en"",""it"")"),"Mi piacciono i cani più dei bobtail.")</f>
        <v>Mi piacciono i cani più dei bobtail.</v>
      </c>
      <c r="G3558" s="6" t="str">
        <f>IFERROR(__xludf.DUMMYFUNCTION("GOOGLETRANSLATE(E3558,""fr"",""it"")"),"Mi piacciono i cani più dei bobtail.")</f>
        <v>Mi piacciono i cani più dei bobtail.</v>
      </c>
    </row>
    <row r="3559">
      <c r="A3559" s="4">
        <v>3557.0</v>
      </c>
      <c r="B3559" s="5" t="s">
        <v>10678</v>
      </c>
      <c r="C3559" s="4">
        <v>1.0</v>
      </c>
      <c r="D3559" s="5" t="s">
        <v>10679</v>
      </c>
      <c r="E3559" s="5" t="s">
        <v>10680</v>
      </c>
      <c r="F3559" s="6" t="str">
        <f>IFERROR(__xludf.DUMMYFUNCTION("GOOGLETRANSLATE(D3559,""en"",""it"")"),"Mi piacciono i bobtail più dei criceti.")</f>
        <v>Mi piacciono i bobtail più dei criceti.</v>
      </c>
      <c r="G3559" s="6" t="str">
        <f>IFERROR(__xludf.DUMMYFUNCTION("GOOGLETRANSLATE(E3559,""fr"",""it"")"),"Mi piacciono i bobtail più dei criceti.")</f>
        <v>Mi piacciono i bobtail più dei criceti.</v>
      </c>
    </row>
    <row r="3560">
      <c r="A3560" s="4">
        <v>3558.0</v>
      </c>
      <c r="B3560" s="5" t="s">
        <v>10681</v>
      </c>
      <c r="C3560" s="4">
        <v>1.0</v>
      </c>
      <c r="D3560" s="5" t="s">
        <v>10682</v>
      </c>
      <c r="E3560" s="5" t="s">
        <v>10683</v>
      </c>
      <c r="F3560" s="6" t="str">
        <f>IFERROR(__xludf.DUMMYFUNCTION("GOOGLETRANSLATE(D3560,""en"",""it"")"),"Mi piacciono i criceti più dei bobtail.")</f>
        <v>Mi piacciono i criceti più dei bobtail.</v>
      </c>
      <c r="G3560" s="6" t="str">
        <f>IFERROR(__xludf.DUMMYFUNCTION("GOOGLETRANSLATE(E3560,""fr"",""it"")"),"Mi piacciono i criceti più dei kobtail.")</f>
        <v>Mi piacciono i criceti più dei kobtail.</v>
      </c>
    </row>
    <row r="3561">
      <c r="A3561" s="4">
        <v>3559.0</v>
      </c>
      <c r="B3561" s="5" t="s">
        <v>10684</v>
      </c>
      <c r="C3561" s="4">
        <v>1.0</v>
      </c>
      <c r="D3561" s="5" t="s">
        <v>10685</v>
      </c>
      <c r="E3561" s="5" t="s">
        <v>10686</v>
      </c>
      <c r="F3561" s="6" t="str">
        <f>IFERROR(__xludf.DUMMYFUNCTION("GOOGLETRANSLATE(D3561,""en"",""it"")"),"Mi piacciono i bobtail più dei pappagalli.")</f>
        <v>Mi piacciono i bobtail più dei pappagalli.</v>
      </c>
      <c r="G3561" s="6" t="str">
        <f>IFERROR(__xludf.DUMMYFUNCTION("GOOGLETRANSLATE(E3561,""fr"",""it"")"),"Mi piacciono i bobtail più di perrouches.")</f>
        <v>Mi piacciono i bobtail più di perrouches.</v>
      </c>
    </row>
    <row r="3562">
      <c r="A3562" s="4">
        <v>3560.0</v>
      </c>
      <c r="B3562" s="5" t="s">
        <v>10687</v>
      </c>
      <c r="C3562" s="4">
        <v>1.0</v>
      </c>
      <c r="D3562" s="5" t="s">
        <v>10688</v>
      </c>
      <c r="E3562" s="5" t="s">
        <v>10689</v>
      </c>
      <c r="F3562" s="6" t="str">
        <f>IFERROR(__xludf.DUMMYFUNCTION("GOOGLETRANSLATE(D3562,""en"",""it"")"),"Mi piacciono i pappagalli più dei bobtail.")</f>
        <v>Mi piacciono i pappagalli più dei bobtail.</v>
      </c>
      <c r="G3562" s="6" t="str">
        <f>IFERROR(__xludf.DUMMYFUNCTION("GOOGLETRANSLATE(E3562,""fr"",""it"")"),"Mi piace perrouves più dei kobtail.")</f>
        <v>Mi piace perrouves più dei kobtail.</v>
      </c>
    </row>
    <row r="3563">
      <c r="A3563" s="4">
        <v>3561.0</v>
      </c>
      <c r="B3563" s="5" t="s">
        <v>10690</v>
      </c>
      <c r="C3563" s="4">
        <v>1.0</v>
      </c>
      <c r="D3563" s="5" t="s">
        <v>10691</v>
      </c>
      <c r="E3563" s="5" t="s">
        <v>10692</v>
      </c>
      <c r="F3563" s="6" t="str">
        <f>IFERROR(__xludf.DUMMYFUNCTION("GOOGLETRANSLATE(D3563,""en"",""it"")"),"Mi piacciono i bobtail più dei conigli.")</f>
        <v>Mi piacciono i bobtail più dei conigli.</v>
      </c>
      <c r="G3563" s="6" t="str">
        <f>IFERROR(__xludf.DUMMYFUNCTION("GOOGLETRANSLATE(E3563,""fr"",""it"")"),"Mi piacciono i bobtail più dei conigli.")</f>
        <v>Mi piacciono i bobtail più dei conigli.</v>
      </c>
    </row>
    <row r="3564">
      <c r="A3564" s="4">
        <v>3562.0</v>
      </c>
      <c r="B3564" s="5" t="s">
        <v>10693</v>
      </c>
      <c r="C3564" s="4">
        <v>1.0</v>
      </c>
      <c r="D3564" s="5" t="s">
        <v>10694</v>
      </c>
      <c r="E3564" s="5" t="s">
        <v>10695</v>
      </c>
      <c r="F3564" s="6" t="str">
        <f>IFERROR(__xludf.DUMMYFUNCTION("GOOGLETRANSLATE(D3564,""en"",""it"")"),"Mi piacciono i conigli più dei bobtail.")</f>
        <v>Mi piacciono i conigli più dei bobtail.</v>
      </c>
      <c r="G3564" s="6" t="str">
        <f>IFERROR(__xludf.DUMMYFUNCTION("GOOGLETRANSLATE(E3564,""fr"",""it"")"),"Amo i conigli più dei bobtail.")</f>
        <v>Amo i conigli più dei bobtail.</v>
      </c>
    </row>
    <row r="3565">
      <c r="A3565" s="4">
        <v>3563.0</v>
      </c>
      <c r="B3565" s="5" t="s">
        <v>10696</v>
      </c>
      <c r="C3565" s="4">
        <v>0.0</v>
      </c>
      <c r="D3565" s="5" t="s">
        <v>10697</v>
      </c>
      <c r="E3565" s="5" t="s">
        <v>10698</v>
      </c>
      <c r="F3565" s="6" t="str">
        <f>IFERROR(__xludf.DUMMYFUNCTION("GOOGLETRANSLATE(D3565,""en"",""it"")"),"Mi piace il caviale, tranne la carne bovina.")</f>
        <v>Mi piace il caviale, tranne la carne bovina.</v>
      </c>
      <c r="G3565" s="6" t="str">
        <f>IFERROR(__xludf.DUMMYFUNCTION("GOOGLETRANSLATE(E3565,""fr"",""it"")"),"Adoro il caviale, tranne la carne bovina.")</f>
        <v>Adoro il caviale, tranne la carne bovina.</v>
      </c>
    </row>
    <row r="3566">
      <c r="A3566" s="4">
        <v>3564.0</v>
      </c>
      <c r="B3566" s="5" t="s">
        <v>10699</v>
      </c>
      <c r="C3566" s="4">
        <v>0.0</v>
      </c>
      <c r="D3566" s="5" t="s">
        <v>10700</v>
      </c>
      <c r="E3566" s="5" t="s">
        <v>10701</v>
      </c>
      <c r="F3566" s="6" t="str">
        <f>IFERROR(__xludf.DUMMYFUNCTION("GOOGLETRANSLATE(D3566,""en"",""it"")"),"Mi piace il manzo, tranne il caviale.")</f>
        <v>Mi piace il manzo, tranne il caviale.</v>
      </c>
      <c r="G3566" s="6" t="str">
        <f>IFERROR(__xludf.DUMMYFUNCTION("GOOGLETRANSLATE(E3566,""fr"",""it"")"),"Amo la carne, tranne il caviale.")</f>
        <v>Amo la carne, tranne il caviale.</v>
      </c>
    </row>
    <row r="3567">
      <c r="A3567" s="4">
        <v>3565.0</v>
      </c>
      <c r="B3567" s="5" t="s">
        <v>10702</v>
      </c>
      <c r="C3567" s="4">
        <v>1.0</v>
      </c>
      <c r="D3567" s="5" t="s">
        <v>10703</v>
      </c>
      <c r="E3567" s="5" t="s">
        <v>10704</v>
      </c>
      <c r="F3567" s="6" t="str">
        <f>IFERROR(__xludf.DUMMYFUNCTION("GOOGLETRANSLATE(D3567,""en"",""it"")"),"Mi piacciono i bulldog più dei gatti.")</f>
        <v>Mi piacciono i bulldog più dei gatti.</v>
      </c>
      <c r="G3567" s="6" t="str">
        <f>IFERROR(__xludf.DUMMYFUNCTION("GOOGLETRANSLATE(E3567,""fr"",""it"")"),"Amo i Bulldog più dei gatti.")</f>
        <v>Amo i Bulldog più dei gatti.</v>
      </c>
    </row>
    <row r="3568">
      <c r="A3568" s="4">
        <v>3566.0</v>
      </c>
      <c r="B3568" s="5" t="s">
        <v>10705</v>
      </c>
      <c r="C3568" s="4">
        <v>1.0</v>
      </c>
      <c r="D3568" s="5" t="s">
        <v>10706</v>
      </c>
      <c r="E3568" s="5" t="s">
        <v>10707</v>
      </c>
      <c r="F3568" s="6" t="str">
        <f>IFERROR(__xludf.DUMMYFUNCTION("GOOGLETRANSLATE(D3568,""en"",""it"")"),"Mi piacciono i gatti più dei Bulldog.")</f>
        <v>Mi piacciono i gatti più dei Bulldog.</v>
      </c>
      <c r="G3568" s="6" t="str">
        <f>IFERROR(__xludf.DUMMYFUNCTION("GOOGLETRANSLATE(E3568,""fr"",""it"")"),"Mi piacciono i gatti più dei Bulldog.")</f>
        <v>Mi piacciono i gatti più dei Bulldog.</v>
      </c>
    </row>
    <row r="3569">
      <c r="A3569" s="4">
        <v>3567.0</v>
      </c>
      <c r="B3569" s="5" t="s">
        <v>10708</v>
      </c>
      <c r="C3569" s="4">
        <v>0.0</v>
      </c>
      <c r="D3569" s="5" t="s">
        <v>10709</v>
      </c>
      <c r="E3569" s="5" t="s">
        <v>10710</v>
      </c>
      <c r="F3569" s="6" t="str">
        <f>IFERROR(__xludf.DUMMYFUNCTION("GOOGLETRANSLATE(D3569,""en"",""it"")"),"Mi piacciono i bulldog più dei cani.")</f>
        <v>Mi piacciono i bulldog più dei cani.</v>
      </c>
      <c r="G3569" s="6" t="str">
        <f>IFERROR(__xludf.DUMMYFUNCTION("GOOGLETRANSLATE(E3569,""fr"",""it"")"),"Amo i bulldog più dei cani.")</f>
        <v>Amo i bulldog più dei cani.</v>
      </c>
    </row>
    <row r="3570">
      <c r="A3570" s="4">
        <v>3568.0</v>
      </c>
      <c r="B3570" s="5" t="s">
        <v>10711</v>
      </c>
      <c r="C3570" s="4">
        <v>0.0</v>
      </c>
      <c r="D3570" s="5" t="s">
        <v>10712</v>
      </c>
      <c r="E3570" s="5" t="s">
        <v>10713</v>
      </c>
      <c r="F3570" s="6" t="str">
        <f>IFERROR(__xludf.DUMMYFUNCTION("GOOGLETRANSLATE(D3570,""en"",""it"")"),"Mi piacciono i cani più dei Bulldog.")</f>
        <v>Mi piacciono i cani più dei Bulldog.</v>
      </c>
      <c r="G3570" s="6" t="str">
        <f>IFERROR(__xludf.DUMMYFUNCTION("GOOGLETRANSLATE(E3570,""fr"",""it"")"),"Mi piacciono i cani più dei Bulldog.")</f>
        <v>Mi piacciono i cani più dei Bulldog.</v>
      </c>
    </row>
    <row r="3571">
      <c r="A3571" s="4">
        <v>3569.0</v>
      </c>
      <c r="B3571" s="5" t="s">
        <v>10714</v>
      </c>
      <c r="C3571" s="4">
        <v>1.0</v>
      </c>
      <c r="D3571" s="5" t="s">
        <v>10715</v>
      </c>
      <c r="E3571" s="5" t="s">
        <v>10716</v>
      </c>
      <c r="F3571" s="6" t="str">
        <f>IFERROR(__xludf.DUMMYFUNCTION("GOOGLETRANSLATE(D3571,""en"",""it"")"),"Mi piacciono i bulldog più dei criceti.")</f>
        <v>Mi piacciono i bulldog più dei criceti.</v>
      </c>
      <c r="G3571" s="6" t="str">
        <f>IFERROR(__xludf.DUMMYFUNCTION("GOOGLETRANSLATE(E3571,""fr"",""it"")"),"Amo i bulldog più dei criceti.")</f>
        <v>Amo i bulldog più dei criceti.</v>
      </c>
    </row>
    <row r="3572">
      <c r="A3572" s="4">
        <v>3570.0</v>
      </c>
      <c r="B3572" s="5" t="s">
        <v>10717</v>
      </c>
      <c r="C3572" s="4">
        <v>1.0</v>
      </c>
      <c r="D3572" s="5" t="s">
        <v>10718</v>
      </c>
      <c r="E3572" s="5" t="s">
        <v>10719</v>
      </c>
      <c r="F3572" s="6" t="str">
        <f>IFERROR(__xludf.DUMMYFUNCTION("GOOGLETRANSLATE(D3572,""en"",""it"")"),"Mi piacciono i criceti più dei Bulldog.")</f>
        <v>Mi piacciono i criceti più dei Bulldog.</v>
      </c>
      <c r="G3572" s="6" t="str">
        <f>IFERROR(__xludf.DUMMYFUNCTION("GOOGLETRANSLATE(E3572,""fr"",""it"")"),"Mi piacciono i criceti più dei Bulldog.")</f>
        <v>Mi piacciono i criceti più dei Bulldog.</v>
      </c>
    </row>
    <row r="3573">
      <c r="A3573" s="4">
        <v>3571.0</v>
      </c>
      <c r="B3573" s="5" t="s">
        <v>10720</v>
      </c>
      <c r="C3573" s="4">
        <v>1.0</v>
      </c>
      <c r="D3573" s="5" t="s">
        <v>10721</v>
      </c>
      <c r="E3573" s="5" t="s">
        <v>10722</v>
      </c>
      <c r="F3573" s="6" t="str">
        <f>IFERROR(__xludf.DUMMYFUNCTION("GOOGLETRANSLATE(D3573,""en"",""it"")"),"Mi piacciono i bulldog più dei pappagalli.")</f>
        <v>Mi piacciono i bulldog più dei pappagalli.</v>
      </c>
      <c r="G3573" s="6" t="str">
        <f>IFERROR(__xludf.DUMMYFUNCTION("GOOGLETRANSLATE(E3573,""fr"",""it"")"),"Adoro i Bulldogs più dei perirouches.")</f>
        <v>Adoro i Bulldogs più dei perirouches.</v>
      </c>
    </row>
    <row r="3574">
      <c r="A3574" s="4">
        <v>3572.0</v>
      </c>
      <c r="B3574" s="5" t="s">
        <v>10723</v>
      </c>
      <c r="C3574" s="4">
        <v>1.0</v>
      </c>
      <c r="D3574" s="5" t="s">
        <v>10724</v>
      </c>
      <c r="E3574" s="5" t="s">
        <v>10725</v>
      </c>
      <c r="F3574" s="6" t="str">
        <f>IFERROR(__xludf.DUMMYFUNCTION("GOOGLETRANSLATE(D3574,""en"",""it"")"),"Mi piacciono i pappagalli più dei Bulldogs.")</f>
        <v>Mi piacciono i pappagalli più dei Bulldogs.</v>
      </c>
      <c r="G3574" s="6" t="str">
        <f>IFERROR(__xludf.DUMMYFUNCTION("GOOGLETRANSLATE(E3574,""fr"",""it"")"),"Amo perrouches più dei bulldogs.")</f>
        <v>Amo perrouches più dei bulldogs.</v>
      </c>
    </row>
    <row r="3575">
      <c r="A3575" s="4">
        <v>3573.0</v>
      </c>
      <c r="B3575" s="5" t="s">
        <v>10726</v>
      </c>
      <c r="C3575" s="4">
        <v>1.0</v>
      </c>
      <c r="D3575" s="5" t="s">
        <v>10727</v>
      </c>
      <c r="E3575" s="5" t="s">
        <v>10728</v>
      </c>
      <c r="F3575" s="6" t="str">
        <f>IFERROR(__xludf.DUMMYFUNCTION("GOOGLETRANSLATE(D3575,""en"",""it"")"),"Mi piacciono i bulldog più dei conigli.")</f>
        <v>Mi piacciono i bulldog più dei conigli.</v>
      </c>
      <c r="G3575" s="6" t="str">
        <f>IFERROR(__xludf.DUMMYFUNCTION("GOOGLETRANSLATE(E3575,""fr"",""it"")"),"Amo i Bulldogs più dei conigli.")</f>
        <v>Amo i Bulldogs più dei conigli.</v>
      </c>
    </row>
    <row r="3576">
      <c r="A3576" s="4">
        <v>3574.0</v>
      </c>
      <c r="B3576" s="5" t="s">
        <v>10729</v>
      </c>
      <c r="C3576" s="4">
        <v>1.0</v>
      </c>
      <c r="D3576" s="5" t="s">
        <v>10730</v>
      </c>
      <c r="E3576" s="5" t="s">
        <v>10731</v>
      </c>
      <c r="F3576" s="6" t="str">
        <f>IFERROR(__xludf.DUMMYFUNCTION("GOOGLETRANSLATE(D3576,""en"",""it"")"),"Mi piacciono i conigli più dei Bulldogs.")</f>
        <v>Mi piacciono i conigli più dei Bulldogs.</v>
      </c>
      <c r="G3576" s="6" t="str">
        <f>IFERROR(__xludf.DUMMYFUNCTION("GOOGLETRANSLATE(E3576,""fr"",""it"")"),"Amo i conigli più dei Bulldog.")</f>
        <v>Amo i conigli più dei Bulldog.</v>
      </c>
    </row>
    <row r="3577">
      <c r="A3577" s="4">
        <v>3575.0</v>
      </c>
      <c r="B3577" s="5" t="s">
        <v>10732</v>
      </c>
      <c r="C3577" s="4">
        <v>1.0</v>
      </c>
      <c r="D3577" s="5" t="s">
        <v>10733</v>
      </c>
      <c r="E3577" s="5" t="s">
        <v>10734</v>
      </c>
      <c r="F3577" s="6" t="str">
        <f>IFERROR(__xludf.DUMMYFUNCTION("GOOGLETRANSLATE(D3577,""en"",""it"")"),"Mi piacciono i Beagles più dei gatti.")</f>
        <v>Mi piacciono i Beagles più dei gatti.</v>
      </c>
      <c r="G3577" s="6" t="str">
        <f>IFERROR(__xludf.DUMMYFUNCTION("GOOGLETRANSLATE(E3577,""fr"",""it"")"),"Amo Beagles più dei gatti.")</f>
        <v>Amo Beagles più dei gatti.</v>
      </c>
    </row>
    <row r="3578">
      <c r="A3578" s="4">
        <v>3576.0</v>
      </c>
      <c r="B3578" s="5" t="s">
        <v>10735</v>
      </c>
      <c r="C3578" s="4">
        <v>1.0</v>
      </c>
      <c r="D3578" s="5" t="s">
        <v>10736</v>
      </c>
      <c r="E3578" s="5" t="s">
        <v>10737</v>
      </c>
      <c r="F3578" s="6" t="str">
        <f>IFERROR(__xludf.DUMMYFUNCTION("GOOGLETRANSLATE(D3578,""en"",""it"")"),"Mi piacciono i gatti più dei Beagles.")</f>
        <v>Mi piacciono i gatti più dei Beagles.</v>
      </c>
      <c r="G3578" s="6" t="str">
        <f>IFERROR(__xludf.DUMMYFUNCTION("GOOGLETRANSLATE(E3578,""fr"",""it"")"),"Mi piacciono i gatti più dei Beagles.")</f>
        <v>Mi piacciono i gatti più dei Beagles.</v>
      </c>
    </row>
    <row r="3579">
      <c r="A3579" s="4">
        <v>3577.0</v>
      </c>
      <c r="B3579" s="5" t="s">
        <v>10738</v>
      </c>
      <c r="C3579" s="4">
        <v>0.0</v>
      </c>
      <c r="D3579" s="5" t="s">
        <v>10739</v>
      </c>
      <c r="E3579" s="5" t="s">
        <v>10740</v>
      </c>
      <c r="F3579" s="6" t="str">
        <f>IFERROR(__xludf.DUMMYFUNCTION("GOOGLETRANSLATE(D3579,""en"",""it"")"),"Mi piacciono i Beagles più dei cani.")</f>
        <v>Mi piacciono i Beagles più dei cani.</v>
      </c>
      <c r="G3579" s="6" t="str">
        <f>IFERROR(__xludf.DUMMYFUNCTION("GOOGLETRANSLATE(E3579,""fr"",""it"")"),"Mi piacciono i Beagles più dei cani.")</f>
        <v>Mi piacciono i Beagles più dei cani.</v>
      </c>
    </row>
    <row r="3580">
      <c r="A3580" s="4">
        <v>3578.0</v>
      </c>
      <c r="B3580" s="5" t="s">
        <v>10741</v>
      </c>
      <c r="C3580" s="4">
        <v>0.0</v>
      </c>
      <c r="D3580" s="5" t="s">
        <v>10742</v>
      </c>
      <c r="E3580" s="5" t="s">
        <v>10743</v>
      </c>
      <c r="F3580" s="6" t="str">
        <f>IFERROR(__xludf.DUMMYFUNCTION("GOOGLETRANSLATE(D3580,""en"",""it"")"),"Mi piacciono i cani più dei Beagles.")</f>
        <v>Mi piacciono i cani più dei Beagles.</v>
      </c>
      <c r="G3580" s="6" t="str">
        <f>IFERROR(__xludf.DUMMYFUNCTION("GOOGLETRANSLATE(E3580,""fr"",""it"")"),"Mi piacciono i cani più dei Beagles.")</f>
        <v>Mi piacciono i cani più dei Beagles.</v>
      </c>
    </row>
    <row r="3581">
      <c r="A3581" s="4">
        <v>3579.0</v>
      </c>
      <c r="B3581" s="5" t="s">
        <v>10744</v>
      </c>
      <c r="C3581" s="4">
        <v>1.0</v>
      </c>
      <c r="D3581" s="5" t="s">
        <v>10745</v>
      </c>
      <c r="E3581" s="5" t="s">
        <v>10746</v>
      </c>
      <c r="F3581" s="6" t="str">
        <f>IFERROR(__xludf.DUMMYFUNCTION("GOOGLETRANSLATE(D3581,""en"",""it"")"),"Mi piacciono i Beagles più dei criceti.")</f>
        <v>Mi piacciono i Beagles più dei criceti.</v>
      </c>
      <c r="G3581" s="6" t="str">
        <f>IFERROR(__xludf.DUMMYFUNCTION("GOOGLETRANSLATE(E3581,""fr"",""it"")"),"Mi piacciono i Beagles più dei criceti.")</f>
        <v>Mi piacciono i Beagles più dei criceti.</v>
      </c>
    </row>
    <row r="3582">
      <c r="A3582" s="4">
        <v>3580.0</v>
      </c>
      <c r="B3582" s="5" t="s">
        <v>10747</v>
      </c>
      <c r="C3582" s="4">
        <v>1.0</v>
      </c>
      <c r="D3582" s="5" t="s">
        <v>10748</v>
      </c>
      <c r="E3582" s="5" t="s">
        <v>10749</v>
      </c>
      <c r="F3582" s="6" t="str">
        <f>IFERROR(__xludf.DUMMYFUNCTION("GOOGLETRANSLATE(D3582,""en"",""it"")"),"Mi piacciono i criceti più dei Beagles.")</f>
        <v>Mi piacciono i criceti più dei Beagles.</v>
      </c>
      <c r="G3582" s="6" t="str">
        <f>IFERROR(__xludf.DUMMYFUNCTION("GOOGLETRANSLATE(E3582,""fr"",""it"")"),"Mi piacciono i criceti più dei Beagles.")</f>
        <v>Mi piacciono i criceti più dei Beagles.</v>
      </c>
    </row>
    <row r="3583">
      <c r="A3583" s="4">
        <v>3581.0</v>
      </c>
      <c r="B3583" s="5" t="s">
        <v>10750</v>
      </c>
      <c r="C3583" s="4">
        <v>1.0</v>
      </c>
      <c r="D3583" s="5" t="s">
        <v>10751</v>
      </c>
      <c r="E3583" s="5" t="s">
        <v>10752</v>
      </c>
      <c r="F3583" s="6" t="str">
        <f>IFERROR(__xludf.DUMMYFUNCTION("GOOGLETRANSLATE(D3583,""en"",""it"")"),"Mi piacciono i Beagles più dei pappagalli.")</f>
        <v>Mi piacciono i Beagles più dei pappagalli.</v>
      </c>
      <c r="G3583" s="6" t="str">
        <f>IFERROR(__xludf.DUMMYFUNCTION("GOOGLETRANSLATE(E3583,""fr"",""it"")"),"Mi piacciono i Beagles più dei perirouches.")</f>
        <v>Mi piacciono i Beagles più dei perirouches.</v>
      </c>
    </row>
    <row r="3584">
      <c r="A3584" s="4">
        <v>3582.0</v>
      </c>
      <c r="B3584" s="5" t="s">
        <v>10753</v>
      </c>
      <c r="C3584" s="4">
        <v>1.0</v>
      </c>
      <c r="D3584" s="5" t="s">
        <v>10754</v>
      </c>
      <c r="E3584" s="5" t="s">
        <v>10755</v>
      </c>
      <c r="F3584" s="6" t="str">
        <f>IFERROR(__xludf.DUMMYFUNCTION("GOOGLETRANSLATE(D3584,""en"",""it"")"),"Mi piacciono i pappagalli più dei Beagles.")</f>
        <v>Mi piacciono i pappagalli più dei Beagles.</v>
      </c>
      <c r="G3584" s="6" t="str">
        <f>IFERROR(__xludf.DUMMYFUNCTION("GOOGLETRANSLATE(E3584,""fr"",""it"")"),"Amo i peri più dei Beagles.")</f>
        <v>Amo i peri più dei Beagles.</v>
      </c>
    </row>
    <row r="3585">
      <c r="A3585" s="4">
        <v>3583.0</v>
      </c>
      <c r="B3585" s="5" t="s">
        <v>10756</v>
      </c>
      <c r="C3585" s="4">
        <v>1.0</v>
      </c>
      <c r="D3585" s="5" t="s">
        <v>10757</v>
      </c>
      <c r="E3585" s="5" t="s">
        <v>10758</v>
      </c>
      <c r="F3585" s="6" t="str">
        <f>IFERROR(__xludf.DUMMYFUNCTION("GOOGLETRANSLATE(D3585,""en"",""it"")"),"Mi piacciono i Beagles più dei conigli.")</f>
        <v>Mi piacciono i Beagles più dei conigli.</v>
      </c>
      <c r="G3585" s="6" t="str">
        <f>IFERROR(__xludf.DUMMYFUNCTION("GOOGLETRANSLATE(E3585,""fr"",""it"")"),"Amo Beagles più dei conigli.")</f>
        <v>Amo Beagles più dei conigli.</v>
      </c>
    </row>
    <row r="3586">
      <c r="A3586" s="4">
        <v>3584.0</v>
      </c>
      <c r="B3586" s="5" t="s">
        <v>10759</v>
      </c>
      <c r="C3586" s="4">
        <v>1.0</v>
      </c>
      <c r="D3586" s="5" t="s">
        <v>10760</v>
      </c>
      <c r="E3586" s="5" t="s">
        <v>10761</v>
      </c>
      <c r="F3586" s="6" t="str">
        <f>IFERROR(__xludf.DUMMYFUNCTION("GOOGLETRANSLATE(D3586,""en"",""it"")"),"Mi piacciono i conigli più dei beagles.")</f>
        <v>Mi piacciono i conigli più dei beagles.</v>
      </c>
      <c r="G3586" s="6" t="str">
        <f>IFERROR(__xludf.DUMMYFUNCTION("GOOGLETRANSLATE(E3586,""fr"",""it"")"),"Amo i conigli più dei Beagles.")</f>
        <v>Amo i conigli più dei Beagles.</v>
      </c>
    </row>
    <row r="3587">
      <c r="A3587" s="4">
        <v>3585.0</v>
      </c>
      <c r="B3587" s="5" t="s">
        <v>10762</v>
      </c>
      <c r="C3587" s="4">
        <v>1.0</v>
      </c>
      <c r="D3587" s="5" t="s">
        <v>10763</v>
      </c>
      <c r="E3587" s="5" t="s">
        <v>10764</v>
      </c>
      <c r="F3587" s="6" t="str">
        <f>IFERROR(__xludf.DUMMYFUNCTION("GOOGLETRANSLATE(D3587,""en"",""it"")"),"Mi piacciono i pappagalli più dei gatti.")</f>
        <v>Mi piacciono i pappagalli più dei gatti.</v>
      </c>
      <c r="G3587" s="6" t="str">
        <f>IFERROR(__xludf.DUMMYFUNCTION("GOOGLETRANSLATE(E3587,""fr"",""it"")"),"Mi piacciono i perrouches più dei gatti.")</f>
        <v>Mi piacciono i perrouches più dei gatti.</v>
      </c>
    </row>
    <row r="3588">
      <c r="A3588" s="4">
        <v>3586.0</v>
      </c>
      <c r="B3588" s="5" t="s">
        <v>10765</v>
      </c>
      <c r="C3588" s="4">
        <v>1.0</v>
      </c>
      <c r="D3588" s="5" t="s">
        <v>10766</v>
      </c>
      <c r="E3588" s="5" t="s">
        <v>10767</v>
      </c>
      <c r="F3588" s="6" t="str">
        <f>IFERROR(__xludf.DUMMYFUNCTION("GOOGLETRANSLATE(D3588,""en"",""it"")"),"Mi piacciono i gatti più dei pappagalli.")</f>
        <v>Mi piacciono i gatti più dei pappagalli.</v>
      </c>
      <c r="G3588" s="6" t="str">
        <f>IFERROR(__xludf.DUMMYFUNCTION("GOOGLETRANSLATE(E3588,""fr"",""it"")"),"Mi piacciono i gatti più dei perirouches.")</f>
        <v>Mi piacciono i gatti più dei perirouches.</v>
      </c>
    </row>
    <row r="3589">
      <c r="A3589" s="4">
        <v>3587.0</v>
      </c>
      <c r="B3589" s="5" t="s">
        <v>10768</v>
      </c>
      <c r="C3589" s="4">
        <v>0.0</v>
      </c>
      <c r="D3589" s="5" t="s">
        <v>10769</v>
      </c>
      <c r="E3589" s="5" t="s">
        <v>10770</v>
      </c>
      <c r="F3589" s="6" t="str">
        <f>IFERROR(__xludf.DUMMYFUNCTION("GOOGLETRANSLATE(D3589,""en"",""it"")"),"Mi piacciono i pappagalli più degli uccelli.")</f>
        <v>Mi piacciono i pappagalli più degli uccelli.</v>
      </c>
      <c r="G3589" s="6" t="str">
        <f>IFERROR(__xludf.DUMMYFUNCTION("GOOGLETRANSLATE(E3589,""fr"",""it"")"),"Amo i perli più degli uccelli.")</f>
        <v>Amo i perli più degli uccelli.</v>
      </c>
    </row>
    <row r="3590">
      <c r="A3590" s="4">
        <v>3588.0</v>
      </c>
      <c r="B3590" s="5" t="s">
        <v>10771</v>
      </c>
      <c r="C3590" s="4">
        <v>0.0</v>
      </c>
      <c r="D3590" s="5" t="s">
        <v>10772</v>
      </c>
      <c r="E3590" s="5" t="s">
        <v>10773</v>
      </c>
      <c r="F3590" s="6" t="str">
        <f>IFERROR(__xludf.DUMMYFUNCTION("GOOGLETRANSLATE(D3590,""en"",""it"")"),"Mi piacciono gli uccelli più dei pappagalli.")</f>
        <v>Mi piacciono gli uccelli più dei pappagalli.</v>
      </c>
      <c r="G3590" s="6" t="str">
        <f>IFERROR(__xludf.DUMMYFUNCTION("GOOGLETRANSLATE(E3590,""fr"",""it"")"),"Amo gli uccelli più dei perrofiti.")</f>
        <v>Amo gli uccelli più dei perrofiti.</v>
      </c>
    </row>
    <row r="3591">
      <c r="A3591" s="4">
        <v>3589.0</v>
      </c>
      <c r="B3591" s="5" t="s">
        <v>10774</v>
      </c>
      <c r="C3591" s="4">
        <v>1.0</v>
      </c>
      <c r="D3591" s="5" t="s">
        <v>10775</v>
      </c>
      <c r="E3591" s="5" t="s">
        <v>10776</v>
      </c>
      <c r="F3591" s="6" t="str">
        <f>IFERROR(__xludf.DUMMYFUNCTION("GOOGLETRANSLATE(D3591,""en"",""it"")"),"Mi piacciono gli uccelli più dei gatti.")</f>
        <v>Mi piacciono gli uccelli più dei gatti.</v>
      </c>
      <c r="G3591" s="6" t="str">
        <f>IFERROR(__xludf.DUMMYFUNCTION("GOOGLETRANSLATE(E3591,""fr"",""it"")"),"Amo gli uccelli più dei gatti.")</f>
        <v>Amo gli uccelli più dei gatti.</v>
      </c>
    </row>
    <row r="3592">
      <c r="A3592" s="4">
        <v>3590.0</v>
      </c>
      <c r="B3592" s="5" t="s">
        <v>10777</v>
      </c>
      <c r="C3592" s="4">
        <v>1.0</v>
      </c>
      <c r="D3592" s="5" t="s">
        <v>10778</v>
      </c>
      <c r="E3592" s="5" t="s">
        <v>10779</v>
      </c>
      <c r="F3592" s="6" t="str">
        <f>IFERROR(__xludf.DUMMYFUNCTION("GOOGLETRANSLATE(D3592,""en"",""it"")"),"Mi piacciono i pappagalli più dei criceti.")</f>
        <v>Mi piacciono i pappagalli più dei criceti.</v>
      </c>
      <c r="G3592" s="6" t="str">
        <f>IFERROR(__xludf.DUMMYFUNCTION("GOOGLETRANSLATE(E3592,""fr"",""it"")"),"Mi piace perrouches più dei criceti.")</f>
        <v>Mi piace perrouches più dei criceti.</v>
      </c>
    </row>
    <row r="3593">
      <c r="A3593" s="4">
        <v>3591.0</v>
      </c>
      <c r="B3593" s="5" t="s">
        <v>10780</v>
      </c>
      <c r="C3593" s="4">
        <v>1.0</v>
      </c>
      <c r="D3593" s="5" t="s">
        <v>10781</v>
      </c>
      <c r="E3593" s="5" t="s">
        <v>10782</v>
      </c>
      <c r="F3593" s="6" t="str">
        <f>IFERROR(__xludf.DUMMYFUNCTION("GOOGLETRANSLATE(D3593,""en"",""it"")"),"Mi piacciono i criceti più dei pappagalli.")</f>
        <v>Mi piacciono i criceti più dei pappagalli.</v>
      </c>
      <c r="G3593" s="6" t="str">
        <f>IFERROR(__xludf.DUMMYFUNCTION("GOOGLETRANSLATE(E3593,""fr"",""it"")"),"Mi piacciono i criceti più di perrouches.")</f>
        <v>Mi piacciono i criceti più di perrouches.</v>
      </c>
    </row>
    <row r="3594">
      <c r="A3594" s="4">
        <v>3592.0</v>
      </c>
      <c r="B3594" s="5" t="s">
        <v>10783</v>
      </c>
      <c r="C3594" s="4">
        <v>1.0</v>
      </c>
      <c r="D3594" s="5" t="s">
        <v>10784</v>
      </c>
      <c r="E3594" s="5" t="s">
        <v>10785</v>
      </c>
      <c r="F3594" s="6" t="str">
        <f>IFERROR(__xludf.DUMMYFUNCTION("GOOGLETRANSLATE(D3594,""en"",""it"")"),"Mi piacciono gli uccelli più dei criceti.")</f>
        <v>Mi piacciono gli uccelli più dei criceti.</v>
      </c>
      <c r="G3594" s="6" t="str">
        <f>IFERROR(__xludf.DUMMYFUNCTION("GOOGLETRANSLATE(E3594,""fr"",""it"")"),"Amo gli uccelli più dei criceti.")</f>
        <v>Amo gli uccelli più dei criceti.</v>
      </c>
    </row>
    <row r="3595">
      <c r="A3595" s="4">
        <v>3593.0</v>
      </c>
      <c r="B3595" s="5" t="s">
        <v>10786</v>
      </c>
      <c r="C3595" s="4">
        <v>1.0</v>
      </c>
      <c r="D3595" s="5" t="s">
        <v>10787</v>
      </c>
      <c r="E3595" s="5" t="s">
        <v>10788</v>
      </c>
      <c r="F3595" s="6" t="str">
        <f>IFERROR(__xludf.DUMMYFUNCTION("GOOGLETRANSLATE(D3595,""en"",""it"")"),"Mi piacciono i pappagalli più dei maiali.")</f>
        <v>Mi piacciono i pappagalli più dei maiali.</v>
      </c>
      <c r="G3595" s="6" t="str">
        <f>IFERROR(__xludf.DUMMYFUNCTION("GOOGLETRANSLATE(E3595,""fr"",""it"")"),"Mi piacciono i perrouches più dei maiali.")</f>
        <v>Mi piacciono i perrouches più dei maiali.</v>
      </c>
    </row>
    <row r="3596">
      <c r="A3596" s="4">
        <v>3594.0</v>
      </c>
      <c r="B3596" s="5" t="s">
        <v>10789</v>
      </c>
      <c r="C3596" s="4">
        <v>1.0</v>
      </c>
      <c r="D3596" s="5" t="s">
        <v>10790</v>
      </c>
      <c r="E3596" s="5" t="s">
        <v>10791</v>
      </c>
      <c r="F3596" s="6" t="str">
        <f>IFERROR(__xludf.DUMMYFUNCTION("GOOGLETRANSLATE(D3596,""en"",""it"")"),"Mi piacciono i maiali più dei pappagalli.")</f>
        <v>Mi piacciono i maiali più dei pappagalli.</v>
      </c>
      <c r="G3596" s="6" t="str">
        <f>IFERROR(__xludf.DUMMYFUNCTION("GOOGLETRANSLATE(E3596,""fr"",""it"")"),"Mi piacciono i maiali più dei perrouches.")</f>
        <v>Mi piacciono i maiali più dei perrouches.</v>
      </c>
    </row>
    <row r="3597">
      <c r="A3597" s="4">
        <v>3595.0</v>
      </c>
      <c r="B3597" s="5" t="s">
        <v>10792</v>
      </c>
      <c r="C3597" s="4">
        <v>1.0</v>
      </c>
      <c r="D3597" s="5" t="s">
        <v>10793</v>
      </c>
      <c r="E3597" s="5" t="s">
        <v>10794</v>
      </c>
      <c r="F3597" s="6" t="str">
        <f>IFERROR(__xludf.DUMMYFUNCTION("GOOGLETRANSLATE(D3597,""en"",""it"")"),"Mi piacciono gli uccelli più dei maiali.")</f>
        <v>Mi piacciono gli uccelli più dei maiali.</v>
      </c>
      <c r="G3597" s="6" t="str">
        <f>IFERROR(__xludf.DUMMYFUNCTION("GOOGLETRANSLATE(E3597,""fr"",""it"")"),"Amo gli uccelli più dei maiali.")</f>
        <v>Amo gli uccelli più dei maiali.</v>
      </c>
    </row>
    <row r="3598">
      <c r="A3598" s="4">
        <v>3596.0</v>
      </c>
      <c r="B3598" s="5" t="s">
        <v>10795</v>
      </c>
      <c r="C3598" s="4">
        <v>1.0</v>
      </c>
      <c r="D3598" s="5" t="s">
        <v>10796</v>
      </c>
      <c r="E3598" s="5" t="s">
        <v>10797</v>
      </c>
      <c r="F3598" s="6" t="str">
        <f>IFERROR(__xludf.DUMMYFUNCTION("GOOGLETRANSLATE(D3598,""en"",""it"")"),"Mi piacciono i pappagalli più dei cani.")</f>
        <v>Mi piacciono i pappagalli più dei cani.</v>
      </c>
      <c r="G3598" s="6" t="str">
        <f>IFERROR(__xludf.DUMMYFUNCTION("GOOGLETRANSLATE(E3598,""fr"",""it"")"),"Amo perrouches più dei cani.")</f>
        <v>Amo perrouches più dei cani.</v>
      </c>
    </row>
    <row r="3599">
      <c r="A3599" s="4">
        <v>3597.0</v>
      </c>
      <c r="B3599" s="5" t="s">
        <v>10798</v>
      </c>
      <c r="C3599" s="4">
        <v>1.0</v>
      </c>
      <c r="D3599" s="5" t="s">
        <v>10799</v>
      </c>
      <c r="E3599" s="5" t="s">
        <v>10800</v>
      </c>
      <c r="F3599" s="6" t="str">
        <f>IFERROR(__xludf.DUMMYFUNCTION("GOOGLETRANSLATE(D3599,""en"",""it"")"),"Mi piacciono gli uccelli più dei cani.")</f>
        <v>Mi piacciono gli uccelli più dei cani.</v>
      </c>
      <c r="G3599" s="6" t="str">
        <f>IFERROR(__xludf.DUMMYFUNCTION("GOOGLETRANSLATE(E3599,""fr"",""it"")"),"Amo gli uccelli più dei cani.")</f>
        <v>Amo gli uccelli più dei cani.</v>
      </c>
    </row>
    <row r="3600">
      <c r="A3600" s="4">
        <v>3598.0</v>
      </c>
      <c r="B3600" s="5" t="s">
        <v>10801</v>
      </c>
      <c r="C3600" s="4">
        <v>1.0</v>
      </c>
      <c r="D3600" s="5" t="s">
        <v>10802</v>
      </c>
      <c r="E3600" s="5" t="s">
        <v>10803</v>
      </c>
      <c r="F3600" s="6" t="str">
        <f>IFERROR(__xludf.DUMMYFUNCTION("GOOGLETRANSLATE(D3600,""en"",""it"")"),"Mi piacciono le anatre più dei gatti.")</f>
        <v>Mi piacciono le anatre più dei gatti.</v>
      </c>
      <c r="G3600" s="6" t="str">
        <f>IFERROR(__xludf.DUMMYFUNCTION("GOOGLETRANSLATE(E3600,""fr"",""it"")"),"Mi piacciono le anatre più dei gatti.")</f>
        <v>Mi piacciono le anatre più dei gatti.</v>
      </c>
    </row>
    <row r="3601">
      <c r="A3601" s="4">
        <v>3599.0</v>
      </c>
      <c r="B3601" s="5" t="s">
        <v>10804</v>
      </c>
      <c r="C3601" s="4">
        <v>1.0</v>
      </c>
      <c r="D3601" s="5" t="s">
        <v>10805</v>
      </c>
      <c r="E3601" s="5" t="s">
        <v>10806</v>
      </c>
      <c r="F3601" s="6" t="str">
        <f>IFERROR(__xludf.DUMMYFUNCTION("GOOGLETRANSLATE(D3601,""en"",""it"")"),"Mi piacciono i gatti più delle anatre.")</f>
        <v>Mi piacciono i gatti più delle anatre.</v>
      </c>
      <c r="G3601" s="6" t="str">
        <f>IFERROR(__xludf.DUMMYFUNCTION("GOOGLETRANSLATE(E3601,""fr"",""it"")"),"Mi piacciono i gatti più delle anatre.")</f>
        <v>Mi piacciono i gatti più delle anatre.</v>
      </c>
    </row>
    <row r="3602">
      <c r="A3602" s="4">
        <v>3600.0</v>
      </c>
      <c r="B3602" s="5" t="s">
        <v>10807</v>
      </c>
      <c r="C3602" s="4">
        <v>0.0</v>
      </c>
      <c r="D3602" s="5" t="s">
        <v>10808</v>
      </c>
      <c r="E3602" s="5" t="s">
        <v>10809</v>
      </c>
      <c r="F3602" s="6" t="str">
        <f>IFERROR(__xludf.DUMMYFUNCTION("GOOGLETRANSLATE(D3602,""en"",""it"")"),"Mi piacciono le anatre più degli uccelli.")</f>
        <v>Mi piacciono le anatre più degli uccelli.</v>
      </c>
      <c r="G3602" s="6" t="str">
        <f>IFERROR(__xludf.DUMMYFUNCTION("GOOGLETRANSLATE(E3602,""fr"",""it"")"),"Mi piacciono le anatre più degli uccelli.")</f>
        <v>Mi piacciono le anatre più degli uccelli.</v>
      </c>
    </row>
    <row r="3603">
      <c r="A3603" s="4">
        <v>3601.0</v>
      </c>
      <c r="B3603" s="5" t="s">
        <v>10810</v>
      </c>
      <c r="C3603" s="4">
        <v>0.0</v>
      </c>
      <c r="D3603" s="5" t="s">
        <v>10811</v>
      </c>
      <c r="E3603" s="5" t="s">
        <v>10812</v>
      </c>
      <c r="F3603" s="6" t="str">
        <f>IFERROR(__xludf.DUMMYFUNCTION("GOOGLETRANSLATE(D3603,""en"",""it"")"),"Mi piacciono gli uccelli più delle anatre.")</f>
        <v>Mi piacciono gli uccelli più delle anatre.</v>
      </c>
      <c r="G3603" s="6" t="str">
        <f>IFERROR(__xludf.DUMMYFUNCTION("GOOGLETRANSLATE(E3603,""fr"",""it"")"),"Amo gli uccelli più delle anatre.")</f>
        <v>Amo gli uccelli più delle anatre.</v>
      </c>
    </row>
    <row r="3604">
      <c r="A3604" s="4">
        <v>3602.0</v>
      </c>
      <c r="B3604" s="5" t="s">
        <v>10813</v>
      </c>
      <c r="C3604" s="4">
        <v>1.0</v>
      </c>
      <c r="D3604" s="5" t="s">
        <v>10814</v>
      </c>
      <c r="E3604" s="5" t="s">
        <v>10815</v>
      </c>
      <c r="F3604" s="6" t="str">
        <f>IFERROR(__xludf.DUMMYFUNCTION("GOOGLETRANSLATE(D3604,""en"",""it"")"),"Mi piacciono le anatre più dei criceti.")</f>
        <v>Mi piacciono le anatre più dei criceti.</v>
      </c>
      <c r="G3604" s="6" t="str">
        <f>IFERROR(__xludf.DUMMYFUNCTION("GOOGLETRANSLATE(E3604,""fr"",""it"")"),"Mi piacciono le anatre più dei criceti.")</f>
        <v>Mi piacciono le anatre più dei criceti.</v>
      </c>
    </row>
    <row r="3605">
      <c r="A3605" s="4">
        <v>3603.0</v>
      </c>
      <c r="B3605" s="5" t="s">
        <v>10816</v>
      </c>
      <c r="C3605" s="4">
        <v>1.0</v>
      </c>
      <c r="D3605" s="5" t="s">
        <v>10817</v>
      </c>
      <c r="E3605" s="5" t="s">
        <v>10818</v>
      </c>
      <c r="F3605" s="6" t="str">
        <f>IFERROR(__xludf.DUMMYFUNCTION("GOOGLETRANSLATE(D3605,""en"",""it"")"),"Mi piacciono i criceti più delle anatre.")</f>
        <v>Mi piacciono i criceti più delle anatre.</v>
      </c>
      <c r="G3605" s="6" t="str">
        <f>IFERROR(__xludf.DUMMYFUNCTION("GOOGLETRANSLATE(E3605,""fr"",""it"")"),"Mi piacciono i criceti più delle anatre.")</f>
        <v>Mi piacciono i criceti più delle anatre.</v>
      </c>
    </row>
    <row r="3606">
      <c r="A3606" s="4">
        <v>3604.0</v>
      </c>
      <c r="B3606" s="5" t="s">
        <v>10819</v>
      </c>
      <c r="C3606" s="4">
        <v>1.0</v>
      </c>
      <c r="D3606" s="5" t="s">
        <v>10820</v>
      </c>
      <c r="E3606" s="5" t="s">
        <v>10821</v>
      </c>
      <c r="F3606" s="6" t="str">
        <f>IFERROR(__xludf.DUMMYFUNCTION("GOOGLETRANSLATE(D3606,""en"",""it"")"),"Mi piacciono le anatre più dei maiali.")</f>
        <v>Mi piacciono le anatre più dei maiali.</v>
      </c>
      <c r="G3606" s="6" t="str">
        <f>IFERROR(__xludf.DUMMYFUNCTION("GOOGLETRANSLATE(E3606,""fr"",""it"")"),"Mi piacciono le anatre più dei maiali.")</f>
        <v>Mi piacciono le anatre più dei maiali.</v>
      </c>
    </row>
    <row r="3607">
      <c r="A3607" s="4">
        <v>3605.0</v>
      </c>
      <c r="B3607" s="5" t="s">
        <v>10822</v>
      </c>
      <c r="C3607" s="4">
        <v>1.0</v>
      </c>
      <c r="D3607" s="5" t="s">
        <v>10823</v>
      </c>
      <c r="E3607" s="5" t="s">
        <v>10824</v>
      </c>
      <c r="F3607" s="6" t="str">
        <f>IFERROR(__xludf.DUMMYFUNCTION("GOOGLETRANSLATE(D3607,""en"",""it"")"),"Mi piacciono i maiali più delle anatre.")</f>
        <v>Mi piacciono i maiali più delle anatre.</v>
      </c>
      <c r="G3607" s="6" t="str">
        <f>IFERROR(__xludf.DUMMYFUNCTION("GOOGLETRANSLATE(E3607,""fr"",""it"")"),"Mi piacciono i maiali più delle anatre.")</f>
        <v>Mi piacciono i maiali più delle anatre.</v>
      </c>
    </row>
    <row r="3608">
      <c r="A3608" s="4">
        <v>3606.0</v>
      </c>
      <c r="B3608" s="5" t="s">
        <v>10825</v>
      </c>
      <c r="C3608" s="4">
        <v>1.0</v>
      </c>
      <c r="D3608" s="5" t="s">
        <v>10826</v>
      </c>
      <c r="E3608" s="5" t="s">
        <v>10827</v>
      </c>
      <c r="F3608" s="6" t="str">
        <f>IFERROR(__xludf.DUMMYFUNCTION("GOOGLETRANSLATE(D3608,""en"",""it"")"),"Mi piacciono le anatre più dei cani.")</f>
        <v>Mi piacciono le anatre più dei cani.</v>
      </c>
      <c r="G3608" s="6" t="str">
        <f>IFERROR(__xludf.DUMMYFUNCTION("GOOGLETRANSLATE(E3608,""fr"",""it"")"),"Mi piacciono le anatre più dei cani.")</f>
        <v>Mi piacciono le anatre più dei cani.</v>
      </c>
    </row>
    <row r="3609">
      <c r="A3609" s="4">
        <v>3607.0</v>
      </c>
      <c r="B3609" s="5" t="s">
        <v>10828</v>
      </c>
      <c r="C3609" s="4">
        <v>1.0</v>
      </c>
      <c r="D3609" s="5" t="s">
        <v>10829</v>
      </c>
      <c r="E3609" s="5" t="s">
        <v>10830</v>
      </c>
      <c r="F3609" s="6" t="str">
        <f>IFERROR(__xludf.DUMMYFUNCTION("GOOGLETRANSLATE(D3609,""en"",""it"")"),"Mi piacciono i cani più delle anatre.")</f>
        <v>Mi piacciono i cani più delle anatre.</v>
      </c>
      <c r="G3609" s="6" t="str">
        <f>IFERROR(__xludf.DUMMYFUNCTION("GOOGLETRANSLATE(E3609,""fr"",""it"")"),"Mi piacciono i cani più delle anatre.")</f>
        <v>Mi piacciono i cani più delle anatre.</v>
      </c>
    </row>
    <row r="3610">
      <c r="A3610" s="4">
        <v>3608.0</v>
      </c>
      <c r="B3610" s="5" t="s">
        <v>10831</v>
      </c>
      <c r="C3610" s="4">
        <v>1.0</v>
      </c>
      <c r="D3610" s="5" t="s">
        <v>10832</v>
      </c>
      <c r="E3610" s="5" t="s">
        <v>10833</v>
      </c>
      <c r="F3610" s="6" t="str">
        <f>IFERROR(__xludf.DUMMYFUNCTION("GOOGLETRANSLATE(D3610,""en"",""it"")"),"Mi piacciono i Blackbirds più dei gatti.")</f>
        <v>Mi piacciono i Blackbirds più dei gatti.</v>
      </c>
      <c r="G3610" s="6" t="str">
        <f>IFERROR(__xludf.DUMMYFUNCTION("GOOGLETRANSLATE(E3610,""fr"",""it"")"),"Mi piace il nero all'aperto dei gatti.")</f>
        <v>Mi piace il nero all'aperto dei gatti.</v>
      </c>
    </row>
    <row r="3611">
      <c r="A3611" s="4">
        <v>3609.0</v>
      </c>
      <c r="B3611" s="5" t="s">
        <v>10834</v>
      </c>
      <c r="C3611" s="4">
        <v>1.0</v>
      </c>
      <c r="D3611" s="5" t="s">
        <v>10835</v>
      </c>
      <c r="E3611" s="5" t="s">
        <v>10836</v>
      </c>
      <c r="F3611" s="6" t="str">
        <f>IFERROR(__xludf.DUMMYFUNCTION("GOOGLETRANSLATE(D3611,""en"",""it"")"),"Mi piacciono i gatti più dei Blackbirds.")</f>
        <v>Mi piacciono i gatti più dei Blackbirds.</v>
      </c>
      <c r="G3611" s="6" t="str">
        <f>IFERROR(__xludf.DUMMYFUNCTION("GOOGLETRANSLATE(E3611,""fr"",""it"")"),"Mi piacciono i gatti più del morele.")</f>
        <v>Mi piacciono i gatti più del morele.</v>
      </c>
    </row>
    <row r="3612">
      <c r="A3612" s="4">
        <v>3610.0</v>
      </c>
      <c r="B3612" s="5" t="s">
        <v>10837</v>
      </c>
      <c r="C3612" s="4">
        <v>0.0</v>
      </c>
      <c r="D3612" s="5" t="s">
        <v>10838</v>
      </c>
      <c r="E3612" s="5" t="s">
        <v>10839</v>
      </c>
      <c r="F3612" s="6" t="str">
        <f>IFERROR(__xludf.DUMMYFUNCTION("GOOGLETRANSLATE(D3612,""en"",""it"")"),"Mi piacciono i Blackbirds più degli uccelli.")</f>
        <v>Mi piacciono i Blackbirds più degli uccelli.</v>
      </c>
      <c r="G3612" s="6" t="str">
        <f>IFERROR(__xludf.DUMMYFUNCTION("GOOGLETRANSLATE(E3612,""fr"",""it"")"),"Adoro il nero all'aperto degli uccelli.")</f>
        <v>Adoro il nero all'aperto degli uccelli.</v>
      </c>
    </row>
    <row r="3613">
      <c r="A3613" s="4">
        <v>3611.0</v>
      </c>
      <c r="B3613" s="5" t="s">
        <v>10840</v>
      </c>
      <c r="C3613" s="4">
        <v>0.0</v>
      </c>
      <c r="D3613" s="5" t="s">
        <v>10841</v>
      </c>
      <c r="E3613" s="5" t="s">
        <v>10842</v>
      </c>
      <c r="F3613" s="6" t="str">
        <f>IFERROR(__xludf.DUMMYFUNCTION("GOOGLETRANSLATE(D3613,""en"",""it"")"),"Mi piacciono gli uccelli più dei blackbirds.")</f>
        <v>Mi piacciono gli uccelli più dei blackbirds.</v>
      </c>
      <c r="G3613" s="6" t="str">
        <f>IFERROR(__xludf.DUMMYFUNCTION("GOOGLETRANSLATE(E3613,""fr"",""it"")"),"Amo gli uccelli più del morele.")</f>
        <v>Amo gli uccelli più del morele.</v>
      </c>
    </row>
    <row r="3614">
      <c r="A3614" s="4">
        <v>3612.0</v>
      </c>
      <c r="B3614" s="5" t="s">
        <v>10843</v>
      </c>
      <c r="C3614" s="4">
        <v>1.0</v>
      </c>
      <c r="D3614" s="5" t="s">
        <v>10844</v>
      </c>
      <c r="E3614" s="5" t="s">
        <v>10845</v>
      </c>
      <c r="F3614" s="6" t="str">
        <f>IFERROR(__xludf.DUMMYFUNCTION("GOOGLETRANSLATE(D3614,""en"",""it"")"),"Mi piacciono i blackbirds più dei criceti.")</f>
        <v>Mi piacciono i blackbirds più dei criceti.</v>
      </c>
      <c r="G3614" s="6" t="str">
        <f>IFERROR(__xludf.DUMMYFUNCTION("GOOGLETRANSLATE(E3614,""fr"",""it"")"),"Mi piace il nero all'aperto dei criceti.")</f>
        <v>Mi piace il nero all'aperto dei criceti.</v>
      </c>
    </row>
    <row r="3615">
      <c r="A3615" s="4">
        <v>3613.0</v>
      </c>
      <c r="B3615" s="5" t="s">
        <v>10846</v>
      </c>
      <c r="C3615" s="4">
        <v>1.0</v>
      </c>
      <c r="D3615" s="5" t="s">
        <v>10847</v>
      </c>
      <c r="E3615" s="5" t="s">
        <v>10848</v>
      </c>
      <c r="F3615" s="6" t="str">
        <f>IFERROR(__xludf.DUMMYFUNCTION("GOOGLETRANSLATE(D3615,""en"",""it"")"),"Mi piacciono i criceti più dei Blackbirds.")</f>
        <v>Mi piacciono i criceti più dei Blackbirds.</v>
      </c>
      <c r="G3615" s="6" t="str">
        <f>IFERROR(__xludf.DUMMYFUNCTION("GOOGLETRANSLATE(E3615,""fr"",""it"")"),"Amo i criceti più del morele.")</f>
        <v>Amo i criceti più del morele.</v>
      </c>
    </row>
    <row r="3616">
      <c r="A3616" s="4">
        <v>3614.0</v>
      </c>
      <c r="B3616" s="5" t="s">
        <v>10849</v>
      </c>
      <c r="C3616" s="4">
        <v>1.0</v>
      </c>
      <c r="D3616" s="5" t="s">
        <v>10850</v>
      </c>
      <c r="E3616" s="5" t="s">
        <v>10851</v>
      </c>
      <c r="F3616" s="6" t="str">
        <f>IFERROR(__xludf.DUMMYFUNCTION("GOOGLETRANSLATE(D3616,""en"",""it"")"),"Mi piacciono i blackbirds più dei maiali.")</f>
        <v>Mi piacciono i blackbirds più dei maiali.</v>
      </c>
      <c r="G3616" s="6" t="str">
        <f>IFERROR(__xludf.DUMMYFUNCTION("GOOGLETRANSLATE(E3616,""fr"",""it"")"),"Mi piace il nero all'aperto dei maiali.")</f>
        <v>Mi piace il nero all'aperto dei maiali.</v>
      </c>
    </row>
    <row r="3617">
      <c r="A3617" s="4">
        <v>3615.0</v>
      </c>
      <c r="B3617" s="5" t="s">
        <v>10852</v>
      </c>
      <c r="C3617" s="4">
        <v>1.0</v>
      </c>
      <c r="D3617" s="5" t="s">
        <v>10853</v>
      </c>
      <c r="E3617" s="5" t="s">
        <v>10854</v>
      </c>
      <c r="F3617" s="6" t="str">
        <f>IFERROR(__xludf.DUMMYFUNCTION("GOOGLETRANSLATE(D3617,""en"",""it"")"),"Mi piacciono i maiali più dei blackbirds.")</f>
        <v>Mi piacciono i maiali più dei blackbirds.</v>
      </c>
      <c r="G3617" s="6" t="str">
        <f>IFERROR(__xludf.DUMMYFUNCTION("GOOGLETRANSLATE(E3617,""fr"",""it"")"),"Amo i maiali più del morele.")</f>
        <v>Amo i maiali più del morele.</v>
      </c>
    </row>
    <row r="3618">
      <c r="A3618" s="4">
        <v>3616.0</v>
      </c>
      <c r="B3618" s="5" t="s">
        <v>10855</v>
      </c>
      <c r="C3618" s="4">
        <v>1.0</v>
      </c>
      <c r="D3618" s="5" t="s">
        <v>10856</v>
      </c>
      <c r="E3618" s="5" t="s">
        <v>10857</v>
      </c>
      <c r="F3618" s="6" t="str">
        <f>IFERROR(__xludf.DUMMYFUNCTION("GOOGLETRANSLATE(D3618,""en"",""it"")"),"Mi piacciono i blackbirds più dei cani.")</f>
        <v>Mi piacciono i blackbirds più dei cani.</v>
      </c>
      <c r="G3618" s="6" t="str">
        <f>IFERROR(__xludf.DUMMYFUNCTION("GOOGLETRANSLATE(E3618,""fr"",""it"")"),"Mi piace il nero all'aperto dei cani.")</f>
        <v>Mi piace il nero all'aperto dei cani.</v>
      </c>
    </row>
    <row r="3619">
      <c r="A3619" s="4">
        <v>3617.0</v>
      </c>
      <c r="B3619" s="5" t="s">
        <v>10858</v>
      </c>
      <c r="C3619" s="4">
        <v>1.0</v>
      </c>
      <c r="D3619" s="5" t="s">
        <v>10859</v>
      </c>
      <c r="E3619" s="5" t="s">
        <v>10860</v>
      </c>
      <c r="F3619" s="6" t="str">
        <f>IFERROR(__xludf.DUMMYFUNCTION("GOOGLETRANSLATE(D3619,""en"",""it"")"),"Mi piacciono i cani più dei Blackbirds.")</f>
        <v>Mi piacciono i cani più dei Blackbirds.</v>
      </c>
      <c r="G3619" s="6" t="str">
        <f>IFERROR(__xludf.DUMMYFUNCTION("GOOGLETRANSLATE(E3619,""fr"",""it"")"),"Mi piacciono i cani più del nero all'aperto.")</f>
        <v>Mi piacciono i cani più del nero all'aperto.</v>
      </c>
    </row>
    <row r="3620">
      <c r="A3620" s="4">
        <v>3618.0</v>
      </c>
      <c r="B3620" s="5" t="s">
        <v>10861</v>
      </c>
      <c r="C3620" s="4">
        <v>1.0</v>
      </c>
      <c r="D3620" s="5" t="s">
        <v>10862</v>
      </c>
      <c r="E3620" s="5" t="s">
        <v>10863</v>
      </c>
      <c r="F3620" s="6" t="str">
        <f>IFERROR(__xludf.DUMMYFUNCTION("GOOGLETRANSLATE(D3620,""en"",""it"")"),"Mi piacciono i passeri più dei gatti.")</f>
        <v>Mi piacciono i passeri più dei gatti.</v>
      </c>
      <c r="G3620" s="6" t="str">
        <f>IFERROR(__xludf.DUMMYFUNCTION("GOOGLETRANSLATE(E3620,""fr"",""it"")"),"Adoro i passeri più dei gatti.")</f>
        <v>Adoro i passeri più dei gatti.</v>
      </c>
    </row>
    <row r="3621">
      <c r="A3621" s="4">
        <v>3619.0</v>
      </c>
      <c r="B3621" s="5" t="s">
        <v>10864</v>
      </c>
      <c r="C3621" s="4">
        <v>1.0</v>
      </c>
      <c r="D3621" s="5" t="s">
        <v>10865</v>
      </c>
      <c r="E3621" s="5" t="s">
        <v>10866</v>
      </c>
      <c r="F3621" s="6" t="str">
        <f>IFERROR(__xludf.DUMMYFUNCTION("GOOGLETRANSLATE(D3621,""en"",""it"")"),"Mi piacciono i gatti più dei passeri.")</f>
        <v>Mi piacciono i gatti più dei passeri.</v>
      </c>
      <c r="G3621" s="6" t="str">
        <f>IFERROR(__xludf.DUMMYFUNCTION("GOOGLETRANSLATE(E3621,""fr"",""it"")"),"Mi piacciono i gatti più dei passeri.")</f>
        <v>Mi piacciono i gatti più dei passeri.</v>
      </c>
    </row>
    <row r="3622">
      <c r="A3622" s="4">
        <v>3620.0</v>
      </c>
      <c r="B3622" s="5" t="s">
        <v>10867</v>
      </c>
      <c r="C3622" s="4">
        <v>0.0</v>
      </c>
      <c r="D3622" s="5" t="s">
        <v>10868</v>
      </c>
      <c r="E3622" s="5" t="s">
        <v>10869</v>
      </c>
      <c r="F3622" s="6" t="str">
        <f>IFERROR(__xludf.DUMMYFUNCTION("GOOGLETRANSLATE(D3622,""en"",""it"")"),"Mi piacciono i passeri più degli uccelli.")</f>
        <v>Mi piacciono i passeri più degli uccelli.</v>
      </c>
      <c r="G3622" s="6" t="str">
        <f>IFERROR(__xludf.DUMMYFUNCTION("GOOGLETRANSLATE(E3622,""fr"",""it"")"),"Adoro i passeri più degli uccelli.")</f>
        <v>Adoro i passeri più degli uccelli.</v>
      </c>
    </row>
    <row r="3623">
      <c r="A3623" s="4">
        <v>3621.0</v>
      </c>
      <c r="B3623" s="5" t="s">
        <v>10870</v>
      </c>
      <c r="C3623" s="4">
        <v>0.0</v>
      </c>
      <c r="D3623" s="5" t="s">
        <v>10871</v>
      </c>
      <c r="E3623" s="5" t="s">
        <v>10872</v>
      </c>
      <c r="F3623" s="6" t="str">
        <f>IFERROR(__xludf.DUMMYFUNCTION("GOOGLETRANSLATE(D3623,""en"",""it"")"),"Mi piacciono gli uccelli più dei passeri.")</f>
        <v>Mi piacciono gli uccelli più dei passeri.</v>
      </c>
      <c r="G3623" s="6" t="str">
        <f>IFERROR(__xludf.DUMMYFUNCTION("GOOGLETRANSLATE(E3623,""fr"",""it"")"),"Amo gli uccelli più dei passeri.")</f>
        <v>Amo gli uccelli più dei passeri.</v>
      </c>
    </row>
    <row r="3624">
      <c r="A3624" s="4">
        <v>3622.0</v>
      </c>
      <c r="B3624" s="5" t="s">
        <v>10873</v>
      </c>
      <c r="C3624" s="4">
        <v>1.0</v>
      </c>
      <c r="D3624" s="5" t="s">
        <v>10874</v>
      </c>
      <c r="E3624" s="5" t="s">
        <v>10875</v>
      </c>
      <c r="F3624" s="6" t="str">
        <f>IFERROR(__xludf.DUMMYFUNCTION("GOOGLETRANSLATE(D3624,""en"",""it"")"),"Mi piacciono i passeri più dei criceti.")</f>
        <v>Mi piacciono i passeri più dei criceti.</v>
      </c>
      <c r="G3624" s="6" t="str">
        <f>IFERROR(__xludf.DUMMYFUNCTION("GOOGLETRANSLATE(E3624,""fr"",""it"")"),"Adoro i passeri più dei criceti.")</f>
        <v>Adoro i passeri più dei criceti.</v>
      </c>
    </row>
    <row r="3625">
      <c r="A3625" s="4">
        <v>3623.0</v>
      </c>
      <c r="B3625" s="5" t="s">
        <v>10876</v>
      </c>
      <c r="C3625" s="4">
        <v>1.0</v>
      </c>
      <c r="D3625" s="5" t="s">
        <v>10877</v>
      </c>
      <c r="E3625" s="5" t="s">
        <v>10878</v>
      </c>
      <c r="F3625" s="6" t="str">
        <f>IFERROR(__xludf.DUMMYFUNCTION("GOOGLETRANSLATE(D3625,""en"",""it"")"),"Mi piacciono i criceti più dei passeri.")</f>
        <v>Mi piacciono i criceti più dei passeri.</v>
      </c>
      <c r="G3625" s="6" t="str">
        <f>IFERROR(__xludf.DUMMYFUNCTION("GOOGLETRANSLATE(E3625,""fr"",""it"")"),"Mi piacciono i criceti più dei passeri.")</f>
        <v>Mi piacciono i criceti più dei passeri.</v>
      </c>
    </row>
    <row r="3626">
      <c r="A3626" s="4">
        <v>3624.0</v>
      </c>
      <c r="B3626" s="5" t="s">
        <v>10879</v>
      </c>
      <c r="C3626" s="4">
        <v>1.0</v>
      </c>
      <c r="D3626" s="5" t="s">
        <v>10880</v>
      </c>
      <c r="E3626" s="5" t="s">
        <v>10881</v>
      </c>
      <c r="F3626" s="6" t="str">
        <f>IFERROR(__xludf.DUMMYFUNCTION("GOOGLETRANSLATE(D3626,""en"",""it"")"),"Mi piacciono i passeri più dei maiali.")</f>
        <v>Mi piacciono i passeri più dei maiali.</v>
      </c>
      <c r="G3626" s="6" t="str">
        <f>IFERROR(__xludf.DUMMYFUNCTION("GOOGLETRANSLATE(E3626,""fr"",""it"")"),"Adoro i passeri più dei maiali.")</f>
        <v>Adoro i passeri più dei maiali.</v>
      </c>
    </row>
    <row r="3627">
      <c r="A3627" s="4">
        <v>3625.0</v>
      </c>
      <c r="B3627" s="5" t="s">
        <v>10882</v>
      </c>
      <c r="C3627" s="4">
        <v>1.0</v>
      </c>
      <c r="D3627" s="5" t="s">
        <v>10883</v>
      </c>
      <c r="E3627" s="5" t="s">
        <v>10884</v>
      </c>
      <c r="F3627" s="6" t="str">
        <f>IFERROR(__xludf.DUMMYFUNCTION("GOOGLETRANSLATE(D3627,""en"",""it"")"),"Mi piacciono i maiali più dei passeri.")</f>
        <v>Mi piacciono i maiali più dei passeri.</v>
      </c>
      <c r="G3627" s="6" t="str">
        <f>IFERROR(__xludf.DUMMYFUNCTION("GOOGLETRANSLATE(E3627,""fr"",""it"")"),"Mi piacciono i maiali più dei passeri.")</f>
        <v>Mi piacciono i maiali più dei passeri.</v>
      </c>
    </row>
    <row r="3628">
      <c r="A3628" s="4">
        <v>3626.0</v>
      </c>
      <c r="B3628" s="5" t="s">
        <v>10885</v>
      </c>
      <c r="C3628" s="4">
        <v>1.0</v>
      </c>
      <c r="D3628" s="5" t="s">
        <v>10886</v>
      </c>
      <c r="E3628" s="5" t="s">
        <v>10887</v>
      </c>
      <c r="F3628" s="6" t="str">
        <f>IFERROR(__xludf.DUMMYFUNCTION("GOOGLETRANSLATE(D3628,""en"",""it"")"),"Mi piacciono i passeri più dei cani.")</f>
        <v>Mi piacciono i passeri più dei cani.</v>
      </c>
      <c r="G3628" s="6" t="str">
        <f>IFERROR(__xludf.DUMMYFUNCTION("GOOGLETRANSLATE(E3628,""fr"",""it"")"),"Adoro i passeri più dei cani.")</f>
        <v>Adoro i passeri più dei cani.</v>
      </c>
    </row>
    <row r="3629">
      <c r="A3629" s="4">
        <v>3627.0</v>
      </c>
      <c r="B3629" s="5" t="s">
        <v>10888</v>
      </c>
      <c r="C3629" s="4">
        <v>1.0</v>
      </c>
      <c r="D3629" s="5" t="s">
        <v>10889</v>
      </c>
      <c r="E3629" s="5" t="s">
        <v>10890</v>
      </c>
      <c r="F3629" s="6" t="str">
        <f>IFERROR(__xludf.DUMMYFUNCTION("GOOGLETRANSLATE(D3629,""en"",""it"")"),"Mi piacciono i cani più dei passeri.")</f>
        <v>Mi piacciono i cani più dei passeri.</v>
      </c>
      <c r="G3629" s="6" t="str">
        <f>IFERROR(__xludf.DUMMYFUNCTION("GOOGLETRANSLATE(E3629,""fr"",""it"")"),"Mi piacciono i cani più dei passeri.")</f>
        <v>Mi piacciono i cani più dei passeri.</v>
      </c>
    </row>
    <row r="3630">
      <c r="A3630" s="4">
        <v>3628.0</v>
      </c>
      <c r="B3630" s="5" t="s">
        <v>10891</v>
      </c>
      <c r="C3630" s="4">
        <v>1.0</v>
      </c>
      <c r="D3630" s="5" t="s">
        <v>10892</v>
      </c>
      <c r="E3630" s="5" t="s">
        <v>10893</v>
      </c>
      <c r="F3630" s="6" t="str">
        <f>IFERROR(__xludf.DUMMYFUNCTION("GOOGLETRANSLATE(D3630,""en"",""it"")"),"Mi piace Harley-Davidson più delle navi.")</f>
        <v>Mi piace Harley-Davidson più delle navi.</v>
      </c>
      <c r="G3630" s="6" t="str">
        <f>IFERROR(__xludf.DUMMYFUNCTION("GOOGLETRANSLATE(E3630,""fr"",""it"")"),"Mi piace l'Harley-Davidson più delle navi.")</f>
        <v>Mi piace l'Harley-Davidson più delle navi.</v>
      </c>
    </row>
    <row r="3631">
      <c r="A3631" s="4">
        <v>3629.0</v>
      </c>
      <c r="B3631" s="5" t="s">
        <v>10894</v>
      </c>
      <c r="C3631" s="4">
        <v>1.0</v>
      </c>
      <c r="D3631" s="5" t="s">
        <v>10895</v>
      </c>
      <c r="E3631" s="5" t="s">
        <v>10896</v>
      </c>
      <c r="F3631" s="6" t="str">
        <f>IFERROR(__xludf.DUMMYFUNCTION("GOOGLETRANSLATE(D3631,""en"",""it"")"),"Mi piacciono le navi più di Harley-Davidson.")</f>
        <v>Mi piacciono le navi più di Harley-Davidson.</v>
      </c>
      <c r="G3631" s="6" t="str">
        <f>IFERROR(__xludf.DUMMYFUNCTION("GOOGLETRANSLATE(E3631,""fr"",""it"")"),"Mi piacciono le navi più dell'harley-Davidson.")</f>
        <v>Mi piacciono le navi più dell'harley-Davidson.</v>
      </c>
    </row>
    <row r="3632">
      <c r="A3632" s="4">
        <v>3630.0</v>
      </c>
      <c r="B3632" s="5" t="s">
        <v>10897</v>
      </c>
      <c r="C3632" s="4">
        <v>0.0</v>
      </c>
      <c r="D3632" s="5" t="s">
        <v>10898</v>
      </c>
      <c r="E3632" s="5" t="s">
        <v>10899</v>
      </c>
      <c r="F3632" s="6" t="str">
        <f>IFERROR(__xludf.DUMMYFUNCTION("GOOGLETRANSLATE(D3632,""en"",""it"")"),"Mi piace Harley-Davidson più che motocicli.")</f>
        <v>Mi piace Harley-Davidson più che motocicli.</v>
      </c>
      <c r="G3632" s="6" t="str">
        <f>IFERROR(__xludf.DUMMYFUNCTION("GOOGLETRANSLATE(E3632,""fr"",""it"")"),"Mi piace l'Harley-Davidson più che i motocicli.")</f>
        <v>Mi piace l'Harley-Davidson più che i motocicli.</v>
      </c>
    </row>
    <row r="3633">
      <c r="A3633" s="4">
        <v>3631.0</v>
      </c>
      <c r="B3633" s="5" t="s">
        <v>10900</v>
      </c>
      <c r="C3633" s="4">
        <v>0.0</v>
      </c>
      <c r="D3633" s="5" t="s">
        <v>10901</v>
      </c>
      <c r="E3633" s="5" t="s">
        <v>10902</v>
      </c>
      <c r="F3633" s="6" t="str">
        <f>IFERROR(__xludf.DUMMYFUNCTION("GOOGLETRANSLATE(D3633,""en"",""it"")"),"Mi piacciono i motocicli più di Harley-Davidson.")</f>
        <v>Mi piacciono i motocicli più di Harley-Davidson.</v>
      </c>
      <c r="G3633" s="6" t="str">
        <f>IFERROR(__xludf.DUMMYFUNCTION("GOOGLETRANSLATE(E3633,""fr"",""it"")"),"Mi piacciono i motocicli più della Harley-Davidson.")</f>
        <v>Mi piacciono i motocicli più della Harley-Davidson.</v>
      </c>
    </row>
    <row r="3634">
      <c r="A3634" s="4">
        <v>3632.0</v>
      </c>
      <c r="B3634" s="5" t="s">
        <v>10903</v>
      </c>
      <c r="C3634" s="4">
        <v>1.0</v>
      </c>
      <c r="D3634" s="5" t="s">
        <v>10904</v>
      </c>
      <c r="E3634" s="5" t="s">
        <v>10905</v>
      </c>
      <c r="F3634" s="6" t="str">
        <f>IFERROR(__xludf.DUMMYFUNCTION("GOOGLETRANSLATE(D3634,""en"",""it"")"),"Mi piacciono i motocicli più delle navi.")</f>
        <v>Mi piacciono i motocicli più delle navi.</v>
      </c>
      <c r="G3634" s="6" t="str">
        <f>IFERROR(__xludf.DUMMYFUNCTION("GOOGLETRANSLATE(E3634,""fr"",""it"")"),"Mi piacciono le motociclette più delle navi.")</f>
        <v>Mi piacciono le motociclette più delle navi.</v>
      </c>
    </row>
    <row r="3635">
      <c r="A3635" s="4">
        <v>3633.0</v>
      </c>
      <c r="B3635" s="5" t="s">
        <v>10906</v>
      </c>
      <c r="C3635" s="4">
        <v>1.0</v>
      </c>
      <c r="D3635" s="5" t="s">
        <v>10907</v>
      </c>
      <c r="E3635" s="5" t="s">
        <v>10908</v>
      </c>
      <c r="F3635" s="6" t="str">
        <f>IFERROR(__xludf.DUMMYFUNCTION("GOOGLETRANSLATE(D3635,""en"",""it"")"),"Mi piace Harley-Davidson più delle biciclette.")</f>
        <v>Mi piace Harley-Davidson più delle biciclette.</v>
      </c>
      <c r="G3635" s="6" t="str">
        <f>IFERROR(__xludf.DUMMYFUNCTION("GOOGLETRANSLATE(E3635,""fr"",""it"")"),"Mi piace l'Harley-Davidson più che le biciclette.")</f>
        <v>Mi piace l'Harley-Davidson più che le biciclette.</v>
      </c>
    </row>
    <row r="3636">
      <c r="A3636" s="4">
        <v>3634.0</v>
      </c>
      <c r="B3636" s="5" t="s">
        <v>10909</v>
      </c>
      <c r="C3636" s="4">
        <v>1.0</v>
      </c>
      <c r="D3636" s="5" t="s">
        <v>10910</v>
      </c>
      <c r="E3636" s="5" t="s">
        <v>10911</v>
      </c>
      <c r="F3636" s="6" t="str">
        <f>IFERROR(__xludf.DUMMYFUNCTION("GOOGLETRANSLATE(D3636,""en"",""it"")"),"Mi piacciono le biciclette più di Harley-Davidson.")</f>
        <v>Mi piacciono le biciclette più di Harley-Davidson.</v>
      </c>
      <c r="G3636" s="6" t="str">
        <f>IFERROR(__xludf.DUMMYFUNCTION("GOOGLETRANSLATE(E3636,""fr"",""it"")"),"Adoro le biciclette più dell'Harley-Davidson.")</f>
        <v>Adoro le biciclette più dell'Harley-Davidson.</v>
      </c>
    </row>
    <row r="3637">
      <c r="A3637" s="4">
        <v>3635.0</v>
      </c>
      <c r="B3637" s="5" t="s">
        <v>10912</v>
      </c>
      <c r="C3637" s="4">
        <v>1.0</v>
      </c>
      <c r="D3637" s="5" t="s">
        <v>10913</v>
      </c>
      <c r="E3637" s="5" t="s">
        <v>10914</v>
      </c>
      <c r="F3637" s="6" t="str">
        <f>IFERROR(__xludf.DUMMYFUNCTION("GOOGLETRANSLATE(D3637,""en"",""it"")"),"Mi piacciono i motocicli più delle biciclette.")</f>
        <v>Mi piacciono i motocicli più delle biciclette.</v>
      </c>
      <c r="G3637" s="6" t="str">
        <f>IFERROR(__xludf.DUMMYFUNCTION("GOOGLETRANSLATE(E3637,""fr"",""it"")"),"Mi piacciono i motocicli più delle biciclette.")</f>
        <v>Mi piacciono i motocicli più delle biciclette.</v>
      </c>
    </row>
    <row r="3638">
      <c r="A3638" s="4">
        <v>3636.0</v>
      </c>
      <c r="B3638" s="5" t="s">
        <v>10915</v>
      </c>
      <c r="C3638" s="4">
        <v>1.0</v>
      </c>
      <c r="D3638" s="5" t="s">
        <v>10916</v>
      </c>
      <c r="E3638" s="5" t="s">
        <v>10917</v>
      </c>
      <c r="F3638" s="6" t="str">
        <f>IFERROR(__xludf.DUMMYFUNCTION("GOOGLETRANSLATE(D3638,""en"",""it"")"),"Mi piace Harley-Davidson più dei treni.")</f>
        <v>Mi piace Harley-Davidson più dei treni.</v>
      </c>
      <c r="G3638" s="6" t="str">
        <f>IFERROR(__xludf.DUMMYFUNCTION("GOOGLETRANSLATE(E3638,""fr"",""it"")"),"Mi piace Harley-Davidson più dei treni.")</f>
        <v>Mi piace Harley-Davidson più dei treni.</v>
      </c>
    </row>
    <row r="3639">
      <c r="A3639" s="4">
        <v>3637.0</v>
      </c>
      <c r="B3639" s="5" t="s">
        <v>10918</v>
      </c>
      <c r="C3639" s="4">
        <v>1.0</v>
      </c>
      <c r="D3639" s="5" t="s">
        <v>10919</v>
      </c>
      <c r="E3639" s="5" t="s">
        <v>10920</v>
      </c>
      <c r="F3639" s="6" t="str">
        <f>IFERROR(__xludf.DUMMYFUNCTION("GOOGLETRANSLATE(D3639,""en"",""it"")"),"Mi piacciono i treni più di Harley-Davidson.")</f>
        <v>Mi piacciono i treni più di Harley-Davidson.</v>
      </c>
      <c r="G3639" s="6" t="str">
        <f>IFERROR(__xludf.DUMMYFUNCTION("GOOGLETRANSLATE(E3639,""fr"",""it"")"),"Mi piacciono i treni più dell'harley-Davidson.")</f>
        <v>Mi piacciono i treni più dell'harley-Davidson.</v>
      </c>
    </row>
    <row r="3640">
      <c r="A3640" s="4">
        <v>3638.0</v>
      </c>
      <c r="B3640" s="5" t="s">
        <v>10921</v>
      </c>
      <c r="C3640" s="4">
        <v>1.0</v>
      </c>
      <c r="D3640" s="5" t="s">
        <v>10922</v>
      </c>
      <c r="E3640" s="5" t="s">
        <v>10923</v>
      </c>
      <c r="F3640" s="6" t="str">
        <f>IFERROR(__xludf.DUMMYFUNCTION("GOOGLETRANSLATE(D3640,""en"",""it"")"),"Mi piacciono i motocicli più dei treni.")</f>
        <v>Mi piacciono i motocicli più dei treni.</v>
      </c>
      <c r="G3640" s="6" t="str">
        <f>IFERROR(__xludf.DUMMYFUNCTION("GOOGLETRANSLATE(E3640,""fr"",""it"")"),"Mi piacciono i motocicli più dei treni.")</f>
        <v>Mi piacciono i motocicli più dei treni.</v>
      </c>
    </row>
    <row r="3641">
      <c r="A3641" s="4">
        <v>3639.0</v>
      </c>
      <c r="B3641" s="5" t="s">
        <v>10924</v>
      </c>
      <c r="C3641" s="4">
        <v>1.0</v>
      </c>
      <c r="D3641" s="5" t="s">
        <v>10925</v>
      </c>
      <c r="E3641" s="5" t="s">
        <v>10926</v>
      </c>
      <c r="F3641" s="6" t="str">
        <f>IFERROR(__xludf.DUMMYFUNCTION("GOOGLETRANSLATE(D3641,""en"",""it"")"),"Mi piace Harley-Davidson più degli aeroplani.")</f>
        <v>Mi piace Harley-Davidson più degli aeroplani.</v>
      </c>
      <c r="G3641" s="6" t="str">
        <f>IFERROR(__xludf.DUMMYFUNCTION("GOOGLETRANSLATE(E3641,""fr"",""it"")"),"Mi piace l'Harley-Davidson più degli aerei.")</f>
        <v>Mi piace l'Harley-Davidson più degli aerei.</v>
      </c>
    </row>
    <row r="3642">
      <c r="A3642" s="4">
        <v>3640.0</v>
      </c>
      <c r="B3642" s="5" t="s">
        <v>10927</v>
      </c>
      <c r="C3642" s="4">
        <v>1.0</v>
      </c>
      <c r="D3642" s="5" t="s">
        <v>10928</v>
      </c>
      <c r="E3642" s="5" t="s">
        <v>10929</v>
      </c>
      <c r="F3642" s="6" t="str">
        <f>IFERROR(__xludf.DUMMYFUNCTION("GOOGLETRANSLATE(D3642,""en"",""it"")"),"Mi piacciono gli aerei più di Harley-Davidson.")</f>
        <v>Mi piacciono gli aerei più di Harley-Davidson.</v>
      </c>
      <c r="G3642" s="6" t="str">
        <f>IFERROR(__xludf.DUMMYFUNCTION("GOOGLETRANSLATE(E3642,""fr"",""it"")"),"Mi piacciono gli aerei più dell'harley-Davidson.")</f>
        <v>Mi piacciono gli aerei più dell'harley-Davidson.</v>
      </c>
    </row>
    <row r="3643">
      <c r="A3643" s="4">
        <v>3641.0</v>
      </c>
      <c r="B3643" s="5" t="s">
        <v>10930</v>
      </c>
      <c r="C3643" s="4">
        <v>1.0</v>
      </c>
      <c r="D3643" s="5" t="s">
        <v>10931</v>
      </c>
      <c r="E3643" s="5" t="s">
        <v>10932</v>
      </c>
      <c r="F3643" s="6" t="str">
        <f>IFERROR(__xludf.DUMMYFUNCTION("GOOGLETRANSLATE(D3643,""en"",""it"")"),"Mi piacciono i motocicli più degli aeroplani.")</f>
        <v>Mi piacciono i motocicli più degli aeroplani.</v>
      </c>
      <c r="G3643" s="6" t="str">
        <f>IFERROR(__xludf.DUMMYFUNCTION("GOOGLETRANSLATE(E3643,""fr"",""it"")"),"Adoro le motociclette più degli aerei.")</f>
        <v>Adoro le motociclette più degli aerei.</v>
      </c>
    </row>
    <row r="3644">
      <c r="A3644" s="4">
        <v>3642.0</v>
      </c>
      <c r="B3644" s="5" t="s">
        <v>10933</v>
      </c>
      <c r="C3644" s="4">
        <v>1.0</v>
      </c>
      <c r="D3644" s="5" t="s">
        <v>10934</v>
      </c>
      <c r="E3644" s="5" t="s">
        <v>10935</v>
      </c>
      <c r="F3644" s="6" t="str">
        <f>IFERROR(__xludf.DUMMYFUNCTION("GOOGLETRANSLATE(D3644,""en"",""it"")"),"Mi piace Suzukis più delle navi.")</f>
        <v>Mi piace Suzukis più delle navi.</v>
      </c>
      <c r="G3644" s="6" t="str">
        <f>IFERROR(__xludf.DUMMYFUNCTION("GOOGLETRANSLATE(E3644,""fr"",""it"")"),"Mi piace Suzukis più delle navi.")</f>
        <v>Mi piace Suzukis più delle navi.</v>
      </c>
    </row>
    <row r="3645">
      <c r="A3645" s="4">
        <v>3643.0</v>
      </c>
      <c r="B3645" s="5" t="s">
        <v>10936</v>
      </c>
      <c r="C3645" s="4">
        <v>1.0</v>
      </c>
      <c r="D3645" s="5" t="s">
        <v>10937</v>
      </c>
      <c r="E3645" s="5" t="s">
        <v>10938</v>
      </c>
      <c r="F3645" s="6" t="str">
        <f>IFERROR(__xludf.DUMMYFUNCTION("GOOGLETRANSLATE(D3645,""en"",""it"")"),"Mi piacciono le navi più di Suzukis.")</f>
        <v>Mi piacciono le navi più di Suzukis.</v>
      </c>
      <c r="G3645" s="6" t="str">
        <f>IFERROR(__xludf.DUMMYFUNCTION("GOOGLETRANSLATE(E3645,""fr"",""it"")"),"Mi piacciono le navi più del Suzukis.")</f>
        <v>Mi piacciono le navi più del Suzukis.</v>
      </c>
    </row>
    <row r="3646">
      <c r="A3646" s="4">
        <v>3644.0</v>
      </c>
      <c r="B3646" s="5" t="s">
        <v>10939</v>
      </c>
      <c r="C3646" s="4">
        <v>0.0</v>
      </c>
      <c r="D3646" s="5" t="s">
        <v>10940</v>
      </c>
      <c r="E3646" s="5" t="s">
        <v>10941</v>
      </c>
      <c r="F3646" s="6" t="str">
        <f>IFERROR(__xludf.DUMMYFUNCTION("GOOGLETRANSLATE(D3646,""en"",""it"")"),"Mi piace Suzukis più che motocicli.")</f>
        <v>Mi piace Suzukis più che motocicli.</v>
      </c>
      <c r="G3646" s="6" t="str">
        <f>IFERROR(__xludf.DUMMYFUNCTION("GOOGLETRANSLATE(E3646,""fr"",""it"")"),"Amo Suzukis più che motocicli.")</f>
        <v>Amo Suzukis più che motocicli.</v>
      </c>
    </row>
    <row r="3647">
      <c r="A3647" s="4">
        <v>3645.0</v>
      </c>
      <c r="B3647" s="5" t="s">
        <v>10942</v>
      </c>
      <c r="C3647" s="4">
        <v>0.0</v>
      </c>
      <c r="D3647" s="5" t="s">
        <v>10943</v>
      </c>
      <c r="E3647" s="5" t="s">
        <v>10944</v>
      </c>
      <c r="F3647" s="6" t="str">
        <f>IFERROR(__xludf.DUMMYFUNCTION("GOOGLETRANSLATE(D3647,""en"",""it"")"),"Mi piacciono i motocicli più di Suzukis.")</f>
        <v>Mi piacciono i motocicli più di Suzukis.</v>
      </c>
      <c r="G3647" s="6" t="str">
        <f>IFERROR(__xludf.DUMMYFUNCTION("GOOGLETRANSLATE(E3647,""fr"",""it"")"),"Amo le moto più di Suzukis.")</f>
        <v>Amo le moto più di Suzukis.</v>
      </c>
    </row>
    <row r="3648">
      <c r="A3648" s="4">
        <v>3646.0</v>
      </c>
      <c r="B3648" s="5" t="s">
        <v>10945</v>
      </c>
      <c r="C3648" s="4">
        <v>1.0</v>
      </c>
      <c r="D3648" s="5" t="s">
        <v>10946</v>
      </c>
      <c r="E3648" s="5" t="s">
        <v>10947</v>
      </c>
      <c r="F3648" s="6" t="str">
        <f>IFERROR(__xludf.DUMMYFUNCTION("GOOGLETRANSLATE(D3648,""en"",""it"")"),"Mi piace Suzukis più che biciclette.")</f>
        <v>Mi piace Suzukis più che biciclette.</v>
      </c>
      <c r="G3648" s="6" t="str">
        <f>IFERROR(__xludf.DUMMYFUNCTION("GOOGLETRANSLATE(E3648,""fr"",""it"")"),"Mi piace Suzukis più che biciclette.")</f>
        <v>Mi piace Suzukis più che biciclette.</v>
      </c>
    </row>
    <row r="3649">
      <c r="A3649" s="4">
        <v>3647.0</v>
      </c>
      <c r="B3649" s="5" t="s">
        <v>10948</v>
      </c>
      <c r="C3649" s="4">
        <v>1.0</v>
      </c>
      <c r="D3649" s="5" t="s">
        <v>10949</v>
      </c>
      <c r="E3649" s="5" t="s">
        <v>10950</v>
      </c>
      <c r="F3649" s="6" t="str">
        <f>IFERROR(__xludf.DUMMYFUNCTION("GOOGLETRANSLATE(D3649,""en"",""it"")"),"Mi piacciono le biciclette più di Suzukis.")</f>
        <v>Mi piacciono le biciclette più di Suzukis.</v>
      </c>
      <c r="G3649" s="6" t="str">
        <f>IFERROR(__xludf.DUMMYFUNCTION("GOOGLETRANSLATE(E3649,""fr"",""it"")"),"Mi piacciono le biciclette più del Suzukis.")</f>
        <v>Mi piacciono le biciclette più del Suzukis.</v>
      </c>
    </row>
    <row r="3650">
      <c r="A3650" s="4">
        <v>3648.0</v>
      </c>
      <c r="B3650" s="5" t="s">
        <v>10951</v>
      </c>
      <c r="C3650" s="4">
        <v>1.0</v>
      </c>
      <c r="D3650" s="5" t="s">
        <v>10952</v>
      </c>
      <c r="E3650" s="5" t="s">
        <v>10953</v>
      </c>
      <c r="F3650" s="6" t="str">
        <f>IFERROR(__xludf.DUMMYFUNCTION("GOOGLETRANSLATE(D3650,""en"",""it"")"),"Mi piace Suzukis più dei treni.")</f>
        <v>Mi piace Suzukis più dei treni.</v>
      </c>
      <c r="G3650" s="6" t="str">
        <f>IFERROR(__xludf.DUMMYFUNCTION("GOOGLETRANSLATE(E3650,""fr"",""it"")"),"Mi piace Suzukis più dei treni.")</f>
        <v>Mi piace Suzukis più dei treni.</v>
      </c>
    </row>
    <row r="3651">
      <c r="A3651" s="4">
        <v>3649.0</v>
      </c>
      <c r="B3651" s="5" t="s">
        <v>10954</v>
      </c>
      <c r="C3651" s="4">
        <v>1.0</v>
      </c>
      <c r="D3651" s="5" t="s">
        <v>10955</v>
      </c>
      <c r="E3651" s="5" t="s">
        <v>10956</v>
      </c>
      <c r="F3651" s="6" t="str">
        <f>IFERROR(__xludf.DUMMYFUNCTION("GOOGLETRANSLATE(D3651,""en"",""it"")"),"Mi piacciono i treni più di Suzukis.")</f>
        <v>Mi piacciono i treni più di Suzukis.</v>
      </c>
      <c r="G3651" s="6" t="str">
        <f>IFERROR(__xludf.DUMMYFUNCTION("GOOGLETRANSLATE(E3651,""fr"",""it"")"),"Mi piacciono i treni più di Suzukis.")</f>
        <v>Mi piacciono i treni più di Suzukis.</v>
      </c>
    </row>
    <row r="3652">
      <c r="A3652" s="4">
        <v>3650.0</v>
      </c>
      <c r="B3652" s="5" t="s">
        <v>10957</v>
      </c>
      <c r="C3652" s="4">
        <v>1.0</v>
      </c>
      <c r="D3652" s="5" t="s">
        <v>10958</v>
      </c>
      <c r="E3652" s="5" t="s">
        <v>10959</v>
      </c>
      <c r="F3652" s="6" t="str">
        <f>IFERROR(__xludf.DUMMYFUNCTION("GOOGLETRANSLATE(D3652,""en"",""it"")"),"Mi piace Suzukis più degli aeroplani.")</f>
        <v>Mi piace Suzukis più degli aeroplani.</v>
      </c>
      <c r="G3652" s="6" t="str">
        <f>IFERROR(__xludf.DUMMYFUNCTION("GOOGLETRANSLATE(E3652,""fr"",""it"")"),"Mi piace Suzukis più degli aerei.")</f>
        <v>Mi piace Suzukis più degli aerei.</v>
      </c>
    </row>
    <row r="3653">
      <c r="A3653" s="4">
        <v>3651.0</v>
      </c>
      <c r="B3653" s="5" t="s">
        <v>10960</v>
      </c>
      <c r="C3653" s="4">
        <v>1.0</v>
      </c>
      <c r="D3653" s="5" t="s">
        <v>10961</v>
      </c>
      <c r="E3653" s="5" t="s">
        <v>10962</v>
      </c>
      <c r="F3653" s="6" t="str">
        <f>IFERROR(__xludf.DUMMYFUNCTION("GOOGLETRANSLATE(D3653,""en"",""it"")"),"Mi piacciono gli aerei più di Suzukis.")</f>
        <v>Mi piacciono gli aerei più di Suzukis.</v>
      </c>
      <c r="G3653" s="6" t="str">
        <f>IFERROR(__xludf.DUMMYFUNCTION("GOOGLETRANSLATE(E3653,""fr"",""it"")"),"Mi piacciono gli aerei più del Suzukis.")</f>
        <v>Mi piacciono gli aerei più del Suzukis.</v>
      </c>
    </row>
    <row r="3654">
      <c r="A3654" s="4">
        <v>3652.0</v>
      </c>
      <c r="B3654" s="5" t="s">
        <v>10963</v>
      </c>
      <c r="C3654" s="4">
        <v>1.0</v>
      </c>
      <c r="D3654" s="5" t="s">
        <v>10964</v>
      </c>
      <c r="E3654" s="5" t="s">
        <v>10965</v>
      </c>
      <c r="F3654" s="6" t="str">
        <f>IFERROR(__xludf.DUMMYFUNCTION("GOOGLETRANSLATE(D3654,""en"",""it"")"),"Mi piace Enduros più delle navi.")</f>
        <v>Mi piace Enduros più delle navi.</v>
      </c>
      <c r="G3654" s="6" t="str">
        <f>IFERROR(__xludf.DUMMYFUNCTION("GOOGLETRANSLATE(E3654,""fr"",""it"")"),"Adoro Endurus più delle navi.")</f>
        <v>Adoro Endurus più delle navi.</v>
      </c>
    </row>
    <row r="3655">
      <c r="A3655" s="4">
        <v>3653.0</v>
      </c>
      <c r="B3655" s="5" t="s">
        <v>10966</v>
      </c>
      <c r="C3655" s="4">
        <v>1.0</v>
      </c>
      <c r="D3655" s="5" t="s">
        <v>10967</v>
      </c>
      <c r="E3655" s="5" t="s">
        <v>10968</v>
      </c>
      <c r="F3655" s="6" t="str">
        <f>IFERROR(__xludf.DUMMYFUNCTION("GOOGLETRANSLATE(D3655,""en"",""it"")"),"Mi piacciono le navi più che enduroso.")</f>
        <v>Mi piacciono le navi più che enduroso.</v>
      </c>
      <c r="G3655" s="6" t="str">
        <f>IFERROR(__xludf.DUMMYFUNCTION("GOOGLETRANSLATE(E3655,""fr"",""it"")"),"Mi piacciono i sonnellini più degli Enduros.")</f>
        <v>Mi piacciono i sonnellini più degli Enduros.</v>
      </c>
    </row>
    <row r="3656">
      <c r="A3656" s="4">
        <v>3654.0</v>
      </c>
      <c r="B3656" s="5" t="s">
        <v>10969</v>
      </c>
      <c r="C3656" s="4">
        <v>0.0</v>
      </c>
      <c r="D3656" s="5" t="s">
        <v>10970</v>
      </c>
      <c r="E3656" s="5" t="s">
        <v>10971</v>
      </c>
      <c r="F3656" s="6" t="str">
        <f>IFERROR(__xludf.DUMMYFUNCTION("GOOGLETRANSLATE(D3656,""en"",""it"")"),"Mi piacciono gli Enduros più delle motociclette.")</f>
        <v>Mi piacciono gli Enduros più delle motociclette.</v>
      </c>
      <c r="G3656" s="6" t="str">
        <f>IFERROR(__xludf.DUMMYFUNCTION("GOOGLETRANSLATE(E3656,""fr"",""it"")"),"Adoro Endurus più che motocicli.")</f>
        <v>Adoro Endurus più che motocicli.</v>
      </c>
    </row>
    <row r="3657">
      <c r="A3657" s="4">
        <v>3655.0</v>
      </c>
      <c r="B3657" s="5" t="s">
        <v>10972</v>
      </c>
      <c r="C3657" s="4">
        <v>0.0</v>
      </c>
      <c r="D3657" s="5" t="s">
        <v>10973</v>
      </c>
      <c r="E3657" s="5" t="s">
        <v>10974</v>
      </c>
      <c r="F3657" s="6" t="str">
        <f>IFERROR(__xludf.DUMMYFUNCTION("GOOGLETRANSLATE(D3657,""en"",""it"")"),"Mi piacciono i motocicli più di Endurus.")</f>
        <v>Mi piacciono i motocicli più di Endurus.</v>
      </c>
      <c r="G3657" s="6" t="str">
        <f>IFERROR(__xludf.DUMMYFUNCTION("GOOGLETRANSLATE(E3657,""fr"",""it"")"),"Mi piacciono i motocicli più degli enduroso.")</f>
        <v>Mi piacciono i motocicli più degli enduroso.</v>
      </c>
    </row>
    <row r="3658">
      <c r="A3658" s="4">
        <v>3656.0</v>
      </c>
      <c r="B3658" s="5" t="s">
        <v>10975</v>
      </c>
      <c r="C3658" s="4">
        <v>1.0</v>
      </c>
      <c r="D3658" s="5" t="s">
        <v>10976</v>
      </c>
      <c r="E3658" s="5" t="s">
        <v>10977</v>
      </c>
      <c r="F3658" s="6" t="str">
        <f>IFERROR(__xludf.DUMMYFUNCTION("GOOGLETRANSLATE(D3658,""en"",""it"")"),"Mi piacciono gli Enduros più delle biciclette.")</f>
        <v>Mi piacciono gli Enduros più delle biciclette.</v>
      </c>
      <c r="G3658" s="6" t="str">
        <f>IFERROR(__xludf.DUMMYFUNCTION("GOOGLETRANSLATE(E3658,""fr"",""it"")"),"Adoro Endurus più delle biciclette.")</f>
        <v>Adoro Endurus più delle biciclette.</v>
      </c>
    </row>
    <row r="3659">
      <c r="A3659" s="4">
        <v>3657.0</v>
      </c>
      <c r="B3659" s="5" t="s">
        <v>10978</v>
      </c>
      <c r="C3659" s="4">
        <v>1.0</v>
      </c>
      <c r="D3659" s="5" t="s">
        <v>10979</v>
      </c>
      <c r="E3659" s="5" t="s">
        <v>10980</v>
      </c>
      <c r="F3659" s="6" t="str">
        <f>IFERROR(__xludf.DUMMYFUNCTION("GOOGLETRANSLATE(D3659,""en"",""it"")"),"Mi piacciono le biciclette più di Endurus.")</f>
        <v>Mi piacciono le biciclette più di Endurus.</v>
      </c>
      <c r="G3659" s="6" t="str">
        <f>IFERROR(__xludf.DUMMYFUNCTION("GOOGLETRANSLATE(E3659,""fr"",""it"")"),"Amo le biciclette più degli Enduros.")</f>
        <v>Amo le biciclette più degli Enduros.</v>
      </c>
    </row>
    <row r="3660">
      <c r="A3660" s="4">
        <v>3658.0</v>
      </c>
      <c r="B3660" s="5" t="s">
        <v>10981</v>
      </c>
      <c r="C3660" s="4">
        <v>1.0</v>
      </c>
      <c r="D3660" s="5" t="s">
        <v>10982</v>
      </c>
      <c r="E3660" s="5" t="s">
        <v>10983</v>
      </c>
      <c r="F3660" s="6" t="str">
        <f>IFERROR(__xludf.DUMMYFUNCTION("GOOGLETRANSLATE(D3660,""en"",""it"")"),"Mi piacciono gli Enduros più dei treni.")</f>
        <v>Mi piacciono gli Enduros più dei treni.</v>
      </c>
      <c r="G3660" s="6" t="str">
        <f>IFERROR(__xludf.DUMMYFUNCTION("GOOGLETRANSLATE(E3660,""fr"",""it"")"),"Adoro Endurus più dei treni.")</f>
        <v>Adoro Endurus più dei treni.</v>
      </c>
    </row>
    <row r="3661">
      <c r="A3661" s="4">
        <v>3659.0</v>
      </c>
      <c r="B3661" s="5" t="s">
        <v>10984</v>
      </c>
      <c r="C3661" s="4">
        <v>1.0</v>
      </c>
      <c r="D3661" s="5" t="s">
        <v>10985</v>
      </c>
      <c r="E3661" s="5" t="s">
        <v>10986</v>
      </c>
      <c r="F3661" s="6" t="str">
        <f>IFERROR(__xludf.DUMMYFUNCTION("GOOGLETRANSLATE(D3661,""en"",""it"")"),"Mi piacciono i treni più di Endurus.")</f>
        <v>Mi piacciono i treni più di Endurus.</v>
      </c>
      <c r="G3661" s="6" t="str">
        <f>IFERROR(__xludf.DUMMYFUNCTION("GOOGLETRANSLATE(E3661,""fr"",""it"")"),"Mi piacciono i treni più degli Enduros.")</f>
        <v>Mi piacciono i treni più degli Enduros.</v>
      </c>
    </row>
    <row r="3662">
      <c r="A3662" s="4">
        <v>3660.0</v>
      </c>
      <c r="B3662" s="5" t="s">
        <v>10987</v>
      </c>
      <c r="C3662" s="4">
        <v>1.0</v>
      </c>
      <c r="D3662" s="5" t="s">
        <v>10988</v>
      </c>
      <c r="E3662" s="5" t="s">
        <v>10989</v>
      </c>
      <c r="F3662" s="6" t="str">
        <f>IFERROR(__xludf.DUMMYFUNCTION("GOOGLETRANSLATE(D3662,""en"",""it"")"),"Mi piace Enduros più degli aeroplani.")</f>
        <v>Mi piace Enduros più degli aeroplani.</v>
      </c>
      <c r="G3662" s="6" t="str">
        <f>IFERROR(__xludf.DUMMYFUNCTION("GOOGLETRANSLATE(E3662,""fr"",""it"")"),"Adoro Endurus più dei piani.")</f>
        <v>Adoro Endurus più dei piani.</v>
      </c>
    </row>
    <row r="3663">
      <c r="A3663" s="4">
        <v>3661.0</v>
      </c>
      <c r="B3663" s="5" t="s">
        <v>10990</v>
      </c>
      <c r="C3663" s="4">
        <v>1.0</v>
      </c>
      <c r="D3663" s="5" t="s">
        <v>10991</v>
      </c>
      <c r="E3663" s="5" t="s">
        <v>10992</v>
      </c>
      <c r="F3663" s="6" t="str">
        <f>IFERROR(__xludf.DUMMYFUNCTION("GOOGLETRANSLATE(D3663,""en"",""it"")"),"Mi piacciono gli aerei più di Endurus.")</f>
        <v>Mi piacciono gli aerei più di Endurus.</v>
      </c>
      <c r="G3663" s="6" t="str">
        <f>IFERROR(__xludf.DUMMYFUNCTION("GOOGLETRANSLATE(E3663,""fr"",""it"")"),"Mi piacciono gli aerei più degli Enduros.")</f>
        <v>Mi piacciono gli aerei più degli Enduros.</v>
      </c>
    </row>
    <row r="3664">
      <c r="A3664" s="4">
        <v>3662.0</v>
      </c>
      <c r="B3664" s="5" t="s">
        <v>10993</v>
      </c>
      <c r="C3664" s="4">
        <v>1.0</v>
      </c>
      <c r="D3664" s="5" t="s">
        <v>10994</v>
      </c>
      <c r="E3664" s="5" t="s">
        <v>10995</v>
      </c>
      <c r="F3664" s="6" t="str">
        <f>IFERROR(__xludf.DUMMYFUNCTION("GOOGLETRANSLATE(D3664,""en"",""it"")"),"Mi piacciono le kawasakis più delle navi.")</f>
        <v>Mi piacciono le kawasakis più delle navi.</v>
      </c>
      <c r="G3664" s="6" t="str">
        <f>IFERROR(__xludf.DUMMYFUNCTION("GOOGLETRANSLATE(E3664,""fr"",""it"")"),"Mi piace Kawasakis più delle navi.")</f>
        <v>Mi piace Kawasakis più delle navi.</v>
      </c>
    </row>
    <row r="3665">
      <c r="A3665" s="4">
        <v>3663.0</v>
      </c>
      <c r="B3665" s="5" t="s">
        <v>10996</v>
      </c>
      <c r="C3665" s="4">
        <v>1.0</v>
      </c>
      <c r="D3665" s="5" t="s">
        <v>10997</v>
      </c>
      <c r="E3665" s="5" t="s">
        <v>10998</v>
      </c>
      <c r="F3665" s="6" t="str">
        <f>IFERROR(__xludf.DUMMYFUNCTION("GOOGLETRANSLATE(D3665,""en"",""it"")"),"Mi piacciono le navi più di Kawasakis.")</f>
        <v>Mi piacciono le navi più di Kawasakis.</v>
      </c>
      <c r="G3665" s="6" t="str">
        <f>IFERROR(__xludf.DUMMYFUNCTION("GOOGLETRANSLATE(E3665,""fr"",""it"")"),"Mi piacciono le naphe più di Kawasakis.")</f>
        <v>Mi piacciono le naphe più di Kawasakis.</v>
      </c>
    </row>
    <row r="3666">
      <c r="A3666" s="4">
        <v>3664.0</v>
      </c>
      <c r="B3666" s="5" t="s">
        <v>10999</v>
      </c>
      <c r="C3666" s="4">
        <v>0.0</v>
      </c>
      <c r="D3666" s="5" t="s">
        <v>11000</v>
      </c>
      <c r="E3666" s="5" t="s">
        <v>11001</v>
      </c>
      <c r="F3666" s="6" t="str">
        <f>IFERROR(__xludf.DUMMYFUNCTION("GOOGLETRANSLATE(D3666,""en"",""it"")"),"Mi piace Kawasakis più che motocicli.")</f>
        <v>Mi piace Kawasakis più che motocicli.</v>
      </c>
      <c r="G3666" s="6" t="str">
        <f>IFERROR(__xludf.DUMMYFUNCTION("GOOGLETRANSLATE(E3666,""fr"",""it"")"),"Amo Kawasakis più che motocicli.")</f>
        <v>Amo Kawasakis più che motocicli.</v>
      </c>
    </row>
    <row r="3667">
      <c r="A3667" s="4">
        <v>3665.0</v>
      </c>
      <c r="B3667" s="5" t="s">
        <v>11002</v>
      </c>
      <c r="C3667" s="4">
        <v>0.0</v>
      </c>
      <c r="D3667" s="5" t="s">
        <v>11003</v>
      </c>
      <c r="E3667" s="5" t="s">
        <v>11004</v>
      </c>
      <c r="F3667" s="6" t="str">
        <f>IFERROR(__xludf.DUMMYFUNCTION("GOOGLETRANSLATE(D3667,""en"",""it"")"),"Mi piacciono i motocicli più di Kawasakis.")</f>
        <v>Mi piacciono i motocicli più di Kawasakis.</v>
      </c>
      <c r="G3667" s="6" t="str">
        <f>IFERROR(__xludf.DUMMYFUNCTION("GOOGLETRANSLATE(E3667,""fr"",""it"")"),"Mi piacciono i motocicli più di Kawasakis.")</f>
        <v>Mi piacciono i motocicli più di Kawasakis.</v>
      </c>
    </row>
    <row r="3668">
      <c r="A3668" s="4">
        <v>3666.0</v>
      </c>
      <c r="B3668" s="5" t="s">
        <v>11005</v>
      </c>
      <c r="C3668" s="4">
        <v>1.0</v>
      </c>
      <c r="D3668" s="5" t="s">
        <v>11006</v>
      </c>
      <c r="E3668" s="5" t="s">
        <v>11007</v>
      </c>
      <c r="F3668" s="6" t="str">
        <f>IFERROR(__xludf.DUMMYFUNCTION("GOOGLETRANSLATE(D3668,""en"",""it"")"),"Mi piace Kawasakis più che biciclette.")</f>
        <v>Mi piace Kawasakis più che biciclette.</v>
      </c>
      <c r="G3668" s="6" t="str">
        <f>IFERROR(__xludf.DUMMYFUNCTION("GOOGLETRANSLATE(E3668,""fr"",""it"")"),"Amo Kawasakis più delle biciclette.")</f>
        <v>Amo Kawasakis più delle biciclette.</v>
      </c>
    </row>
    <row r="3669">
      <c r="A3669" s="4">
        <v>3667.0</v>
      </c>
      <c r="B3669" s="5" t="s">
        <v>11008</v>
      </c>
      <c r="C3669" s="4">
        <v>1.0</v>
      </c>
      <c r="D3669" s="5" t="s">
        <v>11009</v>
      </c>
      <c r="E3669" s="5" t="s">
        <v>11010</v>
      </c>
      <c r="F3669" s="6" t="str">
        <f>IFERROR(__xludf.DUMMYFUNCTION("GOOGLETRANSLATE(D3669,""en"",""it"")"),"Mi piacciono le biciclette più di Kawasakis.")</f>
        <v>Mi piacciono le biciclette più di Kawasakis.</v>
      </c>
      <c r="G3669" s="6" t="str">
        <f>IFERROR(__xludf.DUMMYFUNCTION("GOOGLETRANSLATE(E3669,""fr"",""it"")"),"Mi piacciono le biciclette più di Kawasakis.")</f>
        <v>Mi piacciono le biciclette più di Kawasakis.</v>
      </c>
    </row>
    <row r="3670">
      <c r="A3670" s="4">
        <v>3668.0</v>
      </c>
      <c r="B3670" s="5" t="s">
        <v>11011</v>
      </c>
      <c r="C3670" s="4">
        <v>1.0</v>
      </c>
      <c r="D3670" s="5" t="s">
        <v>11012</v>
      </c>
      <c r="E3670" s="5" t="s">
        <v>11013</v>
      </c>
      <c r="F3670" s="6" t="str">
        <f>IFERROR(__xludf.DUMMYFUNCTION("GOOGLETRANSLATE(D3670,""en"",""it"")"),"Mi piacciono i kawasakis più dei treni.")</f>
        <v>Mi piacciono i kawasakis più dei treni.</v>
      </c>
      <c r="G3670" s="6" t="str">
        <f>IFERROR(__xludf.DUMMYFUNCTION("GOOGLETRANSLATE(E3670,""fr"",""it"")"),"Mi piacciono i kawasakis più dei treni.")</f>
        <v>Mi piacciono i kawasakis più dei treni.</v>
      </c>
    </row>
    <row r="3671">
      <c r="A3671" s="4">
        <v>3669.0</v>
      </c>
      <c r="B3671" s="5" t="s">
        <v>11014</v>
      </c>
      <c r="C3671" s="4">
        <v>1.0</v>
      </c>
      <c r="D3671" s="5" t="s">
        <v>11015</v>
      </c>
      <c r="E3671" s="5" t="s">
        <v>11016</v>
      </c>
      <c r="F3671" s="6" t="str">
        <f>IFERROR(__xludf.DUMMYFUNCTION("GOOGLETRANSLATE(D3671,""en"",""it"")"),"Mi piacciono i treni più di Kawasakis.")</f>
        <v>Mi piacciono i treni più di Kawasakis.</v>
      </c>
      <c r="G3671" s="6" t="str">
        <f>IFERROR(__xludf.DUMMYFUNCTION("GOOGLETRANSLATE(E3671,""fr"",""it"")"),"Mi piacciono i treni più di Kawasakis.")</f>
        <v>Mi piacciono i treni più di Kawasakis.</v>
      </c>
    </row>
    <row r="3672">
      <c r="A3672" s="4">
        <v>3670.0</v>
      </c>
      <c r="B3672" s="5" t="s">
        <v>11017</v>
      </c>
      <c r="C3672" s="4">
        <v>1.0</v>
      </c>
      <c r="D3672" s="5" t="s">
        <v>11018</v>
      </c>
      <c r="E3672" s="5" t="s">
        <v>11019</v>
      </c>
      <c r="F3672" s="6" t="str">
        <f>IFERROR(__xludf.DUMMYFUNCTION("GOOGLETRANSLATE(D3672,""en"",""it"")"),"Mi piace Kawasakis più degli aeroplani.")</f>
        <v>Mi piace Kawasakis più degli aeroplani.</v>
      </c>
      <c r="G3672" s="6" t="str">
        <f>IFERROR(__xludf.DUMMYFUNCTION("GOOGLETRANSLATE(E3672,""fr"",""it"")"),"Mi piace Kawasakis più degli aerei.")</f>
        <v>Mi piace Kawasakis più degli aerei.</v>
      </c>
    </row>
    <row r="3673">
      <c r="A3673" s="4">
        <v>3671.0</v>
      </c>
      <c r="B3673" s="5" t="s">
        <v>11020</v>
      </c>
      <c r="C3673" s="4">
        <v>1.0</v>
      </c>
      <c r="D3673" s="5" t="s">
        <v>11021</v>
      </c>
      <c r="E3673" s="5" t="s">
        <v>11022</v>
      </c>
      <c r="F3673" s="6" t="str">
        <f>IFERROR(__xludf.DUMMYFUNCTION("GOOGLETRANSLATE(D3673,""en"",""it"")"),"Mi piacciono gli aerei più di Kawasakis.")</f>
        <v>Mi piacciono gli aerei più di Kawasakis.</v>
      </c>
      <c r="G3673" s="6" t="str">
        <f>IFERROR(__xludf.DUMMYFUNCTION("GOOGLETRANSLATE(E3673,""fr"",""it"")"),"Mi piacciono gli aerei più di Kawasakis.")</f>
        <v>Mi piacciono gli aerei più di Kawasakis.</v>
      </c>
    </row>
    <row r="3674">
      <c r="A3674" s="4">
        <v>3672.0</v>
      </c>
      <c r="B3674" s="5" t="s">
        <v>11023</v>
      </c>
      <c r="C3674" s="4">
        <v>1.0</v>
      </c>
      <c r="D3674" s="5" t="s">
        <v>11024</v>
      </c>
      <c r="E3674" s="5" t="s">
        <v>11025</v>
      </c>
      <c r="F3674" s="6" t="str">
        <f>IFERROR(__xludf.DUMMYFUNCTION("GOOGLETRANSLATE(D3674,""en"",""it"")"),"Mi piacciono le camicie più degli animali domestici.")</f>
        <v>Mi piacciono le camicie più degli animali domestici.</v>
      </c>
      <c r="G3674" s="6" t="str">
        <f>IFERROR(__xludf.DUMMYFUNCTION("GOOGLETRANSLATE(E3674,""fr"",""it"")"),"Mi piacciono le camicie più degli animali domestici.")</f>
        <v>Mi piacciono le camicie più degli animali domestici.</v>
      </c>
    </row>
    <row r="3675">
      <c r="A3675" s="4">
        <v>3673.0</v>
      </c>
      <c r="B3675" s="5" t="s">
        <v>11026</v>
      </c>
      <c r="C3675" s="4">
        <v>1.0</v>
      </c>
      <c r="D3675" s="5" t="s">
        <v>11027</v>
      </c>
      <c r="E3675" s="5" t="s">
        <v>11028</v>
      </c>
      <c r="F3675" s="6" t="str">
        <f>IFERROR(__xludf.DUMMYFUNCTION("GOOGLETRANSLATE(D3675,""en"",""it"")"),"Mi piacciono gli animali domestici più delle camicie.")</f>
        <v>Mi piacciono gli animali domestici più delle camicie.</v>
      </c>
      <c r="G3675" s="6" t="str">
        <f>IFERROR(__xludf.DUMMYFUNCTION("GOOGLETRANSLATE(E3675,""fr"",""it"")"),"Amo gli animali domestici più delle camicie.")</f>
        <v>Amo gli animali domestici più delle camicie.</v>
      </c>
    </row>
    <row r="3676">
      <c r="A3676" s="4">
        <v>3674.0</v>
      </c>
      <c r="B3676" s="5" t="s">
        <v>11029</v>
      </c>
      <c r="C3676" s="4">
        <v>0.0</v>
      </c>
      <c r="D3676" s="5" t="s">
        <v>11030</v>
      </c>
      <c r="E3676" s="5" t="s">
        <v>11031</v>
      </c>
      <c r="F3676" s="6" t="str">
        <f>IFERROR(__xludf.DUMMYFUNCTION("GOOGLETRANSLATE(D3676,""en"",""it"")"),"Mi piacciono le camicie più dei vestiti.")</f>
        <v>Mi piacciono le camicie più dei vestiti.</v>
      </c>
      <c r="G3676" s="6" t="str">
        <f>IFERROR(__xludf.DUMMYFUNCTION("GOOGLETRANSLATE(E3676,""fr"",""it"")"),"Mi piacciono le camicie più dei vestiti.")</f>
        <v>Mi piacciono le camicie più dei vestiti.</v>
      </c>
    </row>
    <row r="3677">
      <c r="A3677" s="4">
        <v>3675.0</v>
      </c>
      <c r="B3677" s="5" t="s">
        <v>11032</v>
      </c>
      <c r="C3677" s="4">
        <v>0.0</v>
      </c>
      <c r="D3677" s="5" t="s">
        <v>11033</v>
      </c>
      <c r="E3677" s="5" t="s">
        <v>11034</v>
      </c>
      <c r="F3677" s="6" t="str">
        <f>IFERROR(__xludf.DUMMYFUNCTION("GOOGLETRANSLATE(D3677,""en"",""it"")"),"Mi piacciono i vestiti più delle camicie.")</f>
        <v>Mi piacciono i vestiti più delle camicie.</v>
      </c>
      <c r="G3677" s="6" t="str">
        <f>IFERROR(__xludf.DUMMYFUNCTION("GOOGLETRANSLATE(E3677,""fr"",""it"")"),"Mi piacciono i vestiti più delle camicie.")</f>
        <v>Mi piacciono i vestiti più delle camicie.</v>
      </c>
    </row>
    <row r="3678">
      <c r="A3678" s="4">
        <v>3676.0</v>
      </c>
      <c r="B3678" s="5" t="s">
        <v>11035</v>
      </c>
      <c r="C3678" s="4">
        <v>1.0</v>
      </c>
      <c r="D3678" s="5" t="s">
        <v>11036</v>
      </c>
      <c r="E3678" s="5" t="s">
        <v>11037</v>
      </c>
      <c r="F3678" s="6" t="str">
        <f>IFERROR(__xludf.DUMMYFUNCTION("GOOGLETRANSLATE(D3678,""en"",""it"")"),"Mi piacciono i vestiti più di animali domestici.")</f>
        <v>Mi piacciono i vestiti più di animali domestici.</v>
      </c>
      <c r="G3678" s="6" t="str">
        <f>IFERROR(__xludf.DUMMYFUNCTION("GOOGLETRANSLATE(E3678,""fr"",""it"")"),"Mi piacciono i vestiti più di animali domestici.")</f>
        <v>Mi piacciono i vestiti più di animali domestici.</v>
      </c>
    </row>
    <row r="3679">
      <c r="A3679" s="4">
        <v>3677.0</v>
      </c>
      <c r="B3679" s="5" t="s">
        <v>11038</v>
      </c>
      <c r="C3679" s="4">
        <v>1.0</v>
      </c>
      <c r="D3679" s="5" t="s">
        <v>11039</v>
      </c>
      <c r="E3679" s="5" t="s">
        <v>11040</v>
      </c>
      <c r="F3679" s="6" t="str">
        <f>IFERROR(__xludf.DUMMYFUNCTION("GOOGLETRANSLATE(D3679,""en"",""it"")"),"Mi piacciono le camicie più dei gioielli.")</f>
        <v>Mi piacciono le camicie più dei gioielli.</v>
      </c>
      <c r="G3679" s="6" t="str">
        <f>IFERROR(__xludf.DUMMYFUNCTION("GOOGLETRANSLATE(E3679,""fr"",""it"")"),"Mi piacciono le camicie più dei gioielli.")</f>
        <v>Mi piacciono le camicie più dei gioielli.</v>
      </c>
    </row>
    <row r="3680">
      <c r="A3680" s="4">
        <v>3678.0</v>
      </c>
      <c r="B3680" s="5" t="s">
        <v>11041</v>
      </c>
      <c r="C3680" s="4">
        <v>1.0</v>
      </c>
      <c r="D3680" s="5" t="s">
        <v>11042</v>
      </c>
      <c r="E3680" s="5" t="s">
        <v>11043</v>
      </c>
      <c r="F3680" s="6" t="str">
        <f>IFERROR(__xludf.DUMMYFUNCTION("GOOGLETRANSLATE(D3680,""en"",""it"")"),"Mi piacciono i gioielli più delle camicie.")</f>
        <v>Mi piacciono i gioielli più delle camicie.</v>
      </c>
      <c r="G3680" s="6" t="str">
        <f>IFERROR(__xludf.DUMMYFUNCTION("GOOGLETRANSLATE(E3680,""fr"",""it"")"),"Mi piacciono i gioielli più delle camicie.")</f>
        <v>Mi piacciono i gioielli più delle camicie.</v>
      </c>
    </row>
    <row r="3681">
      <c r="A3681" s="4">
        <v>3679.0</v>
      </c>
      <c r="B3681" s="5" t="s">
        <v>11044</v>
      </c>
      <c r="C3681" s="4">
        <v>1.0</v>
      </c>
      <c r="D3681" s="5" t="s">
        <v>11045</v>
      </c>
      <c r="E3681" s="5" t="s">
        <v>11046</v>
      </c>
      <c r="F3681" s="6" t="str">
        <f>IFERROR(__xludf.DUMMYFUNCTION("GOOGLETRANSLATE(D3681,""en"",""it"")"),"Mi piacciono i vestiti più dei gioielli.")</f>
        <v>Mi piacciono i vestiti più dei gioielli.</v>
      </c>
      <c r="G3681" s="6" t="str">
        <f>IFERROR(__xludf.DUMMYFUNCTION("GOOGLETRANSLATE(E3681,""fr"",""it"")"),"Mi piacciono i vestiti più dei gioielli.")</f>
        <v>Mi piacciono i vestiti più dei gioielli.</v>
      </c>
    </row>
    <row r="3682">
      <c r="A3682" s="4">
        <v>3680.0</v>
      </c>
      <c r="B3682" s="5" t="s">
        <v>11047</v>
      </c>
      <c r="C3682" s="4">
        <v>1.0</v>
      </c>
      <c r="D3682" s="5" t="s">
        <v>11048</v>
      </c>
      <c r="E3682" s="5" t="s">
        <v>11049</v>
      </c>
      <c r="F3682" s="6" t="str">
        <f>IFERROR(__xludf.DUMMYFUNCTION("GOOGLETRANSLATE(D3682,""en"",""it"")"),"Mi piacciono le camicie più degli occhiali.")</f>
        <v>Mi piacciono le camicie più degli occhiali.</v>
      </c>
      <c r="G3682" s="6" t="str">
        <f>IFERROR(__xludf.DUMMYFUNCTION("GOOGLETRANSLATE(E3682,""fr"",""it"")"),"Mi piacciono le camicie più degli occhiali.")</f>
        <v>Mi piacciono le camicie più degli occhiali.</v>
      </c>
    </row>
    <row r="3683">
      <c r="A3683" s="4">
        <v>3681.0</v>
      </c>
      <c r="B3683" s="5" t="s">
        <v>11050</v>
      </c>
      <c r="C3683" s="4">
        <v>1.0</v>
      </c>
      <c r="D3683" s="5" t="s">
        <v>11051</v>
      </c>
      <c r="E3683" s="5" t="s">
        <v>11052</v>
      </c>
      <c r="F3683" s="6" t="str">
        <f>IFERROR(__xludf.DUMMYFUNCTION("GOOGLETRANSLATE(D3683,""en"",""it"")"),"Mi piacciono gli occhiali più delle camicie.")</f>
        <v>Mi piacciono gli occhiali più delle camicie.</v>
      </c>
      <c r="G3683" s="6" t="str">
        <f>IFERROR(__xludf.DUMMYFUNCTION("GOOGLETRANSLATE(E3683,""fr"",""it"")"),"Amo gli occhiali più delle camicie.")</f>
        <v>Amo gli occhiali più delle camicie.</v>
      </c>
    </row>
    <row r="3684">
      <c r="A3684" s="4">
        <v>3682.0</v>
      </c>
      <c r="B3684" s="5" t="s">
        <v>11053</v>
      </c>
      <c r="C3684" s="4">
        <v>1.0</v>
      </c>
      <c r="D3684" s="5" t="s">
        <v>11054</v>
      </c>
      <c r="E3684" s="5" t="s">
        <v>11055</v>
      </c>
      <c r="F3684" s="6" t="str">
        <f>IFERROR(__xludf.DUMMYFUNCTION("GOOGLETRANSLATE(D3684,""en"",""it"")"),"Mi piacciono i vestiti più che gli occhiali.")</f>
        <v>Mi piacciono i vestiti più che gli occhiali.</v>
      </c>
      <c r="G3684" s="6" t="str">
        <f>IFERROR(__xludf.DUMMYFUNCTION("GOOGLETRANSLATE(E3684,""fr"",""it"")"),"Mi piacciono i vestiti più che gli occhiali.")</f>
        <v>Mi piacciono i vestiti più che gli occhiali.</v>
      </c>
    </row>
    <row r="3685">
      <c r="A3685" s="4">
        <v>3683.0</v>
      </c>
      <c r="B3685" s="5" t="s">
        <v>11056</v>
      </c>
      <c r="C3685" s="4">
        <v>1.0</v>
      </c>
      <c r="D3685" s="5" t="s">
        <v>11057</v>
      </c>
      <c r="E3685" s="5" t="s">
        <v>11058</v>
      </c>
      <c r="F3685" s="6" t="str">
        <f>IFERROR(__xludf.DUMMYFUNCTION("GOOGLETRANSLATE(D3685,""en"",""it"")"),"Mi piacciono le camicie più degli orecchini.")</f>
        <v>Mi piacciono le camicie più degli orecchini.</v>
      </c>
      <c r="G3685" s="6" t="str">
        <f>IFERROR(__xludf.DUMMYFUNCTION("GOOGLETRANSLATE(E3685,""fr"",""it"")"),"Mi piacciono le camicie più degli orecchini.")</f>
        <v>Mi piacciono le camicie più degli orecchini.</v>
      </c>
    </row>
    <row r="3686">
      <c r="A3686" s="4">
        <v>3684.0</v>
      </c>
      <c r="B3686" s="5" t="s">
        <v>11059</v>
      </c>
      <c r="C3686" s="4">
        <v>1.0</v>
      </c>
      <c r="D3686" s="5" t="s">
        <v>11060</v>
      </c>
      <c r="E3686" s="5" t="s">
        <v>11061</v>
      </c>
      <c r="F3686" s="6" t="str">
        <f>IFERROR(__xludf.DUMMYFUNCTION("GOOGLETRANSLATE(D3686,""en"",""it"")"),"Mi piacciono gli orecchini più delle camicie.")</f>
        <v>Mi piacciono gli orecchini più delle camicie.</v>
      </c>
      <c r="G3686" s="6" t="str">
        <f>IFERROR(__xludf.DUMMYFUNCTION("GOOGLETRANSLATE(E3686,""fr"",""it"")"),"Mi piacciono gli orecchini più delle camicie.")</f>
        <v>Mi piacciono gli orecchini più delle camicie.</v>
      </c>
    </row>
    <row r="3687">
      <c r="A3687" s="4">
        <v>3685.0</v>
      </c>
      <c r="B3687" s="5" t="s">
        <v>11062</v>
      </c>
      <c r="C3687" s="4">
        <v>1.0</v>
      </c>
      <c r="D3687" s="5" t="s">
        <v>11063</v>
      </c>
      <c r="E3687" s="5" t="s">
        <v>11064</v>
      </c>
      <c r="F3687" s="6" t="str">
        <f>IFERROR(__xludf.DUMMYFUNCTION("GOOGLETRANSLATE(D3687,""en"",""it"")"),"Mi piacciono i vestiti più degli orecchini.")</f>
        <v>Mi piacciono i vestiti più degli orecchini.</v>
      </c>
      <c r="G3687" s="6" t="str">
        <f>IFERROR(__xludf.DUMMYFUNCTION("GOOGLETRANSLATE(E3687,""fr"",""it"")"),"Mi piacciono i vestiti più degli orecchini.")</f>
        <v>Mi piacciono i vestiti più degli orecchini.</v>
      </c>
    </row>
    <row r="3688">
      <c r="A3688" s="4">
        <v>3686.0</v>
      </c>
      <c r="B3688" s="5" t="s">
        <v>11065</v>
      </c>
      <c r="C3688" s="4">
        <v>1.0</v>
      </c>
      <c r="D3688" s="5" t="s">
        <v>11066</v>
      </c>
      <c r="E3688" s="5" t="s">
        <v>11067</v>
      </c>
      <c r="F3688" s="6" t="str">
        <f>IFERROR(__xludf.DUMMYFUNCTION("GOOGLETRANSLATE(D3688,""en"",""it"")"),"Mi piacciono i pantaloni più di animali domestici.")</f>
        <v>Mi piacciono i pantaloni più di animali domestici.</v>
      </c>
      <c r="G3688" s="6" t="str">
        <f>IFERROR(__xludf.DUMMYFUNCTION("GOOGLETRANSLATE(E3688,""fr"",""it"")"),"Mi piacciono i pantaloni più di animali domestici.")</f>
        <v>Mi piacciono i pantaloni più di animali domestici.</v>
      </c>
    </row>
    <row r="3689">
      <c r="A3689" s="4">
        <v>3687.0</v>
      </c>
      <c r="B3689" s="5" t="s">
        <v>11068</v>
      </c>
      <c r="C3689" s="4">
        <v>1.0</v>
      </c>
      <c r="D3689" s="5" t="s">
        <v>11069</v>
      </c>
      <c r="E3689" s="5" t="s">
        <v>11070</v>
      </c>
      <c r="F3689" s="6" t="str">
        <f>IFERROR(__xludf.DUMMYFUNCTION("GOOGLETRANSLATE(D3689,""en"",""it"")"),"Mi piacciono gli animali domestici più dei pantaloni.")</f>
        <v>Mi piacciono gli animali domestici più dei pantaloni.</v>
      </c>
      <c r="G3689" s="6" t="str">
        <f>IFERROR(__xludf.DUMMYFUNCTION("GOOGLETRANSLATE(E3689,""fr"",""it"")"),"Mi piacciono gli animali domestici più dei pantaloni.")</f>
        <v>Mi piacciono gli animali domestici più dei pantaloni.</v>
      </c>
    </row>
    <row r="3690">
      <c r="A3690" s="4">
        <v>3688.0</v>
      </c>
      <c r="B3690" s="5" t="s">
        <v>11071</v>
      </c>
      <c r="C3690" s="4">
        <v>0.0</v>
      </c>
      <c r="D3690" s="5" t="s">
        <v>11072</v>
      </c>
      <c r="E3690" s="5" t="s">
        <v>11073</v>
      </c>
      <c r="F3690" s="6" t="str">
        <f>IFERROR(__xludf.DUMMYFUNCTION("GOOGLETRANSLATE(D3690,""en"",""it"")"),"Mi piacciono i pantaloni più dei vestiti.")</f>
        <v>Mi piacciono i pantaloni più dei vestiti.</v>
      </c>
      <c r="G3690" s="6" t="str">
        <f>IFERROR(__xludf.DUMMYFUNCTION("GOOGLETRANSLATE(E3690,""fr"",""it"")"),"Mi piacciono i pantaloni più dei vestiti.")</f>
        <v>Mi piacciono i pantaloni più dei vestiti.</v>
      </c>
    </row>
    <row r="3691">
      <c r="A3691" s="4">
        <v>3689.0</v>
      </c>
      <c r="B3691" s="5" t="s">
        <v>11074</v>
      </c>
      <c r="C3691" s="4">
        <v>0.0</v>
      </c>
      <c r="D3691" s="5" t="s">
        <v>11075</v>
      </c>
      <c r="E3691" s="5" t="s">
        <v>11076</v>
      </c>
      <c r="F3691" s="6" t="str">
        <f>IFERROR(__xludf.DUMMYFUNCTION("GOOGLETRANSLATE(D3691,""en"",""it"")"),"Mi piacciono i vestiti più dei pantaloni.")</f>
        <v>Mi piacciono i vestiti più dei pantaloni.</v>
      </c>
      <c r="G3691" s="6" t="str">
        <f>IFERROR(__xludf.DUMMYFUNCTION("GOOGLETRANSLATE(E3691,""fr"",""it"")"),"Mi piacciono i vestiti più dei pantaloni.")</f>
        <v>Mi piacciono i vestiti più dei pantaloni.</v>
      </c>
    </row>
    <row r="3692">
      <c r="A3692" s="4">
        <v>3690.0</v>
      </c>
      <c r="B3692" s="5" t="s">
        <v>11077</v>
      </c>
      <c r="C3692" s="4">
        <v>1.0</v>
      </c>
      <c r="D3692" s="5" t="s">
        <v>11078</v>
      </c>
      <c r="E3692" s="5" t="s">
        <v>11079</v>
      </c>
      <c r="F3692" s="6" t="str">
        <f>IFERROR(__xludf.DUMMYFUNCTION("GOOGLETRANSLATE(D3692,""en"",""it"")"),"Mi piacciono i pantaloni più dei gioielli.")</f>
        <v>Mi piacciono i pantaloni più dei gioielli.</v>
      </c>
      <c r="G3692" s="6" t="str">
        <f>IFERROR(__xludf.DUMMYFUNCTION("GOOGLETRANSLATE(E3692,""fr"",""it"")"),"Mi piacciono i pantaloni più dei gioielli.")</f>
        <v>Mi piacciono i pantaloni più dei gioielli.</v>
      </c>
    </row>
    <row r="3693">
      <c r="A3693" s="4">
        <v>3691.0</v>
      </c>
      <c r="B3693" s="5" t="s">
        <v>11080</v>
      </c>
      <c r="C3693" s="4">
        <v>1.0</v>
      </c>
      <c r="D3693" s="5" t="s">
        <v>11081</v>
      </c>
      <c r="E3693" s="5" t="s">
        <v>11082</v>
      </c>
      <c r="F3693" s="6" t="str">
        <f>IFERROR(__xludf.DUMMYFUNCTION("GOOGLETRANSLATE(D3693,""en"",""it"")"),"Mi piacciono i gioielli più dei pantaloni.")</f>
        <v>Mi piacciono i gioielli più dei pantaloni.</v>
      </c>
      <c r="G3693" s="6" t="str">
        <f>IFERROR(__xludf.DUMMYFUNCTION("GOOGLETRANSLATE(E3693,""fr"",""it"")"),"Mi piacciono i gioielli più dei pantaloni.")</f>
        <v>Mi piacciono i gioielli più dei pantaloni.</v>
      </c>
    </row>
    <row r="3694">
      <c r="A3694" s="4">
        <v>3692.0</v>
      </c>
      <c r="B3694" s="5" t="s">
        <v>11083</v>
      </c>
      <c r="C3694" s="4">
        <v>1.0</v>
      </c>
      <c r="D3694" s="5" t="s">
        <v>11084</v>
      </c>
      <c r="E3694" s="5" t="s">
        <v>11085</v>
      </c>
      <c r="F3694" s="6" t="str">
        <f>IFERROR(__xludf.DUMMYFUNCTION("GOOGLETRANSLATE(D3694,""en"",""it"")"),"Mi piacciono i pantaloni più che gli occhiali.")</f>
        <v>Mi piacciono i pantaloni più che gli occhiali.</v>
      </c>
      <c r="G3694" s="6" t="str">
        <f>IFERROR(__xludf.DUMMYFUNCTION("GOOGLETRANSLATE(E3694,""fr"",""it"")"),"Mi piacciono i pantaloni più che gli occhiali.")</f>
        <v>Mi piacciono i pantaloni più che gli occhiali.</v>
      </c>
    </row>
    <row r="3695">
      <c r="A3695" s="4">
        <v>3693.0</v>
      </c>
      <c r="B3695" s="5" t="s">
        <v>11086</v>
      </c>
      <c r="C3695" s="4">
        <v>1.0</v>
      </c>
      <c r="D3695" s="5" t="s">
        <v>11087</v>
      </c>
      <c r="E3695" s="5" t="s">
        <v>11088</v>
      </c>
      <c r="F3695" s="6" t="str">
        <f>IFERROR(__xludf.DUMMYFUNCTION("GOOGLETRANSLATE(D3695,""en"",""it"")"),"Mi piacciono gli occhiali più dei pantaloni.")</f>
        <v>Mi piacciono gli occhiali più dei pantaloni.</v>
      </c>
      <c r="G3695" s="6" t="str">
        <f>IFERROR(__xludf.DUMMYFUNCTION("GOOGLETRANSLATE(E3695,""fr"",""it"")"),"Mi piacciono gli occhiali più dei pantaloni.")</f>
        <v>Mi piacciono gli occhiali più dei pantaloni.</v>
      </c>
    </row>
    <row r="3696">
      <c r="A3696" s="4">
        <v>3694.0</v>
      </c>
      <c r="B3696" s="5" t="s">
        <v>11089</v>
      </c>
      <c r="C3696" s="4">
        <v>1.0</v>
      </c>
      <c r="D3696" s="5" t="s">
        <v>11090</v>
      </c>
      <c r="E3696" s="5" t="s">
        <v>11091</v>
      </c>
      <c r="F3696" s="6" t="str">
        <f>IFERROR(__xludf.DUMMYFUNCTION("GOOGLETRANSLATE(D3696,""en"",""it"")"),"Mi piacciono i pantaloni più degli orecchini.")</f>
        <v>Mi piacciono i pantaloni più degli orecchini.</v>
      </c>
      <c r="G3696" s="6" t="str">
        <f>IFERROR(__xludf.DUMMYFUNCTION("GOOGLETRANSLATE(E3696,""fr"",""it"")"),"Mi piacciono i pantaloni più degli orecchini.")</f>
        <v>Mi piacciono i pantaloni più degli orecchini.</v>
      </c>
    </row>
    <row r="3697">
      <c r="A3697" s="4">
        <v>3695.0</v>
      </c>
      <c r="B3697" s="5" t="s">
        <v>11092</v>
      </c>
      <c r="C3697" s="4">
        <v>1.0</v>
      </c>
      <c r="D3697" s="5" t="s">
        <v>11093</v>
      </c>
      <c r="E3697" s="5" t="s">
        <v>11094</v>
      </c>
      <c r="F3697" s="6" t="str">
        <f>IFERROR(__xludf.DUMMYFUNCTION("GOOGLETRANSLATE(D3697,""en"",""it"")"),"Mi piacciono gli orecchini più dei pantaloni.")</f>
        <v>Mi piacciono gli orecchini più dei pantaloni.</v>
      </c>
      <c r="G3697" s="6" t="str">
        <f>IFERROR(__xludf.DUMMYFUNCTION("GOOGLETRANSLATE(E3697,""fr"",""it"")"),"Mi piacciono gli orecchini più dei pantaloni.")</f>
        <v>Mi piacciono gli orecchini più dei pantaloni.</v>
      </c>
    </row>
    <row r="3698">
      <c r="A3698" s="4">
        <v>3696.0</v>
      </c>
      <c r="B3698" s="5" t="s">
        <v>11095</v>
      </c>
      <c r="C3698" s="4">
        <v>1.0</v>
      </c>
      <c r="D3698" s="5" t="s">
        <v>11096</v>
      </c>
      <c r="E3698" s="5" t="s">
        <v>11097</v>
      </c>
      <c r="F3698" s="6" t="str">
        <f>IFERROR(__xludf.DUMMYFUNCTION("GOOGLETRANSLATE(D3698,""en"",""it"")"),"Mi piacciono i calzini più di animali domestici.")</f>
        <v>Mi piacciono i calzini più di animali domestici.</v>
      </c>
      <c r="G3698" s="6" t="str">
        <f>IFERROR(__xludf.DUMMYFUNCTION("GOOGLETRANSLATE(E3698,""fr"",""it"")"),"Adoro le scarpe più di animali domestici.")</f>
        <v>Adoro le scarpe più di animali domestici.</v>
      </c>
    </row>
    <row r="3699">
      <c r="A3699" s="4">
        <v>3697.0</v>
      </c>
      <c r="B3699" s="5" t="s">
        <v>11098</v>
      </c>
      <c r="C3699" s="4">
        <v>1.0</v>
      </c>
      <c r="D3699" s="5" t="s">
        <v>11099</v>
      </c>
      <c r="E3699" s="5" t="s">
        <v>11100</v>
      </c>
      <c r="F3699" s="6" t="str">
        <f>IFERROR(__xludf.DUMMYFUNCTION("GOOGLETRANSLATE(D3699,""en"",""it"")"),"Mi piacciono gli animali domestici più dei calzini.")</f>
        <v>Mi piacciono gli animali domestici più dei calzini.</v>
      </c>
      <c r="G3699" s="6" t="str">
        <f>IFERROR(__xludf.DUMMYFUNCTION("GOOGLETRANSLATE(E3699,""fr"",""it"")"),"Mi piacciono gli animali domestici più delle scarpe.")</f>
        <v>Mi piacciono gli animali domestici più delle scarpe.</v>
      </c>
    </row>
    <row r="3700">
      <c r="A3700" s="4">
        <v>3698.0</v>
      </c>
      <c r="B3700" s="5" t="s">
        <v>11101</v>
      </c>
      <c r="C3700" s="4">
        <v>0.0</v>
      </c>
      <c r="D3700" s="5" t="s">
        <v>11102</v>
      </c>
      <c r="E3700" s="5" t="s">
        <v>11103</v>
      </c>
      <c r="F3700" s="6" t="str">
        <f>IFERROR(__xludf.DUMMYFUNCTION("GOOGLETRANSLATE(D3700,""en"",""it"")"),"Mi piacciono i calzini più dei vestiti.")</f>
        <v>Mi piacciono i calzini più dei vestiti.</v>
      </c>
      <c r="G3700" s="6" t="str">
        <f>IFERROR(__xludf.DUMMYFUNCTION("GOOGLETRANSLATE(E3700,""fr"",""it"")"),"Amo le scarpe più dei vestiti.")</f>
        <v>Amo le scarpe più dei vestiti.</v>
      </c>
    </row>
    <row r="3701">
      <c r="A3701" s="4">
        <v>3699.0</v>
      </c>
      <c r="B3701" s="5" t="s">
        <v>11104</v>
      </c>
      <c r="C3701" s="4">
        <v>0.0</v>
      </c>
      <c r="D3701" s="5" t="s">
        <v>11105</v>
      </c>
      <c r="E3701" s="5" t="s">
        <v>11106</v>
      </c>
      <c r="F3701" s="6" t="str">
        <f>IFERROR(__xludf.DUMMYFUNCTION("GOOGLETRANSLATE(D3701,""en"",""it"")"),"Mi piacciono i vestiti più dei calzini.")</f>
        <v>Mi piacciono i vestiti più dei calzini.</v>
      </c>
      <c r="G3701" s="6" t="str">
        <f>IFERROR(__xludf.DUMMYFUNCTION("GOOGLETRANSLATE(E3701,""fr"",""it"")"),"Mi piacciono i vestiti più delle scarpe.")</f>
        <v>Mi piacciono i vestiti più delle scarpe.</v>
      </c>
    </row>
    <row r="3702">
      <c r="A3702" s="4">
        <v>3700.0</v>
      </c>
      <c r="B3702" s="5" t="s">
        <v>11107</v>
      </c>
      <c r="C3702" s="4">
        <v>1.0</v>
      </c>
      <c r="D3702" s="5" t="s">
        <v>11108</v>
      </c>
      <c r="E3702" s="5" t="s">
        <v>11109</v>
      </c>
      <c r="F3702" s="6" t="str">
        <f>IFERROR(__xludf.DUMMYFUNCTION("GOOGLETRANSLATE(D3702,""en"",""it"")"),"Mi piacciono i calzini più dei gioielli.")</f>
        <v>Mi piacciono i calzini più dei gioielli.</v>
      </c>
      <c r="G3702" s="6" t="str">
        <f>IFERROR(__xludf.DUMMYFUNCTION("GOOGLETRANSLATE(E3702,""fr"",""it"")"),"Amo le scarpe più dei gioielli.")</f>
        <v>Amo le scarpe più dei gioielli.</v>
      </c>
    </row>
    <row r="3703">
      <c r="A3703" s="4">
        <v>3701.0</v>
      </c>
      <c r="B3703" s="5" t="s">
        <v>11110</v>
      </c>
      <c r="C3703" s="4">
        <v>1.0</v>
      </c>
      <c r="D3703" s="5" t="s">
        <v>11111</v>
      </c>
      <c r="E3703" s="5" t="s">
        <v>11112</v>
      </c>
      <c r="F3703" s="6" t="str">
        <f>IFERROR(__xludf.DUMMYFUNCTION("GOOGLETRANSLATE(D3703,""en"",""it"")"),"Mi piacciono i gioielli più dei calzini.")</f>
        <v>Mi piacciono i gioielli più dei calzini.</v>
      </c>
      <c r="G3703" s="6" t="str">
        <f>IFERROR(__xludf.DUMMYFUNCTION("GOOGLETRANSLATE(E3703,""fr"",""it"")"),"Mi piacciono i gioielli più delle scarpe.")</f>
        <v>Mi piacciono i gioielli più delle scarpe.</v>
      </c>
    </row>
    <row r="3704">
      <c r="A3704" s="4">
        <v>3702.0</v>
      </c>
      <c r="B3704" s="5" t="s">
        <v>11113</v>
      </c>
      <c r="C3704" s="4">
        <v>1.0</v>
      </c>
      <c r="D3704" s="5" t="s">
        <v>11114</v>
      </c>
      <c r="E3704" s="5" t="s">
        <v>11115</v>
      </c>
      <c r="F3704" s="6" t="str">
        <f>IFERROR(__xludf.DUMMYFUNCTION("GOOGLETRANSLATE(D3704,""en"",""it"")"),"Mi piacciono i calzini più che gli occhiali.")</f>
        <v>Mi piacciono i calzini più che gli occhiali.</v>
      </c>
      <c r="G3704" s="6" t="str">
        <f>IFERROR(__xludf.DUMMYFUNCTION("GOOGLETRANSLATE(E3704,""fr"",""it"")"),"Amo le scarpe più che gli occhiali.")</f>
        <v>Amo le scarpe più che gli occhiali.</v>
      </c>
    </row>
    <row r="3705">
      <c r="A3705" s="4">
        <v>3703.0</v>
      </c>
      <c r="B3705" s="5" t="s">
        <v>11116</v>
      </c>
      <c r="C3705" s="4">
        <v>1.0</v>
      </c>
      <c r="D3705" s="5" t="s">
        <v>11117</v>
      </c>
      <c r="E3705" s="5" t="s">
        <v>11118</v>
      </c>
      <c r="F3705" s="6" t="str">
        <f>IFERROR(__xludf.DUMMYFUNCTION("GOOGLETRANSLATE(D3705,""en"",""it"")"),"Mi piacciono gli occhiali più dei calzini.")</f>
        <v>Mi piacciono gli occhiali più dei calzini.</v>
      </c>
      <c r="G3705" s="6" t="str">
        <f>IFERROR(__xludf.DUMMYFUNCTION("GOOGLETRANSLATE(E3705,""fr"",""it"")"),"Mi piacciono gli occhiali più delle scarpe.")</f>
        <v>Mi piacciono gli occhiali più delle scarpe.</v>
      </c>
    </row>
    <row r="3706">
      <c r="A3706" s="4">
        <v>3704.0</v>
      </c>
      <c r="B3706" s="5" t="s">
        <v>11119</v>
      </c>
      <c r="C3706" s="4">
        <v>1.0</v>
      </c>
      <c r="D3706" s="5" t="s">
        <v>11120</v>
      </c>
      <c r="E3706" s="5" t="s">
        <v>11121</v>
      </c>
      <c r="F3706" s="6" t="str">
        <f>IFERROR(__xludf.DUMMYFUNCTION("GOOGLETRANSLATE(D3706,""en"",""it"")"),"Mi piacciono i calzini più degli orecchini.")</f>
        <v>Mi piacciono i calzini più degli orecchini.</v>
      </c>
      <c r="G3706" s="6" t="str">
        <f>IFERROR(__xludf.DUMMYFUNCTION("GOOGLETRANSLATE(E3706,""fr"",""it"")"),"Amo le scarpe più degli orecchini.")</f>
        <v>Amo le scarpe più degli orecchini.</v>
      </c>
    </row>
    <row r="3707">
      <c r="A3707" s="4">
        <v>3705.0</v>
      </c>
      <c r="B3707" s="5" t="s">
        <v>11122</v>
      </c>
      <c r="C3707" s="4">
        <v>1.0</v>
      </c>
      <c r="D3707" s="5" t="s">
        <v>11123</v>
      </c>
      <c r="E3707" s="5" t="s">
        <v>11124</v>
      </c>
      <c r="F3707" s="6" t="str">
        <f>IFERROR(__xludf.DUMMYFUNCTION("GOOGLETRANSLATE(D3707,""en"",""it"")"),"Mi piacciono gli orecchini più dei calzini.")</f>
        <v>Mi piacciono gli orecchini più dei calzini.</v>
      </c>
      <c r="G3707" s="6" t="str">
        <f>IFERROR(__xludf.DUMMYFUNCTION("GOOGLETRANSLATE(E3707,""fr"",""it"")"),"Mi piacciono gli orecchini più delle scarpe.")</f>
        <v>Mi piacciono gli orecchini più delle scarpe.</v>
      </c>
    </row>
    <row r="3708">
      <c r="A3708" s="4">
        <v>3706.0</v>
      </c>
      <c r="B3708" s="5" t="s">
        <v>11125</v>
      </c>
      <c r="C3708" s="4">
        <v>1.0</v>
      </c>
      <c r="D3708" s="5" t="s">
        <v>11126</v>
      </c>
      <c r="E3708" s="5" t="s">
        <v>11127</v>
      </c>
      <c r="F3708" s="6" t="str">
        <f>IFERROR(__xludf.DUMMYFUNCTION("GOOGLETRANSLATE(D3708,""en"",""it"")"),"Mi piacciono le gonne più di animali domestici.")</f>
        <v>Mi piacciono le gonne più di animali domestici.</v>
      </c>
      <c r="G3708" s="6" t="str">
        <f>IFERROR(__xludf.DUMMYFUNCTION("GOOGLETRANSLATE(E3708,""fr"",""it"")"),"Mi piacciono le gonne più di animali domestici.")</f>
        <v>Mi piacciono le gonne più di animali domestici.</v>
      </c>
    </row>
    <row r="3709">
      <c r="A3709" s="4">
        <v>3707.0</v>
      </c>
      <c r="B3709" s="5" t="s">
        <v>11128</v>
      </c>
      <c r="C3709" s="4">
        <v>1.0</v>
      </c>
      <c r="D3709" s="5" t="s">
        <v>11129</v>
      </c>
      <c r="E3709" s="5" t="s">
        <v>11130</v>
      </c>
      <c r="F3709" s="6" t="str">
        <f>IFERROR(__xludf.DUMMYFUNCTION("GOOGLETRANSLATE(D3709,""en"",""it"")"),"Mi piacciono gli animali domestici più delle gonne.")</f>
        <v>Mi piacciono gli animali domestici più delle gonne.</v>
      </c>
      <c r="G3709" s="6" t="str">
        <f>IFERROR(__xludf.DUMMYFUNCTION("GOOGLETRANSLATE(E3709,""fr"",""it"")"),"Amo gli animali domestici più delle gonne.")</f>
        <v>Amo gli animali domestici più delle gonne.</v>
      </c>
    </row>
    <row r="3710">
      <c r="A3710" s="4">
        <v>3708.0</v>
      </c>
      <c r="B3710" s="5" t="s">
        <v>11131</v>
      </c>
      <c r="C3710" s="4">
        <v>0.0</v>
      </c>
      <c r="D3710" s="5" t="s">
        <v>11132</v>
      </c>
      <c r="E3710" s="5" t="s">
        <v>11133</v>
      </c>
      <c r="F3710" s="6" t="str">
        <f>IFERROR(__xludf.DUMMYFUNCTION("GOOGLETRANSLATE(D3710,""en"",""it"")"),"Mi piacciono le gonne più dei vestiti.")</f>
        <v>Mi piacciono le gonne più dei vestiti.</v>
      </c>
      <c r="G3710" s="6" t="str">
        <f>IFERROR(__xludf.DUMMYFUNCTION("GOOGLETRANSLATE(E3710,""fr"",""it"")"),"Mi piacciono le gonne più dei vestiti.")</f>
        <v>Mi piacciono le gonne più dei vestiti.</v>
      </c>
    </row>
    <row r="3711">
      <c r="A3711" s="4">
        <v>3709.0</v>
      </c>
      <c r="B3711" s="5" t="s">
        <v>11134</v>
      </c>
      <c r="C3711" s="4">
        <v>0.0</v>
      </c>
      <c r="D3711" s="5" t="s">
        <v>11135</v>
      </c>
      <c r="E3711" s="5" t="s">
        <v>11136</v>
      </c>
      <c r="F3711" s="6" t="str">
        <f>IFERROR(__xludf.DUMMYFUNCTION("GOOGLETRANSLATE(D3711,""en"",""it"")"),"Mi piacciono i vestiti più delle gonne.")</f>
        <v>Mi piacciono i vestiti più delle gonne.</v>
      </c>
      <c r="G3711" s="6" t="str">
        <f>IFERROR(__xludf.DUMMYFUNCTION("GOOGLETRANSLATE(E3711,""fr"",""it"")"),"Mi piacciono i vestiti più delle gonne.")</f>
        <v>Mi piacciono i vestiti più delle gonne.</v>
      </c>
    </row>
    <row r="3712">
      <c r="A3712" s="4">
        <v>3710.0</v>
      </c>
      <c r="B3712" s="5" t="s">
        <v>11137</v>
      </c>
      <c r="C3712" s="4">
        <v>1.0</v>
      </c>
      <c r="D3712" s="5" t="s">
        <v>11138</v>
      </c>
      <c r="E3712" s="5" t="s">
        <v>11139</v>
      </c>
      <c r="F3712" s="6" t="str">
        <f>IFERROR(__xludf.DUMMYFUNCTION("GOOGLETRANSLATE(D3712,""en"",""it"")"),"Mi piacciono le gonne più dei gioielli.")</f>
        <v>Mi piacciono le gonne più dei gioielli.</v>
      </c>
      <c r="G3712" s="6" t="str">
        <f>IFERROR(__xludf.DUMMYFUNCTION("GOOGLETRANSLATE(E3712,""fr"",""it"")"),"Mi piacciono le gonne più dei gioielli.")</f>
        <v>Mi piacciono le gonne più dei gioielli.</v>
      </c>
    </row>
    <row r="3713">
      <c r="A3713" s="4">
        <v>3711.0</v>
      </c>
      <c r="B3713" s="5" t="s">
        <v>11140</v>
      </c>
      <c r="C3713" s="4">
        <v>1.0</v>
      </c>
      <c r="D3713" s="5" t="s">
        <v>11141</v>
      </c>
      <c r="E3713" s="5" t="s">
        <v>11142</v>
      </c>
      <c r="F3713" s="6" t="str">
        <f>IFERROR(__xludf.DUMMYFUNCTION("GOOGLETRANSLATE(D3713,""en"",""it"")"),"Mi piacciono i gioielli più delle gonne.")</f>
        <v>Mi piacciono i gioielli più delle gonne.</v>
      </c>
      <c r="G3713" s="6" t="str">
        <f>IFERROR(__xludf.DUMMYFUNCTION("GOOGLETRANSLATE(E3713,""fr"",""it"")"),"Mi piacciono i gioielli più delle gonne.")</f>
        <v>Mi piacciono i gioielli più delle gonne.</v>
      </c>
    </row>
    <row r="3714">
      <c r="A3714" s="4">
        <v>3712.0</v>
      </c>
      <c r="B3714" s="5" t="s">
        <v>11143</v>
      </c>
      <c r="C3714" s="4">
        <v>1.0</v>
      </c>
      <c r="D3714" s="5" t="s">
        <v>11144</v>
      </c>
      <c r="E3714" s="5" t="s">
        <v>11145</v>
      </c>
      <c r="F3714" s="6" t="str">
        <f>IFERROR(__xludf.DUMMYFUNCTION("GOOGLETRANSLATE(D3714,""en"",""it"")"),"Mi piacciono le gonne più che gli occhiali.")</f>
        <v>Mi piacciono le gonne più che gli occhiali.</v>
      </c>
      <c r="G3714" s="6" t="str">
        <f>IFERROR(__xludf.DUMMYFUNCTION("GOOGLETRANSLATE(E3714,""fr"",""it"")"),"Mi piacciono le gonne più che gli occhiali.")</f>
        <v>Mi piacciono le gonne più che gli occhiali.</v>
      </c>
    </row>
    <row r="3715">
      <c r="A3715" s="4">
        <v>3713.0</v>
      </c>
      <c r="B3715" s="5" t="s">
        <v>11146</v>
      </c>
      <c r="C3715" s="4">
        <v>1.0</v>
      </c>
      <c r="D3715" s="5" t="s">
        <v>11147</v>
      </c>
      <c r="E3715" s="5" t="s">
        <v>11148</v>
      </c>
      <c r="F3715" s="6" t="str">
        <f>IFERROR(__xludf.DUMMYFUNCTION("GOOGLETRANSLATE(D3715,""en"",""it"")"),"Mi piacciono gli occhiali più delle gonne.")</f>
        <v>Mi piacciono gli occhiali più delle gonne.</v>
      </c>
      <c r="G3715" s="6" t="str">
        <f>IFERROR(__xludf.DUMMYFUNCTION("GOOGLETRANSLATE(E3715,""fr"",""it"")"),"Mi piacciono gli occhiali più delle gonne.")</f>
        <v>Mi piacciono gli occhiali più delle gonne.</v>
      </c>
    </row>
    <row r="3716">
      <c r="A3716" s="4">
        <v>3714.0</v>
      </c>
      <c r="B3716" s="5" t="s">
        <v>11149</v>
      </c>
      <c r="C3716" s="4">
        <v>1.0</v>
      </c>
      <c r="D3716" s="5" t="s">
        <v>11150</v>
      </c>
      <c r="E3716" s="5" t="s">
        <v>11151</v>
      </c>
      <c r="F3716" s="6" t="str">
        <f>IFERROR(__xludf.DUMMYFUNCTION("GOOGLETRANSLATE(D3716,""en"",""it"")"),"Mi piacciono le gonne più degli orecchini.")</f>
        <v>Mi piacciono le gonne più degli orecchini.</v>
      </c>
      <c r="G3716" s="6" t="str">
        <f>IFERROR(__xludf.DUMMYFUNCTION("GOOGLETRANSLATE(E3716,""fr"",""it"")"),"Mi piacciono le gonne più degli orecchini.")</f>
        <v>Mi piacciono le gonne più degli orecchini.</v>
      </c>
    </row>
    <row r="3717">
      <c r="A3717" s="4">
        <v>3715.0</v>
      </c>
      <c r="B3717" s="5" t="s">
        <v>11152</v>
      </c>
      <c r="C3717" s="4">
        <v>1.0</v>
      </c>
      <c r="D3717" s="5" t="s">
        <v>11153</v>
      </c>
      <c r="E3717" s="5" t="s">
        <v>11154</v>
      </c>
      <c r="F3717" s="6" t="str">
        <f>IFERROR(__xludf.DUMMYFUNCTION("GOOGLETRANSLATE(D3717,""en"",""it"")"),"Mi piacciono gli orecchini più delle gonne.")</f>
        <v>Mi piacciono gli orecchini più delle gonne.</v>
      </c>
      <c r="G3717" s="6" t="str">
        <f>IFERROR(__xludf.DUMMYFUNCTION("GOOGLETRANSLATE(E3717,""fr"",""it"")"),"Mi piacciono gli orecchini più delle gonne.")</f>
        <v>Mi piacciono gli orecchini più delle gonne.</v>
      </c>
    </row>
    <row r="3718">
      <c r="A3718" s="4">
        <v>3716.0</v>
      </c>
      <c r="B3718" s="5" t="s">
        <v>11155</v>
      </c>
      <c r="C3718" s="4">
        <v>1.0</v>
      </c>
      <c r="D3718" s="5" t="s">
        <v>11156</v>
      </c>
      <c r="E3718" s="5" t="s">
        <v>11157</v>
      </c>
      <c r="F3718" s="6" t="str">
        <f>IFERROR(__xludf.DUMMYFUNCTION("GOOGLETRANSLATE(D3718,""en"",""it"")"),"Mi piacciono le querce più dell'erba.")</f>
        <v>Mi piacciono le querce più dell'erba.</v>
      </c>
      <c r="G3718" s="6" t="str">
        <f>IFERROR(__xludf.DUMMYFUNCTION("GOOGLETRANSLATE(E3718,""fr"",""it"")"),"Adoro le querce più del prato inglese.")</f>
        <v>Adoro le querce più del prato inglese.</v>
      </c>
    </row>
    <row r="3719">
      <c r="A3719" s="4">
        <v>3717.0</v>
      </c>
      <c r="B3719" s="5" t="s">
        <v>11158</v>
      </c>
      <c r="C3719" s="4">
        <v>1.0</v>
      </c>
      <c r="D3719" s="5" t="s">
        <v>11159</v>
      </c>
      <c r="E3719" s="5" t="s">
        <v>11160</v>
      </c>
      <c r="F3719" s="6" t="str">
        <f>IFERROR(__xludf.DUMMYFUNCTION("GOOGLETRANSLATE(D3719,""en"",""it"")"),"Mi piace l'erba più delle querce.")</f>
        <v>Mi piace l'erba più delle querce.</v>
      </c>
      <c r="G3719" s="6" t="str">
        <f>IFERROR(__xludf.DUMMYFUNCTION("GOOGLETRANSLATE(E3719,""fr"",""it"")"),"Adoro il prato più delle querce.")</f>
        <v>Adoro il prato più delle querce.</v>
      </c>
    </row>
    <row r="3720">
      <c r="A3720" s="4">
        <v>3718.0</v>
      </c>
      <c r="B3720" s="5" t="s">
        <v>11161</v>
      </c>
      <c r="C3720" s="4">
        <v>0.0</v>
      </c>
      <c r="D3720" s="5" t="s">
        <v>11162</v>
      </c>
      <c r="E3720" s="5" t="s">
        <v>11163</v>
      </c>
      <c r="F3720" s="6" t="str">
        <f>IFERROR(__xludf.DUMMYFUNCTION("GOOGLETRANSLATE(D3720,""en"",""it"")"),"Mi piacciono le querce più degli alberi.")</f>
        <v>Mi piacciono le querce più degli alberi.</v>
      </c>
      <c r="G3720" s="6" t="str">
        <f>IFERROR(__xludf.DUMMYFUNCTION("GOOGLETRANSLATE(E3720,""fr"",""it"")"),"Adoro le querce più degli alberi.")</f>
        <v>Adoro le querce più degli alberi.</v>
      </c>
    </row>
    <row r="3721">
      <c r="A3721" s="4">
        <v>3719.0</v>
      </c>
      <c r="B3721" s="5" t="s">
        <v>11164</v>
      </c>
      <c r="C3721" s="4">
        <v>0.0</v>
      </c>
      <c r="D3721" s="5" t="s">
        <v>11165</v>
      </c>
      <c r="E3721" s="5" t="s">
        <v>11166</v>
      </c>
      <c r="F3721" s="6" t="str">
        <f>IFERROR(__xludf.DUMMYFUNCTION("GOOGLETRANSLATE(D3721,""en"",""it"")"),"Mi piacciono gli alberi più delle querce.")</f>
        <v>Mi piacciono gli alberi più delle querce.</v>
      </c>
      <c r="G3721" s="6" t="str">
        <f>IFERROR(__xludf.DUMMYFUNCTION("GOOGLETRANSLATE(E3721,""fr"",""it"")"),"Amo gli alberi più delle querce.")</f>
        <v>Amo gli alberi più delle querce.</v>
      </c>
    </row>
    <row r="3722">
      <c r="A3722" s="4">
        <v>3720.0</v>
      </c>
      <c r="B3722" s="5" t="s">
        <v>11167</v>
      </c>
      <c r="C3722" s="4">
        <v>1.0</v>
      </c>
      <c r="D3722" s="5" t="s">
        <v>11168</v>
      </c>
      <c r="E3722" s="5" t="s">
        <v>11169</v>
      </c>
      <c r="F3722" s="6" t="str">
        <f>IFERROR(__xludf.DUMMYFUNCTION("GOOGLETRANSLATE(D3722,""en"",""it"")"),"Mi piacciono gli alberi più dell'erba.")</f>
        <v>Mi piacciono gli alberi più dell'erba.</v>
      </c>
      <c r="G3722" s="6" t="str">
        <f>IFERROR(__xludf.DUMMYFUNCTION("GOOGLETRANSLATE(E3722,""fr"",""it"")"),"Mi piacciono gli alberi più del prato inglese.")</f>
        <v>Mi piacciono gli alberi più del prato inglese.</v>
      </c>
    </row>
    <row r="3723">
      <c r="A3723" s="4">
        <v>3721.0</v>
      </c>
      <c r="B3723" s="5" t="s">
        <v>11170</v>
      </c>
      <c r="C3723" s="4">
        <v>1.0</v>
      </c>
      <c r="D3723" s="5" t="s">
        <v>11171</v>
      </c>
      <c r="E3723" s="5" t="s">
        <v>11172</v>
      </c>
      <c r="F3723" s="6" t="str">
        <f>IFERROR(__xludf.DUMMYFUNCTION("GOOGLETRANSLATE(D3723,""en"",""it"")"),"Mi piacciono le querce più degli animali.")</f>
        <v>Mi piacciono le querce più degli animali.</v>
      </c>
      <c r="G3723" s="6" t="str">
        <f>IFERROR(__xludf.DUMMYFUNCTION("GOOGLETRANSLATE(E3723,""fr"",""it"")"),"Adoro le querce più degli animali.")</f>
        <v>Adoro le querce più degli animali.</v>
      </c>
    </row>
    <row r="3724">
      <c r="A3724" s="4">
        <v>3722.0</v>
      </c>
      <c r="B3724" s="5" t="s">
        <v>11173</v>
      </c>
      <c r="C3724" s="4">
        <v>1.0</v>
      </c>
      <c r="D3724" s="5" t="s">
        <v>11174</v>
      </c>
      <c r="E3724" s="5" t="s">
        <v>11175</v>
      </c>
      <c r="F3724" s="6" t="str">
        <f>IFERROR(__xludf.DUMMYFUNCTION("GOOGLETRANSLATE(D3724,""en"",""it"")"),"Mi piacciono gli animali più delle querce.")</f>
        <v>Mi piacciono gli animali più delle querce.</v>
      </c>
      <c r="G3724" s="6" t="str">
        <f>IFERROR(__xludf.DUMMYFUNCTION("GOOGLETRANSLATE(E3724,""fr"",""it"")"),"Amo gli animali più delle querce.")</f>
        <v>Amo gli animali più delle querce.</v>
      </c>
    </row>
    <row r="3725">
      <c r="A3725" s="4">
        <v>3723.0</v>
      </c>
      <c r="B3725" s="5" t="s">
        <v>11176</v>
      </c>
      <c r="C3725" s="4">
        <v>1.0</v>
      </c>
      <c r="D3725" s="5" t="s">
        <v>11177</v>
      </c>
      <c r="E3725" s="5" t="s">
        <v>11178</v>
      </c>
      <c r="F3725" s="6" t="str">
        <f>IFERROR(__xludf.DUMMYFUNCTION("GOOGLETRANSLATE(D3725,""en"",""it"")"),"Mi piacciono gli alberi più degli animali.")</f>
        <v>Mi piacciono gli alberi più degli animali.</v>
      </c>
      <c r="G3725" s="6" t="str">
        <f>IFERROR(__xludf.DUMMYFUNCTION("GOOGLETRANSLATE(E3725,""fr"",""it"")"),"Mi piacciono gli alberi più degli animali.")</f>
        <v>Mi piacciono gli alberi più degli animali.</v>
      </c>
    </row>
    <row r="3726">
      <c r="A3726" s="4">
        <v>3724.0</v>
      </c>
      <c r="B3726" s="5" t="s">
        <v>11179</v>
      </c>
      <c r="C3726" s="4">
        <v>1.0</v>
      </c>
      <c r="D3726" s="5" t="s">
        <v>11180</v>
      </c>
      <c r="E3726" s="5" t="s">
        <v>11181</v>
      </c>
      <c r="F3726" s="6" t="str">
        <f>IFERROR(__xludf.DUMMYFUNCTION("GOOGLETRANSLATE(D3726,""en"",""it"")"),"Mi piacciono le querce più dei cespugli.")</f>
        <v>Mi piacciono le querce più dei cespugli.</v>
      </c>
      <c r="G3726" s="6" t="str">
        <f>IFERROR(__xludf.DUMMYFUNCTION("GOOGLETRANSLATE(E3726,""fr"",""it"")"),"Adoro le querce più dei cespugli.")</f>
        <v>Adoro le querce più dei cespugli.</v>
      </c>
    </row>
    <row r="3727">
      <c r="A3727" s="4">
        <v>3725.0</v>
      </c>
      <c r="B3727" s="5" t="s">
        <v>11182</v>
      </c>
      <c r="C3727" s="4">
        <v>1.0</v>
      </c>
      <c r="D3727" s="5" t="s">
        <v>11183</v>
      </c>
      <c r="E3727" s="5" t="s">
        <v>11184</v>
      </c>
      <c r="F3727" s="6" t="str">
        <f>IFERROR(__xludf.DUMMYFUNCTION("GOOGLETRANSLATE(D3727,""en"",""it"")"),"Mi piacciono i cespugli più delle querce.")</f>
        <v>Mi piacciono i cespugli più delle querce.</v>
      </c>
      <c r="G3727" s="6" t="str">
        <f>IFERROR(__xludf.DUMMYFUNCTION("GOOGLETRANSLATE(E3727,""fr"",""it"")"),"Mi piacciono i cespugli più delle querce.")</f>
        <v>Mi piacciono i cespugli più delle querce.</v>
      </c>
    </row>
    <row r="3728">
      <c r="A3728" s="4">
        <v>3726.0</v>
      </c>
      <c r="B3728" s="5" t="s">
        <v>11185</v>
      </c>
      <c r="C3728" s="4">
        <v>1.0</v>
      </c>
      <c r="D3728" s="5" t="s">
        <v>11186</v>
      </c>
      <c r="E3728" s="5" t="s">
        <v>11187</v>
      </c>
      <c r="F3728" s="6" t="str">
        <f>IFERROR(__xludf.DUMMYFUNCTION("GOOGLETRANSLATE(D3728,""en"",""it"")"),"Mi piacciono gli alberi più dei cespugli.")</f>
        <v>Mi piacciono gli alberi più dei cespugli.</v>
      </c>
      <c r="G3728" s="6" t="str">
        <f>IFERROR(__xludf.DUMMYFUNCTION("GOOGLETRANSLATE(E3728,""fr"",""it"")"),"Mi piacciono gli alberi più dei cespugli.")</f>
        <v>Mi piacciono gli alberi più dei cespugli.</v>
      </c>
    </row>
    <row r="3729">
      <c r="A3729" s="4">
        <v>3727.0</v>
      </c>
      <c r="B3729" s="5" t="s">
        <v>11188</v>
      </c>
      <c r="C3729" s="4">
        <v>1.0</v>
      </c>
      <c r="D3729" s="5" t="s">
        <v>11189</v>
      </c>
      <c r="E3729" s="5" t="s">
        <v>11190</v>
      </c>
      <c r="F3729" s="6" t="str">
        <f>IFERROR(__xludf.DUMMYFUNCTION("GOOGLETRANSLATE(D3729,""en"",""it"")"),"Mi piacciono le querce più degli arbusti.")</f>
        <v>Mi piacciono le querce più degli arbusti.</v>
      </c>
      <c r="G3729" s="6" t="str">
        <f>IFERROR(__xludf.DUMMYFUNCTION("GOOGLETRANSLATE(E3729,""fr"",""it"")"),"Adoro le querce più degli arbusti.")</f>
        <v>Adoro le querce più degli arbusti.</v>
      </c>
    </row>
    <row r="3730">
      <c r="A3730" s="4">
        <v>3728.0</v>
      </c>
      <c r="B3730" s="5" t="s">
        <v>11191</v>
      </c>
      <c r="C3730" s="4">
        <v>1.0</v>
      </c>
      <c r="D3730" s="5" t="s">
        <v>11192</v>
      </c>
      <c r="E3730" s="5" t="s">
        <v>11193</v>
      </c>
      <c r="F3730" s="6" t="str">
        <f>IFERROR(__xludf.DUMMYFUNCTION("GOOGLETRANSLATE(D3730,""en"",""it"")"),"Mi piacciono gli arbusti più delle querce.")</f>
        <v>Mi piacciono gli arbusti più delle querce.</v>
      </c>
      <c r="G3730" s="6" t="str">
        <f>IFERROR(__xludf.DUMMYFUNCTION("GOOGLETRANSLATE(E3730,""fr"",""it"")"),"Amo gli arbusti più delle querce.")</f>
        <v>Amo gli arbusti più delle querce.</v>
      </c>
    </row>
    <row r="3731">
      <c r="A3731" s="4">
        <v>3729.0</v>
      </c>
      <c r="B3731" s="5" t="s">
        <v>11194</v>
      </c>
      <c r="C3731" s="4">
        <v>0.0</v>
      </c>
      <c r="D3731" s="5" t="s">
        <v>11195</v>
      </c>
      <c r="E3731" s="5" t="s">
        <v>11196</v>
      </c>
      <c r="F3731" s="6" t="str">
        <f>IFERROR(__xludf.DUMMYFUNCTION("GOOGLETRANSLATE(D3731,""en"",""it"")"),"Mi piacciono i thriller, tranne i saggi.")</f>
        <v>Mi piacciono i thriller, tranne i saggi.</v>
      </c>
      <c r="G3731" s="6" t="str">
        <f>IFERROR(__xludf.DUMMYFUNCTION("GOOGLETRANSLATE(E3731,""fr"",""it"")"),"Mi piacciono i thriller, tranne i test.")</f>
        <v>Mi piacciono i thriller, tranne i test.</v>
      </c>
    </row>
    <row r="3732">
      <c r="A3732" s="4">
        <v>3730.0</v>
      </c>
      <c r="B3732" s="5" t="s">
        <v>11197</v>
      </c>
      <c r="C3732" s="4">
        <v>1.0</v>
      </c>
      <c r="D3732" s="5" t="s">
        <v>11198</v>
      </c>
      <c r="E3732" s="5" t="s">
        <v>11199</v>
      </c>
      <c r="F3732" s="6" t="str">
        <f>IFERROR(__xludf.DUMMYFUNCTION("GOOGLETRANSLATE(D3732,""en"",""it"")"),"Mi piacciono gli alberi più degli arbusti.")</f>
        <v>Mi piacciono gli alberi più degli arbusti.</v>
      </c>
      <c r="G3732" s="6" t="str">
        <f>IFERROR(__xludf.DUMMYFUNCTION("GOOGLETRANSLATE(E3732,""fr"",""it"")"),"Mi piacciono gli alberi più degli arbusti.")</f>
        <v>Mi piacciono gli alberi più degli arbusti.</v>
      </c>
    </row>
    <row r="3733">
      <c r="A3733" s="4">
        <v>3731.0</v>
      </c>
      <c r="B3733" s="5" t="s">
        <v>11200</v>
      </c>
      <c r="C3733" s="4">
        <v>0.0</v>
      </c>
      <c r="D3733" s="5" t="s">
        <v>11201</v>
      </c>
      <c r="E3733" s="5" t="s">
        <v>11202</v>
      </c>
      <c r="F3733" s="6" t="str">
        <f>IFERROR(__xludf.DUMMYFUNCTION("GOOGLETRANSLATE(D3733,""en"",""it"")"),"Mi piacciono i saggi, tranne i thriller.")</f>
        <v>Mi piacciono i saggi, tranne i thriller.</v>
      </c>
      <c r="G3733" s="6" t="str">
        <f>IFERROR(__xludf.DUMMYFUNCTION("GOOGLETRANSLATE(E3733,""fr"",""it"")"),"Mi piacciono i test, tranne i thriller.")</f>
        <v>Mi piacciono i test, tranne i thriller.</v>
      </c>
    </row>
    <row r="3734">
      <c r="A3734" s="4">
        <v>3732.0</v>
      </c>
      <c r="B3734" s="5" t="s">
        <v>11203</v>
      </c>
      <c r="C3734" s="4">
        <v>0.0</v>
      </c>
      <c r="D3734" s="5" t="s">
        <v>11204</v>
      </c>
      <c r="E3734" s="5" t="s">
        <v>11205</v>
      </c>
      <c r="F3734" s="6" t="str">
        <f>IFERROR(__xludf.DUMMYFUNCTION("GOOGLETRANSLATE(D3734,""en"",""it"")"),"Mi piacciono i thriller, tranne i film.")</f>
        <v>Mi piacciono i thriller, tranne i film.</v>
      </c>
      <c r="G3734" s="6" t="str">
        <f>IFERROR(__xludf.DUMMYFUNCTION("GOOGLETRANSLATE(E3734,""fr"",""it"")"),"Mi piacciono i thriller tranne i film.")</f>
        <v>Mi piacciono i thriller tranne i film.</v>
      </c>
    </row>
    <row r="3735">
      <c r="A3735" s="4">
        <v>3733.0</v>
      </c>
      <c r="B3735" s="5" t="s">
        <v>11206</v>
      </c>
      <c r="C3735" s="4">
        <v>1.0</v>
      </c>
      <c r="D3735" s="5" t="s">
        <v>11207</v>
      </c>
      <c r="E3735" s="5" t="s">
        <v>11208</v>
      </c>
      <c r="F3735" s="6" t="str">
        <f>IFERROR(__xludf.DUMMYFUNCTION("GOOGLETRANSLATE(D3735,""en"",""it"")"),"Mi piacciono i film, tranne i thriller.")</f>
        <v>Mi piacciono i film, tranne i thriller.</v>
      </c>
      <c r="G3735" s="6" t="str">
        <f>IFERROR(__xludf.DUMMYFUNCTION("GOOGLETRANSLATE(E3735,""fr"",""it"")"),"Adoro i film tranne i thriller.")</f>
        <v>Adoro i film tranne i thriller.</v>
      </c>
    </row>
    <row r="3736">
      <c r="A3736" s="4">
        <v>3734.0</v>
      </c>
      <c r="B3736" s="5" t="s">
        <v>11209</v>
      </c>
      <c r="C3736" s="4">
        <v>0.0</v>
      </c>
      <c r="D3736" s="5" t="s">
        <v>11210</v>
      </c>
      <c r="E3736" s="5" t="s">
        <v>11211</v>
      </c>
      <c r="F3736" s="6" t="str">
        <f>IFERROR(__xludf.DUMMYFUNCTION("GOOGLETRANSLATE(D3736,""en"",""it"")"),"Mi piacciono i film, tranne i saggi.")</f>
        <v>Mi piacciono i film, tranne i saggi.</v>
      </c>
      <c r="G3736" s="6" t="str">
        <f>IFERROR(__xludf.DUMMYFUNCTION("GOOGLETRANSLATE(E3736,""fr"",""it"")"),"Mi piacciono i film, tranne i test.")</f>
        <v>Mi piacciono i film, tranne i test.</v>
      </c>
    </row>
    <row r="3737">
      <c r="A3737" s="4">
        <v>3735.0</v>
      </c>
      <c r="B3737" s="5" t="s">
        <v>11212</v>
      </c>
      <c r="C3737" s="4">
        <v>1.0</v>
      </c>
      <c r="D3737" s="5" t="s">
        <v>11213</v>
      </c>
      <c r="E3737" s="5" t="s">
        <v>11214</v>
      </c>
      <c r="F3737" s="6" t="str">
        <f>IFERROR(__xludf.DUMMYFUNCTION("GOOGLETRANSLATE(D3737,""en"",""it"")"),"Mi piacciono le betulle più dell'erba.")</f>
        <v>Mi piacciono le betulle più dell'erba.</v>
      </c>
      <c r="G3737" s="6" t="str">
        <f>IFERROR(__xludf.DUMMYFUNCTION("GOOGLETRANSLATE(E3737,""fr"",""it"")"),"Amo le betulle più del prato.")</f>
        <v>Amo le betulle più del prato.</v>
      </c>
    </row>
    <row r="3738">
      <c r="A3738" s="4">
        <v>3736.0</v>
      </c>
      <c r="B3738" s="5" t="s">
        <v>11215</v>
      </c>
      <c r="C3738" s="4">
        <v>1.0</v>
      </c>
      <c r="D3738" s="5" t="s">
        <v>11216</v>
      </c>
      <c r="E3738" s="5" t="s">
        <v>11217</v>
      </c>
      <c r="F3738" s="6" t="str">
        <f>IFERROR(__xludf.DUMMYFUNCTION("GOOGLETRANSLATE(D3738,""en"",""it"")"),"Mi piace l'erba più di betulle.")</f>
        <v>Mi piace l'erba più di betulle.</v>
      </c>
      <c r="G3738" s="6" t="str">
        <f>IFERROR(__xludf.DUMMYFUNCTION("GOOGLETRANSLATE(E3738,""fr"",""it"")"),"Adoro il prato più delle betulle.")</f>
        <v>Adoro il prato più delle betulle.</v>
      </c>
    </row>
    <row r="3739">
      <c r="A3739" s="4">
        <v>3737.0</v>
      </c>
      <c r="B3739" s="5" t="s">
        <v>11218</v>
      </c>
      <c r="C3739" s="4">
        <v>0.0</v>
      </c>
      <c r="D3739" s="5" t="s">
        <v>11219</v>
      </c>
      <c r="E3739" s="5" t="s">
        <v>11220</v>
      </c>
      <c r="F3739" s="6" t="str">
        <f>IFERROR(__xludf.DUMMYFUNCTION("GOOGLETRANSLATE(D3739,""en"",""it"")"),"Mi piacciono le betulle più degli alberi.")</f>
        <v>Mi piacciono le betulle più degli alberi.</v>
      </c>
      <c r="G3739" s="6" t="str">
        <f>IFERROR(__xludf.DUMMYFUNCTION("GOOGLETRANSLATE(E3739,""fr"",""it"")"),"Amo le betulle più degli alberi.")</f>
        <v>Amo le betulle più degli alberi.</v>
      </c>
    </row>
    <row r="3740">
      <c r="A3740" s="4">
        <v>3738.0</v>
      </c>
      <c r="B3740" s="5" t="s">
        <v>11221</v>
      </c>
      <c r="C3740" s="4">
        <v>0.0</v>
      </c>
      <c r="D3740" s="5" t="s">
        <v>11222</v>
      </c>
      <c r="E3740" s="5" t="s">
        <v>11223</v>
      </c>
      <c r="F3740" s="6" t="str">
        <f>IFERROR(__xludf.DUMMYFUNCTION("GOOGLETRANSLATE(D3740,""en"",""it"")"),"Mi piacciono gli alberi più di betulle.")</f>
        <v>Mi piacciono gli alberi più di betulle.</v>
      </c>
      <c r="G3740" s="6" t="str">
        <f>IFERROR(__xludf.DUMMYFUNCTION("GOOGLETRANSLATE(E3740,""fr"",""it"")"),"Mi piacciono gli alberi più di betulle.")</f>
        <v>Mi piacciono gli alberi più di betulle.</v>
      </c>
    </row>
    <row r="3741">
      <c r="A3741" s="4">
        <v>3739.0</v>
      </c>
      <c r="B3741" s="5" t="s">
        <v>11224</v>
      </c>
      <c r="C3741" s="4">
        <v>1.0</v>
      </c>
      <c r="D3741" s="5" t="s">
        <v>11225</v>
      </c>
      <c r="E3741" s="5" t="s">
        <v>11226</v>
      </c>
      <c r="F3741" s="6" t="str">
        <f>IFERROR(__xludf.DUMMYFUNCTION("GOOGLETRANSLATE(D3741,""en"",""it"")"),"Mi piacciono le betulle più degli animali.")</f>
        <v>Mi piacciono le betulle più degli animali.</v>
      </c>
      <c r="G3741" s="6" t="str">
        <f>IFERROR(__xludf.DUMMYFUNCTION("GOOGLETRANSLATE(E3741,""fr"",""it"")"),"Amo le betulle più degli animali.")</f>
        <v>Amo le betulle più degli animali.</v>
      </c>
    </row>
    <row r="3742">
      <c r="A3742" s="4">
        <v>3740.0</v>
      </c>
      <c r="B3742" s="5" t="s">
        <v>11227</v>
      </c>
      <c r="C3742" s="4">
        <v>1.0</v>
      </c>
      <c r="D3742" s="5" t="s">
        <v>11228</v>
      </c>
      <c r="E3742" s="5" t="s">
        <v>11229</v>
      </c>
      <c r="F3742" s="6" t="str">
        <f>IFERROR(__xludf.DUMMYFUNCTION("GOOGLETRANSLATE(D3742,""en"",""it"")"),"Mi piacciono gli animali più di betulle.")</f>
        <v>Mi piacciono gli animali più di betulle.</v>
      </c>
      <c r="G3742" s="6" t="str">
        <f>IFERROR(__xludf.DUMMYFUNCTION("GOOGLETRANSLATE(E3742,""fr"",""it"")"),"Amo gli animali più della betulla.")</f>
        <v>Amo gli animali più della betulla.</v>
      </c>
    </row>
    <row r="3743">
      <c r="A3743" s="4">
        <v>3741.0</v>
      </c>
      <c r="B3743" s="5" t="s">
        <v>11230</v>
      </c>
      <c r="C3743" s="4">
        <v>0.0</v>
      </c>
      <c r="D3743" s="5" t="s">
        <v>11231</v>
      </c>
      <c r="E3743" s="5" t="s">
        <v>11232</v>
      </c>
      <c r="F3743" s="6" t="str">
        <f>IFERROR(__xludf.DUMMYFUNCTION("GOOGLETRANSLATE(D3743,""en"",""it"")"),"Mi piacciono i thriller, tranne i libri di testo.")</f>
        <v>Mi piacciono i thriller, tranne i libri di testo.</v>
      </c>
      <c r="G3743" s="6" t="str">
        <f>IFERROR(__xludf.DUMMYFUNCTION("GOOGLETRANSLATE(E3743,""fr"",""it"")"),"Mi piacciono i thriller, tranne i libri di testo.")</f>
        <v>Mi piacciono i thriller, tranne i libri di testo.</v>
      </c>
    </row>
    <row r="3744">
      <c r="A3744" s="4">
        <v>3742.0</v>
      </c>
      <c r="B3744" s="5" t="s">
        <v>11233</v>
      </c>
      <c r="C3744" s="4">
        <v>1.0</v>
      </c>
      <c r="D3744" s="5" t="s">
        <v>11234</v>
      </c>
      <c r="E3744" s="5" t="s">
        <v>11235</v>
      </c>
      <c r="F3744" s="6" t="str">
        <f>IFERROR(__xludf.DUMMYFUNCTION("GOOGLETRANSLATE(D3744,""en"",""it"")"),"Mi piacciono le betulle più dei cespugli.")</f>
        <v>Mi piacciono le betulle più dei cespugli.</v>
      </c>
      <c r="G3744" s="6" t="str">
        <f>IFERROR(__xludf.DUMMYFUNCTION("GOOGLETRANSLATE(E3744,""fr"",""it"")"),"Amo le betulle più dei cespugli.")</f>
        <v>Amo le betulle più dei cespugli.</v>
      </c>
    </row>
    <row r="3745">
      <c r="A3745" s="4">
        <v>3743.0</v>
      </c>
      <c r="B3745" s="5" t="s">
        <v>11236</v>
      </c>
      <c r="C3745" s="4">
        <v>1.0</v>
      </c>
      <c r="D3745" s="5" t="s">
        <v>11237</v>
      </c>
      <c r="E3745" s="5" t="s">
        <v>11238</v>
      </c>
      <c r="F3745" s="6" t="str">
        <f>IFERROR(__xludf.DUMMYFUNCTION("GOOGLETRANSLATE(D3745,""en"",""it"")"),"Mi piacciono i cespugli più di betulle.")</f>
        <v>Mi piacciono i cespugli più di betulle.</v>
      </c>
      <c r="G3745" s="6" t="str">
        <f>IFERROR(__xludf.DUMMYFUNCTION("GOOGLETRANSLATE(E3745,""fr"",""it"")"),"Amo i cespugli più della betulla.")</f>
        <v>Amo i cespugli più della betulla.</v>
      </c>
    </row>
    <row r="3746">
      <c r="A3746" s="4">
        <v>3744.0</v>
      </c>
      <c r="B3746" s="5" t="s">
        <v>11239</v>
      </c>
      <c r="C3746" s="4">
        <v>1.0</v>
      </c>
      <c r="D3746" s="5" t="s">
        <v>11240</v>
      </c>
      <c r="E3746" s="5" t="s">
        <v>11241</v>
      </c>
      <c r="F3746" s="6" t="str">
        <f>IFERROR(__xludf.DUMMYFUNCTION("GOOGLETRANSLATE(D3746,""en"",""it"")"),"Mi piacciono le betulle più degli arbusti.")</f>
        <v>Mi piacciono le betulle più degli arbusti.</v>
      </c>
      <c r="G3746" s="6" t="str">
        <f>IFERROR(__xludf.DUMMYFUNCTION("GOOGLETRANSLATE(E3746,""fr"",""it"")"),"Mi piacciono le betulle più degli arbusti.")</f>
        <v>Mi piacciono le betulle più degli arbusti.</v>
      </c>
    </row>
    <row r="3747">
      <c r="A3747" s="4">
        <v>3745.0</v>
      </c>
      <c r="B3747" s="5" t="s">
        <v>11242</v>
      </c>
      <c r="C3747" s="4">
        <v>1.0</v>
      </c>
      <c r="D3747" s="5" t="s">
        <v>11243</v>
      </c>
      <c r="E3747" s="5" t="s">
        <v>11244</v>
      </c>
      <c r="F3747" s="6" t="str">
        <f>IFERROR(__xludf.DUMMYFUNCTION("GOOGLETRANSLATE(D3747,""en"",""it"")"),"Mi piacciono gli arbusti più di betulle.")</f>
        <v>Mi piacciono gli arbusti più di betulle.</v>
      </c>
      <c r="G3747" s="6" t="str">
        <f>IFERROR(__xludf.DUMMYFUNCTION("GOOGLETRANSLATE(E3747,""fr"",""it"")"),"Mi piacciono gli arbusti più della betulla.")</f>
        <v>Mi piacciono gli arbusti più della betulla.</v>
      </c>
    </row>
    <row r="3748">
      <c r="A3748" s="4">
        <v>3746.0</v>
      </c>
      <c r="B3748" s="5" t="s">
        <v>11245</v>
      </c>
      <c r="C3748" s="4">
        <v>0.0</v>
      </c>
      <c r="D3748" s="5" t="s">
        <v>11246</v>
      </c>
      <c r="E3748" s="5" t="s">
        <v>11247</v>
      </c>
      <c r="F3748" s="6" t="str">
        <f>IFERROR(__xludf.DUMMYFUNCTION("GOOGLETRANSLATE(D3748,""en"",""it"")"),"Mi piacciono i libri di testo, tranne i thriller.")</f>
        <v>Mi piacciono i libri di testo, tranne i thriller.</v>
      </c>
      <c r="G3748" s="6" t="str">
        <f>IFERROR(__xludf.DUMMYFUNCTION("GOOGLETRANSLATE(E3748,""fr"",""it"")"),"Mi piacciono i libri di testo, tranne i thriller.")</f>
        <v>Mi piacciono i libri di testo, tranne i thriller.</v>
      </c>
    </row>
    <row r="3749">
      <c r="A3749" s="4">
        <v>3747.0</v>
      </c>
      <c r="B3749" s="5" t="s">
        <v>11248</v>
      </c>
      <c r="C3749" s="4">
        <v>0.0</v>
      </c>
      <c r="D3749" s="5" t="s">
        <v>11249</v>
      </c>
      <c r="E3749" s="5" t="s">
        <v>11250</v>
      </c>
      <c r="F3749" s="6" t="str">
        <f>IFERROR(__xludf.DUMMYFUNCTION("GOOGLETRANSLATE(D3749,""en"",""it"")"),"Mi piacciono i film, tranne i libri di testo.")</f>
        <v>Mi piacciono i film, tranne i libri di testo.</v>
      </c>
      <c r="G3749" s="6" t="str">
        <f>IFERROR(__xludf.DUMMYFUNCTION("GOOGLETRANSLATE(E3749,""fr"",""it"")"),"Adoro i film tranne i libri di testo.")</f>
        <v>Adoro i film tranne i libri di testo.</v>
      </c>
    </row>
    <row r="3750">
      <c r="A3750" s="4">
        <v>3748.0</v>
      </c>
      <c r="B3750" s="5" t="s">
        <v>11251</v>
      </c>
      <c r="C3750" s="4">
        <v>0.0</v>
      </c>
      <c r="D3750" s="5" t="s">
        <v>11252</v>
      </c>
      <c r="E3750" s="5" t="s">
        <v>11253</v>
      </c>
      <c r="F3750" s="6" t="str">
        <f>IFERROR(__xludf.DUMMYFUNCTION("GOOGLETRANSLATE(D3750,""en"",""it"")"),"Mi piacciono i thriller, tranne i corsisti.")</f>
        <v>Mi piacciono i thriller, tranne i corsisti.</v>
      </c>
      <c r="G3750" s="6" t="str">
        <f>IFERROR(__xludf.DUMMYFUNCTION("GOOGLETRANSLATE(E3750,""fr"",""it"")"),"Mi piacciono i thriller, tranne i giochi da tavolo.")</f>
        <v>Mi piacciono i thriller, tranne i giochi da tavolo.</v>
      </c>
    </row>
    <row r="3751">
      <c r="A3751" s="4">
        <v>3749.0</v>
      </c>
      <c r="B3751" s="5" t="s">
        <v>11254</v>
      </c>
      <c r="C3751" s="4">
        <v>1.0</v>
      </c>
      <c r="D3751" s="5" t="s">
        <v>11255</v>
      </c>
      <c r="E3751" s="5" t="s">
        <v>11256</v>
      </c>
      <c r="F3751" s="6" t="str">
        <f>IFERROR(__xludf.DUMMYFUNCTION("GOOGLETRANSLATE(D3751,""en"",""it"")"),"Mi piacciono gli abeti più dell'erba.")</f>
        <v>Mi piacciono gli abeti più dell'erba.</v>
      </c>
      <c r="G3751" s="6" t="str">
        <f>IFERROR(__xludf.DUMMYFUNCTION("GOOGLETRANSLATE(E3751,""fr"",""it"")"),"Adoro i federali più del prato.")</f>
        <v>Adoro i federali più del prato.</v>
      </c>
    </row>
    <row r="3752">
      <c r="A3752" s="4">
        <v>3750.0</v>
      </c>
      <c r="B3752" s="5" t="s">
        <v>11257</v>
      </c>
      <c r="C3752" s="4">
        <v>1.0</v>
      </c>
      <c r="D3752" s="5" t="s">
        <v>11258</v>
      </c>
      <c r="E3752" s="5" t="s">
        <v>11259</v>
      </c>
      <c r="F3752" s="6" t="str">
        <f>IFERROR(__xludf.DUMMYFUNCTION("GOOGLETRANSLATE(D3752,""en"",""it"")"),"Mi piace l'erba più degli abeti.")</f>
        <v>Mi piace l'erba più degli abeti.</v>
      </c>
      <c r="G3752" s="6" t="str">
        <f>IFERROR(__xludf.DUMMYFUNCTION("GOOGLETRANSLATE(E3752,""fr"",""it"")"),"Adoro il prato più degli abeti.")</f>
        <v>Adoro il prato più degli abeti.</v>
      </c>
    </row>
    <row r="3753">
      <c r="A3753" s="4">
        <v>3751.0</v>
      </c>
      <c r="B3753" s="5" t="s">
        <v>11260</v>
      </c>
      <c r="C3753" s="4">
        <v>0.0</v>
      </c>
      <c r="D3753" s="5" t="s">
        <v>11261</v>
      </c>
      <c r="E3753" s="5" t="s">
        <v>11262</v>
      </c>
      <c r="F3753" s="6" t="str">
        <f>IFERROR(__xludf.DUMMYFUNCTION("GOOGLETRANSLATE(D3753,""en"",""it"")"),"Mi piacciono gli abeti più degli alberi.")</f>
        <v>Mi piacciono gli abeti più degli alberi.</v>
      </c>
      <c r="G3753" s="6" t="str">
        <f>IFERROR(__xludf.DUMMYFUNCTION("GOOGLETRANSLATE(E3753,""fr"",""it"")"),"Amo i sapins più degli alberi.")</f>
        <v>Amo i sapins più degli alberi.</v>
      </c>
    </row>
    <row r="3754">
      <c r="A3754" s="4">
        <v>3752.0</v>
      </c>
      <c r="B3754" s="5" t="s">
        <v>11263</v>
      </c>
      <c r="C3754" s="4">
        <v>0.0</v>
      </c>
      <c r="D3754" s="5" t="s">
        <v>11264</v>
      </c>
      <c r="E3754" s="5" t="s">
        <v>11265</v>
      </c>
      <c r="F3754" s="6" t="str">
        <f>IFERROR(__xludf.DUMMYFUNCTION("GOOGLETRANSLATE(D3754,""en"",""it"")"),"Mi piacciono gli alberi più degli abeti.")</f>
        <v>Mi piacciono gli alberi più degli abeti.</v>
      </c>
      <c r="G3754" s="6" t="str">
        <f>IFERROR(__xludf.DUMMYFUNCTION("GOOGLETRANSLATE(E3754,""fr"",""it"")"),"Amo gli alberi più degli abeti.")</f>
        <v>Amo gli alberi più degli abeti.</v>
      </c>
    </row>
    <row r="3755">
      <c r="A3755" s="4">
        <v>3753.0</v>
      </c>
      <c r="B3755" s="5" t="s">
        <v>11266</v>
      </c>
      <c r="C3755" s="4">
        <v>1.0</v>
      </c>
      <c r="D3755" s="5" t="s">
        <v>11267</v>
      </c>
      <c r="E3755" s="5" t="s">
        <v>11268</v>
      </c>
      <c r="F3755" s="6" t="str">
        <f>IFERROR(__xludf.DUMMYFUNCTION("GOOGLETRANSLATE(D3755,""en"",""it"")"),"Mi piacciono gli abeti più degli animali.")</f>
        <v>Mi piacciono gli abeti più degli animali.</v>
      </c>
      <c r="G3755" s="6" t="str">
        <f>IFERROR(__xludf.DUMMYFUNCTION("GOOGLETRANSLATE(E3755,""fr"",""it"")"),"Amo i sapins più degli animali.")</f>
        <v>Amo i sapins più degli animali.</v>
      </c>
    </row>
    <row r="3756">
      <c r="A3756" s="4">
        <v>3754.0</v>
      </c>
      <c r="B3756" s="5" t="s">
        <v>11269</v>
      </c>
      <c r="C3756" s="4">
        <v>1.0</v>
      </c>
      <c r="D3756" s="5" t="s">
        <v>11270</v>
      </c>
      <c r="E3756" s="5" t="s">
        <v>11271</v>
      </c>
      <c r="F3756" s="6" t="str">
        <f>IFERROR(__xludf.DUMMYFUNCTION("GOOGLETRANSLATE(D3756,""en"",""it"")"),"Mi piacciono gli animali più degli abeti.")</f>
        <v>Mi piacciono gli animali più degli abeti.</v>
      </c>
      <c r="G3756" s="6" t="str">
        <f>IFERROR(__xludf.DUMMYFUNCTION("GOOGLETRANSLATE(E3756,""fr"",""it"")"),"Amo gli animali più degli abeti.")</f>
        <v>Amo gli animali più degli abeti.</v>
      </c>
    </row>
    <row r="3757">
      <c r="A3757" s="4">
        <v>3755.0</v>
      </c>
      <c r="B3757" s="5" t="s">
        <v>11272</v>
      </c>
      <c r="C3757" s="4">
        <v>0.0</v>
      </c>
      <c r="D3757" s="5" t="s">
        <v>11273</v>
      </c>
      <c r="E3757" s="5" t="s">
        <v>11274</v>
      </c>
      <c r="F3757" s="6" t="str">
        <f>IFERROR(__xludf.DUMMYFUNCTION("GOOGLETRANSLATE(D3757,""en"",""it"")"),"Mi piacciono i boardgames, tranne i thriller.")</f>
        <v>Mi piacciono i boardgames, tranne i thriller.</v>
      </c>
      <c r="G3757" s="6" t="str">
        <f>IFERROR(__xludf.DUMMYFUNCTION("GOOGLETRANSLATE(E3757,""fr"",""it"")"),"Mi piacciono i giochi da tavolo tranne i thriller.")</f>
        <v>Mi piacciono i giochi da tavolo tranne i thriller.</v>
      </c>
    </row>
    <row r="3758">
      <c r="A3758" s="4">
        <v>3756.0</v>
      </c>
      <c r="B3758" s="5" t="s">
        <v>11275</v>
      </c>
      <c r="C3758" s="4">
        <v>1.0</v>
      </c>
      <c r="D3758" s="5" t="s">
        <v>11276</v>
      </c>
      <c r="E3758" s="5" t="s">
        <v>11277</v>
      </c>
      <c r="F3758" s="6" t="str">
        <f>IFERROR(__xludf.DUMMYFUNCTION("GOOGLETRANSLATE(D3758,""en"",""it"")"),"Mi piacciono gli abeti più dei cespugli.")</f>
        <v>Mi piacciono gli abeti più dei cespugli.</v>
      </c>
      <c r="G3758" s="6" t="str">
        <f>IFERROR(__xludf.DUMMYFUNCTION("GOOGLETRANSLATE(E3758,""fr"",""it"")"),"Amo i sapins più dei cespugli.")</f>
        <v>Amo i sapins più dei cespugli.</v>
      </c>
    </row>
    <row r="3759">
      <c r="A3759" s="4">
        <v>3757.0</v>
      </c>
      <c r="B3759" s="5" t="s">
        <v>11278</v>
      </c>
      <c r="C3759" s="4">
        <v>1.0</v>
      </c>
      <c r="D3759" s="5" t="s">
        <v>11279</v>
      </c>
      <c r="E3759" s="5" t="s">
        <v>11280</v>
      </c>
      <c r="F3759" s="6" t="str">
        <f>IFERROR(__xludf.DUMMYFUNCTION("GOOGLETRANSLATE(D3759,""en"",""it"")"),"Mi piacciono i cespugli più degli abeti.")</f>
        <v>Mi piacciono i cespugli più degli abeti.</v>
      </c>
      <c r="G3759" s="6" t="str">
        <f>IFERROR(__xludf.DUMMYFUNCTION("GOOGLETRANSLATE(E3759,""fr"",""it"")"),"Mi piacciono i cespugli più degli abeti.")</f>
        <v>Mi piacciono i cespugli più degli abeti.</v>
      </c>
    </row>
    <row r="3760">
      <c r="A3760" s="4">
        <v>3758.0</v>
      </c>
      <c r="B3760" s="5" t="s">
        <v>11281</v>
      </c>
      <c r="C3760" s="4">
        <v>1.0</v>
      </c>
      <c r="D3760" s="5" t="s">
        <v>11282</v>
      </c>
      <c r="E3760" s="5" t="s">
        <v>11283</v>
      </c>
      <c r="F3760" s="6" t="str">
        <f>IFERROR(__xludf.DUMMYFUNCTION("GOOGLETRANSLATE(D3760,""en"",""it"")"),"Mi piacciono gli abeti più degli arbusti.")</f>
        <v>Mi piacciono gli abeti più degli arbusti.</v>
      </c>
      <c r="G3760" s="6" t="str">
        <f>IFERROR(__xludf.DUMMYFUNCTION("GOOGLETRANSLATE(E3760,""fr"",""it"")"),"Amo i sapins più degli arbusti.")</f>
        <v>Amo i sapins più degli arbusti.</v>
      </c>
    </row>
    <row r="3761">
      <c r="A3761" s="4">
        <v>3759.0</v>
      </c>
      <c r="B3761" s="5" t="s">
        <v>11284</v>
      </c>
      <c r="C3761" s="4">
        <v>1.0</v>
      </c>
      <c r="D3761" s="5" t="s">
        <v>11285</v>
      </c>
      <c r="E3761" s="5" t="s">
        <v>11286</v>
      </c>
      <c r="F3761" s="6" t="str">
        <f>IFERROR(__xludf.DUMMYFUNCTION("GOOGLETRANSLATE(D3761,""en"",""it"")"),"Mi piacciono gli arbusti più che gli abeti.")</f>
        <v>Mi piacciono gli arbusti più che gli abeti.</v>
      </c>
      <c r="G3761" s="6" t="str">
        <f>IFERROR(__xludf.DUMMYFUNCTION("GOOGLETRANSLATE(E3761,""fr"",""it"")"),"Amo gli arbusti più degli abeti.")</f>
        <v>Amo gli arbusti più degli abeti.</v>
      </c>
    </row>
    <row r="3762">
      <c r="A3762" s="4">
        <v>3760.0</v>
      </c>
      <c r="B3762" s="5" t="s">
        <v>11287</v>
      </c>
      <c r="C3762" s="4">
        <v>0.0</v>
      </c>
      <c r="D3762" s="5" t="s">
        <v>11288</v>
      </c>
      <c r="E3762" s="5" t="s">
        <v>11289</v>
      </c>
      <c r="F3762" s="6" t="str">
        <f>IFERROR(__xludf.DUMMYFUNCTION("GOOGLETRANSLATE(D3762,""en"",""it"")"),"Mi piacciono i film, tranne i corsioni da tavolo.")</f>
        <v>Mi piacciono i film, tranne i corsioni da tavolo.</v>
      </c>
      <c r="G3762" s="6" t="str">
        <f>IFERROR(__xludf.DUMMYFUNCTION("GOOGLETRANSLATE(E3762,""fr"",""it"")"),"Adoro i film tranne i giochi da tavolo.")</f>
        <v>Adoro i film tranne i giochi da tavolo.</v>
      </c>
    </row>
    <row r="3763">
      <c r="A3763" s="4">
        <v>3761.0</v>
      </c>
      <c r="B3763" s="5" t="s">
        <v>11290</v>
      </c>
      <c r="C3763" s="4">
        <v>0.0</v>
      </c>
      <c r="D3763" s="5" t="s">
        <v>11291</v>
      </c>
      <c r="E3763" s="5" t="s">
        <v>11292</v>
      </c>
      <c r="F3763" s="6" t="str">
        <f>IFERROR(__xludf.DUMMYFUNCTION("GOOGLETRANSLATE(D3763,""en"",""it"")"),"Mi piacciono i thriller, tranne i videogiochi.")</f>
        <v>Mi piacciono i thriller, tranne i videogiochi.</v>
      </c>
      <c r="G3763" s="6" t="str">
        <f>IFERROR(__xludf.DUMMYFUNCTION("GOOGLETRANSLATE(E3763,""fr"",""it"")"),"Mi piacciono i thriller, tranne i videogiochi.")</f>
        <v>Mi piacciono i thriller, tranne i videogiochi.</v>
      </c>
    </row>
    <row r="3764">
      <c r="A3764" s="4">
        <v>3762.0</v>
      </c>
      <c r="B3764" s="5" t="s">
        <v>11293</v>
      </c>
      <c r="C3764" s="4">
        <v>0.0</v>
      </c>
      <c r="D3764" s="5" t="s">
        <v>11294</v>
      </c>
      <c r="E3764" s="5" t="s">
        <v>11295</v>
      </c>
      <c r="F3764" s="6" t="str">
        <f>IFERROR(__xludf.DUMMYFUNCTION("GOOGLETRANSLATE(D3764,""en"",""it"")"),"Mi piacciono i videogiochi, tranne i thriller.")</f>
        <v>Mi piacciono i videogiochi, tranne i thriller.</v>
      </c>
      <c r="G3764" s="6" t="str">
        <f>IFERROR(__xludf.DUMMYFUNCTION("GOOGLETRANSLATE(E3764,""fr"",""it"")"),"Mi piacciono i videogiochi tranne i thriller.")</f>
        <v>Mi piacciono i videogiochi tranne i thriller.</v>
      </c>
    </row>
    <row r="3765">
      <c r="A3765" s="4">
        <v>3763.0</v>
      </c>
      <c r="B3765" s="5" t="s">
        <v>11296</v>
      </c>
      <c r="C3765" s="4">
        <v>1.0</v>
      </c>
      <c r="D3765" s="5" t="s">
        <v>11297</v>
      </c>
      <c r="E3765" s="5" t="s">
        <v>11298</v>
      </c>
      <c r="F3765" s="6" t="str">
        <f>IFERROR(__xludf.DUMMYFUNCTION("GOOGLETRANSLATE(D3765,""en"",""it"")"),"Mi piacciono i pini più dell'erba.")</f>
        <v>Mi piacciono i pini più dell'erba.</v>
      </c>
      <c r="G3765" s="6" t="str">
        <f>IFERROR(__xludf.DUMMYFUNCTION("GOOGLETRANSLATE(E3765,""fr"",""it"")"),"Amo i pini più del prato.")</f>
        <v>Amo i pini più del prato.</v>
      </c>
    </row>
    <row r="3766">
      <c r="A3766" s="4">
        <v>3764.0</v>
      </c>
      <c r="B3766" s="5" t="s">
        <v>11299</v>
      </c>
      <c r="C3766" s="4">
        <v>1.0</v>
      </c>
      <c r="D3766" s="5" t="s">
        <v>11300</v>
      </c>
      <c r="E3766" s="5" t="s">
        <v>11301</v>
      </c>
      <c r="F3766" s="6" t="str">
        <f>IFERROR(__xludf.DUMMYFUNCTION("GOOGLETRANSLATE(D3766,""en"",""it"")"),"Mi piace l'erba più dei pini.")</f>
        <v>Mi piace l'erba più dei pini.</v>
      </c>
      <c r="G3766" s="6" t="str">
        <f>IFERROR(__xludf.DUMMYFUNCTION("GOOGLETRANSLATE(E3766,""fr"",""it"")"),"Adoro il prato più dei pini.")</f>
        <v>Adoro il prato più dei pini.</v>
      </c>
    </row>
    <row r="3767">
      <c r="A3767" s="4">
        <v>3765.0</v>
      </c>
      <c r="B3767" s="5" t="s">
        <v>11302</v>
      </c>
      <c r="C3767" s="4">
        <v>0.0</v>
      </c>
      <c r="D3767" s="5" t="s">
        <v>11303</v>
      </c>
      <c r="E3767" s="5" t="s">
        <v>11304</v>
      </c>
      <c r="F3767" s="6" t="str">
        <f>IFERROR(__xludf.DUMMYFUNCTION("GOOGLETRANSLATE(D3767,""en"",""it"")"),"Mi piacciono i pini più degli alberi.")</f>
        <v>Mi piacciono i pini più degli alberi.</v>
      </c>
      <c r="G3767" s="6" t="str">
        <f>IFERROR(__xludf.DUMMYFUNCTION("GOOGLETRANSLATE(E3767,""fr"",""it"")"),"Amo i pini più degli alberi.")</f>
        <v>Amo i pini più degli alberi.</v>
      </c>
    </row>
    <row r="3768">
      <c r="A3768" s="4">
        <v>3766.0</v>
      </c>
      <c r="B3768" s="5" t="s">
        <v>11305</v>
      </c>
      <c r="C3768" s="4">
        <v>0.0</v>
      </c>
      <c r="D3768" s="5" t="s">
        <v>11306</v>
      </c>
      <c r="E3768" s="5" t="s">
        <v>11307</v>
      </c>
      <c r="F3768" s="6" t="str">
        <f>IFERROR(__xludf.DUMMYFUNCTION("GOOGLETRANSLATE(D3768,""en"",""it"")"),"Mi piacciono gli alberi più dei pini.")</f>
        <v>Mi piacciono gli alberi più dei pini.</v>
      </c>
      <c r="G3768" s="6" t="str">
        <f>IFERROR(__xludf.DUMMYFUNCTION("GOOGLETRANSLATE(E3768,""fr"",""it"")"),"Amo gli alberi più dei pini.")</f>
        <v>Amo gli alberi più dei pini.</v>
      </c>
    </row>
    <row r="3769">
      <c r="A3769" s="4">
        <v>3767.0</v>
      </c>
      <c r="B3769" s="5" t="s">
        <v>11308</v>
      </c>
      <c r="C3769" s="4">
        <v>1.0</v>
      </c>
      <c r="D3769" s="5" t="s">
        <v>11309</v>
      </c>
      <c r="E3769" s="5" t="s">
        <v>11310</v>
      </c>
      <c r="F3769" s="6" t="str">
        <f>IFERROR(__xludf.DUMMYFUNCTION("GOOGLETRANSLATE(D3769,""en"",""it"")"),"Mi piacciono i pini più degli animali.")</f>
        <v>Mi piacciono i pini più degli animali.</v>
      </c>
      <c r="G3769" s="6" t="str">
        <f>IFERROR(__xludf.DUMMYFUNCTION("GOOGLETRANSLATE(E3769,""fr"",""it"")"),"Amo i pini più degli animali.")</f>
        <v>Amo i pini più degli animali.</v>
      </c>
    </row>
    <row r="3770">
      <c r="A3770" s="4">
        <v>3768.0</v>
      </c>
      <c r="B3770" s="5" t="s">
        <v>11311</v>
      </c>
      <c r="C3770" s="4">
        <v>1.0</v>
      </c>
      <c r="D3770" s="5" t="s">
        <v>11312</v>
      </c>
      <c r="E3770" s="5" t="s">
        <v>11313</v>
      </c>
      <c r="F3770" s="6" t="str">
        <f>IFERROR(__xludf.DUMMYFUNCTION("GOOGLETRANSLATE(D3770,""en"",""it"")"),"Mi piacciono gli animali più dei pini.")</f>
        <v>Mi piacciono gli animali più dei pini.</v>
      </c>
      <c r="G3770" s="6" t="str">
        <f>IFERROR(__xludf.DUMMYFUNCTION("GOOGLETRANSLATE(E3770,""fr"",""it"")"),"Amo gli animali più dei pini.")</f>
        <v>Amo gli animali più dei pini.</v>
      </c>
    </row>
    <row r="3771">
      <c r="A3771" s="4">
        <v>3769.0</v>
      </c>
      <c r="B3771" s="5" t="s">
        <v>11314</v>
      </c>
      <c r="C3771" s="4">
        <v>1.0</v>
      </c>
      <c r="D3771" s="5" t="s">
        <v>11315</v>
      </c>
      <c r="E3771" s="5" t="s">
        <v>11316</v>
      </c>
      <c r="F3771" s="6" t="str">
        <f>IFERROR(__xludf.DUMMYFUNCTION("GOOGLETRANSLATE(D3771,""en"",""it"")"),"Mi piacciono i pini più dei cespugli.")</f>
        <v>Mi piacciono i pini più dei cespugli.</v>
      </c>
      <c r="G3771" s="6" t="str">
        <f>IFERROR(__xludf.DUMMYFUNCTION("GOOGLETRANSLATE(E3771,""fr"",""it"")"),"Amo i pini più dei cespugli.")</f>
        <v>Amo i pini più dei cespugli.</v>
      </c>
    </row>
    <row r="3772">
      <c r="A3772" s="4">
        <v>3770.0</v>
      </c>
      <c r="B3772" s="5" t="s">
        <v>11317</v>
      </c>
      <c r="C3772" s="4">
        <v>1.0</v>
      </c>
      <c r="D3772" s="5" t="s">
        <v>11318</v>
      </c>
      <c r="E3772" s="5" t="s">
        <v>11319</v>
      </c>
      <c r="F3772" s="6" t="str">
        <f>IFERROR(__xludf.DUMMYFUNCTION("GOOGLETRANSLATE(D3772,""en"",""it"")"),"Mi piacciono i cespugli più dei pini.")</f>
        <v>Mi piacciono i cespugli più dei pini.</v>
      </c>
      <c r="G3772" s="6" t="str">
        <f>IFERROR(__xludf.DUMMYFUNCTION("GOOGLETRANSLATE(E3772,""fr"",""it"")"),"Amo i cespugli più dei pini.")</f>
        <v>Amo i cespugli più dei pini.</v>
      </c>
    </row>
    <row r="3773">
      <c r="A3773" s="4">
        <v>3771.0</v>
      </c>
      <c r="B3773" s="5" t="s">
        <v>11320</v>
      </c>
      <c r="C3773" s="4">
        <v>1.0</v>
      </c>
      <c r="D3773" s="5" t="s">
        <v>11321</v>
      </c>
      <c r="E3773" s="5" t="s">
        <v>11322</v>
      </c>
      <c r="F3773" s="6" t="str">
        <f>IFERROR(__xludf.DUMMYFUNCTION("GOOGLETRANSLATE(D3773,""en"",""it"")"),"Mi piacciono i pini più degli arbusti.")</f>
        <v>Mi piacciono i pini più degli arbusti.</v>
      </c>
      <c r="G3773" s="6" t="str">
        <f>IFERROR(__xludf.DUMMYFUNCTION("GOOGLETRANSLATE(E3773,""fr"",""it"")"),"Amo i pini più degli arbusti.")</f>
        <v>Amo i pini più degli arbusti.</v>
      </c>
    </row>
    <row r="3774">
      <c r="A3774" s="4">
        <v>3772.0</v>
      </c>
      <c r="B3774" s="5" t="s">
        <v>11323</v>
      </c>
      <c r="C3774" s="4">
        <v>1.0</v>
      </c>
      <c r="D3774" s="5" t="s">
        <v>11324</v>
      </c>
      <c r="E3774" s="5" t="s">
        <v>11325</v>
      </c>
      <c r="F3774" s="6" t="str">
        <f>IFERROR(__xludf.DUMMYFUNCTION("GOOGLETRANSLATE(D3774,""en"",""it"")"),"Mi piacciono gli arbusti più dei pini.")</f>
        <v>Mi piacciono gli arbusti più dei pini.</v>
      </c>
      <c r="G3774" s="6" t="str">
        <f>IFERROR(__xludf.DUMMYFUNCTION("GOOGLETRANSLATE(E3774,""fr"",""it"")"),"Mi piacciono gli arbusti più dei pini.")</f>
        <v>Mi piacciono gli arbusti più dei pini.</v>
      </c>
    </row>
    <row r="3775">
      <c r="A3775" s="4">
        <v>3773.0</v>
      </c>
      <c r="B3775" s="5" t="s">
        <v>11326</v>
      </c>
      <c r="C3775" s="4">
        <v>0.0</v>
      </c>
      <c r="D3775" s="5" t="s">
        <v>11327</v>
      </c>
      <c r="E3775" s="5" t="s">
        <v>11328</v>
      </c>
      <c r="F3775" s="6" t="str">
        <f>IFERROR(__xludf.DUMMYFUNCTION("GOOGLETRANSLATE(D3775,""en"",""it"")"),"Mi piacciono i film, tranne i videogiochi.")</f>
        <v>Mi piacciono i film, tranne i videogiochi.</v>
      </c>
      <c r="G3775" s="6" t="str">
        <f>IFERROR(__xludf.DUMMYFUNCTION("GOOGLETRANSLATE(E3775,""fr"",""it"")"),"Adoro i film tranne i videogiochi.")</f>
        <v>Adoro i film tranne i videogiochi.</v>
      </c>
    </row>
    <row r="3776">
      <c r="A3776" s="4">
        <v>3774.0</v>
      </c>
      <c r="B3776" s="5" t="s">
        <v>11329</v>
      </c>
      <c r="C3776" s="4">
        <v>1.0</v>
      </c>
      <c r="D3776" s="5" t="s">
        <v>11330</v>
      </c>
      <c r="E3776" s="5" t="s">
        <v>11331</v>
      </c>
      <c r="F3776" s="6" t="str">
        <f>IFERROR(__xludf.DUMMYFUNCTION("GOOGLETRANSLATE(D3776,""en"",""it"")"),"Uso il poliestere più del legno.")</f>
        <v>Uso il poliestere più del legno.</v>
      </c>
      <c r="G3776" s="6" t="str">
        <f>IFERROR(__xludf.DUMMYFUNCTION("GOOGLETRANSLATE(E3776,""fr"",""it"")"),"Uso il poliestere più del legno.")</f>
        <v>Uso il poliestere più del legno.</v>
      </c>
    </row>
    <row r="3777">
      <c r="A3777" s="4">
        <v>3775.0</v>
      </c>
      <c r="B3777" s="5" t="s">
        <v>11332</v>
      </c>
      <c r="C3777" s="4">
        <v>1.0</v>
      </c>
      <c r="D3777" s="5" t="s">
        <v>11333</v>
      </c>
      <c r="E3777" s="5" t="s">
        <v>11334</v>
      </c>
      <c r="F3777" s="6" t="str">
        <f>IFERROR(__xludf.DUMMYFUNCTION("GOOGLETRANSLATE(D3777,""en"",""it"")"),"Io uso il legno più del poliestere.")</f>
        <v>Io uso il legno più del poliestere.</v>
      </c>
      <c r="G3777" s="6" t="str">
        <f>IFERROR(__xludf.DUMMYFUNCTION("GOOGLETRANSLATE(E3777,""fr"",""it"")"),"Io uso il legno più del poliestere.")</f>
        <v>Io uso il legno più del poliestere.</v>
      </c>
    </row>
    <row r="3778">
      <c r="A3778" s="4">
        <v>3776.0</v>
      </c>
      <c r="B3778" s="5" t="s">
        <v>11335</v>
      </c>
      <c r="C3778" s="4">
        <v>0.0</v>
      </c>
      <c r="D3778" s="5" t="s">
        <v>11336</v>
      </c>
      <c r="E3778" s="5" t="s">
        <v>11337</v>
      </c>
      <c r="F3778" s="6" t="str">
        <f>IFERROR(__xludf.DUMMYFUNCTION("GOOGLETRANSLATE(D3778,""en"",""it"")"),"Uso il poliestere più della plastica.")</f>
        <v>Uso il poliestere più della plastica.</v>
      </c>
      <c r="G3778" s="6" t="str">
        <f>IFERROR(__xludf.DUMMYFUNCTION("GOOGLETRANSLATE(E3778,""fr"",""it"")"),"Uso il poliestere più della plastica.")</f>
        <v>Uso il poliestere più della plastica.</v>
      </c>
    </row>
    <row r="3779">
      <c r="A3779" s="4">
        <v>3777.0</v>
      </c>
      <c r="B3779" s="5" t="s">
        <v>11338</v>
      </c>
      <c r="C3779" s="4">
        <v>0.0</v>
      </c>
      <c r="D3779" s="5" t="s">
        <v>11339</v>
      </c>
      <c r="E3779" s="5" t="s">
        <v>11340</v>
      </c>
      <c r="F3779" s="6" t="str">
        <f>IFERROR(__xludf.DUMMYFUNCTION("GOOGLETRANSLATE(D3779,""en"",""it"")"),"Io uso la plastica più del poliestere.")</f>
        <v>Io uso la plastica più del poliestere.</v>
      </c>
      <c r="G3779" s="6" t="str">
        <f>IFERROR(__xludf.DUMMYFUNCTION("GOOGLETRANSLATE(E3779,""fr"",""it"")"),"Io uso la plastica più del poliestere.")</f>
        <v>Io uso la plastica più del poliestere.</v>
      </c>
    </row>
    <row r="3780">
      <c r="A3780" s="4">
        <v>3778.0</v>
      </c>
      <c r="B3780" s="5" t="s">
        <v>11341</v>
      </c>
      <c r="C3780" s="4">
        <v>1.0</v>
      </c>
      <c r="D3780" s="5" t="s">
        <v>11342</v>
      </c>
      <c r="E3780" s="5" t="s">
        <v>11343</v>
      </c>
      <c r="F3780" s="6" t="str">
        <f>IFERROR(__xludf.DUMMYFUNCTION("GOOGLETRANSLATE(D3780,""en"",""it"")"),"Io uso la plastica più del legno.")</f>
        <v>Io uso la plastica più del legno.</v>
      </c>
      <c r="G3780" s="6" t="str">
        <f>IFERROR(__xludf.DUMMYFUNCTION("GOOGLETRANSLATE(E3780,""fr"",""it"")"),"Io uso la plastica più del legno.")</f>
        <v>Io uso la plastica più del legno.</v>
      </c>
    </row>
    <row r="3781">
      <c r="A3781" s="4">
        <v>3779.0</v>
      </c>
      <c r="B3781" s="5" t="s">
        <v>11344</v>
      </c>
      <c r="C3781" s="4">
        <v>1.0</v>
      </c>
      <c r="D3781" s="5" t="s">
        <v>11345</v>
      </c>
      <c r="E3781" s="5" t="s">
        <v>11346</v>
      </c>
      <c r="F3781" s="6" t="str">
        <f>IFERROR(__xludf.DUMMYFUNCTION("GOOGLETRANSLATE(D3781,""en"",""it"")"),"Io uso il poliestere più del cotone.")</f>
        <v>Io uso il poliestere più del cotone.</v>
      </c>
      <c r="G3781" s="6" t="str">
        <f>IFERROR(__xludf.DUMMYFUNCTION("GOOGLETRANSLATE(E3781,""fr"",""it"")"),"Io uso il poliestere più del cotone.")</f>
        <v>Io uso il poliestere più del cotone.</v>
      </c>
    </row>
    <row r="3782">
      <c r="A3782" s="4">
        <v>3780.0</v>
      </c>
      <c r="B3782" s="5" t="s">
        <v>11347</v>
      </c>
      <c r="C3782" s="4">
        <v>1.0</v>
      </c>
      <c r="D3782" s="5" t="s">
        <v>11348</v>
      </c>
      <c r="E3782" s="5" t="s">
        <v>11349</v>
      </c>
      <c r="F3782" s="6" t="str">
        <f>IFERROR(__xludf.DUMMYFUNCTION("GOOGLETRANSLATE(D3782,""en"",""it"")"),"Uso il cotone più del poliestere.")</f>
        <v>Uso il cotone più del poliestere.</v>
      </c>
      <c r="G3782" s="6" t="str">
        <f>IFERROR(__xludf.DUMMYFUNCTION("GOOGLETRANSLATE(E3782,""fr"",""it"")"),"Uso il cotone più del poliestere.")</f>
        <v>Uso il cotone più del poliestere.</v>
      </c>
    </row>
    <row r="3783">
      <c r="A3783" s="4">
        <v>3781.0</v>
      </c>
      <c r="B3783" s="5" t="s">
        <v>11350</v>
      </c>
      <c r="C3783" s="4">
        <v>1.0</v>
      </c>
      <c r="D3783" s="5" t="s">
        <v>11351</v>
      </c>
      <c r="E3783" s="5" t="s">
        <v>11352</v>
      </c>
      <c r="F3783" s="6" t="str">
        <f>IFERROR(__xludf.DUMMYFUNCTION("GOOGLETRANSLATE(D3783,""en"",""it"")"),"Io uso la plastica più del cotone.")</f>
        <v>Io uso la plastica più del cotone.</v>
      </c>
      <c r="G3783" s="6" t="str">
        <f>IFERROR(__xludf.DUMMYFUNCTION("GOOGLETRANSLATE(E3783,""fr"",""it"")"),"Io uso la plastica più del cotone.")</f>
        <v>Io uso la plastica più del cotone.</v>
      </c>
    </row>
    <row r="3784">
      <c r="A3784" s="4">
        <v>3782.0</v>
      </c>
      <c r="B3784" s="5" t="s">
        <v>11353</v>
      </c>
      <c r="C3784" s="4">
        <v>1.0</v>
      </c>
      <c r="D3784" s="5" t="s">
        <v>11354</v>
      </c>
      <c r="E3784" s="5" t="s">
        <v>11355</v>
      </c>
      <c r="F3784" s="6" t="str">
        <f>IFERROR(__xludf.DUMMYFUNCTION("GOOGLETRANSLATE(D3784,""en"",""it"")"),"Io uso il poliestere più del vetro.")</f>
        <v>Io uso il poliestere più del vetro.</v>
      </c>
      <c r="G3784" s="6" t="str">
        <f>IFERROR(__xludf.DUMMYFUNCTION("GOOGLETRANSLATE(E3784,""fr"",""it"")"),"Io uso il poliestere più del vetro.")</f>
        <v>Io uso il poliestere più del vetro.</v>
      </c>
    </row>
    <row r="3785">
      <c r="A3785" s="4">
        <v>3783.0</v>
      </c>
      <c r="B3785" s="5" t="s">
        <v>11356</v>
      </c>
      <c r="C3785" s="4">
        <v>1.0</v>
      </c>
      <c r="D3785" s="5" t="s">
        <v>11357</v>
      </c>
      <c r="E3785" s="5" t="s">
        <v>11358</v>
      </c>
      <c r="F3785" s="6" t="str">
        <f>IFERROR(__xludf.DUMMYFUNCTION("GOOGLETRANSLATE(D3785,""en"",""it"")"),"Io uso il vetro più del poliestere.")</f>
        <v>Io uso il vetro più del poliestere.</v>
      </c>
      <c r="G3785" s="6" t="str">
        <f>IFERROR(__xludf.DUMMYFUNCTION("GOOGLETRANSLATE(E3785,""fr"",""it"")"),"Io uso il vetro più del poliestere.")</f>
        <v>Io uso il vetro più del poliestere.</v>
      </c>
    </row>
    <row r="3786">
      <c r="A3786" s="4">
        <v>3784.0</v>
      </c>
      <c r="B3786" s="5" t="s">
        <v>11359</v>
      </c>
      <c r="C3786" s="4">
        <v>1.0</v>
      </c>
      <c r="D3786" s="5" t="s">
        <v>11360</v>
      </c>
      <c r="E3786" s="5" t="s">
        <v>11361</v>
      </c>
      <c r="F3786" s="6" t="str">
        <f>IFERROR(__xludf.DUMMYFUNCTION("GOOGLETRANSLATE(D3786,""en"",""it"")"),"Io uso la plastica più del vetro.")</f>
        <v>Io uso la plastica più del vetro.</v>
      </c>
      <c r="G3786" s="6" t="str">
        <f>IFERROR(__xludf.DUMMYFUNCTION("GOOGLETRANSLATE(E3786,""fr"",""it"")"),"Io uso la plastica più del vetro.")</f>
        <v>Io uso la plastica più del vetro.</v>
      </c>
    </row>
    <row r="3787">
      <c r="A3787" s="4">
        <v>3785.0</v>
      </c>
      <c r="B3787" s="5" t="s">
        <v>11362</v>
      </c>
      <c r="C3787" s="4">
        <v>1.0</v>
      </c>
      <c r="D3787" s="5" t="s">
        <v>11363</v>
      </c>
      <c r="E3787" s="5" t="s">
        <v>11364</v>
      </c>
      <c r="F3787" s="6" t="str">
        <f>IFERROR(__xludf.DUMMYFUNCTION("GOOGLETRANSLATE(D3787,""en"",""it"")"),"Io uso il poliestere più della pelle.")</f>
        <v>Io uso il poliestere più della pelle.</v>
      </c>
      <c r="G3787" s="6" t="str">
        <f>IFERROR(__xludf.DUMMYFUNCTION("GOOGLETRANSLATE(E3787,""fr"",""it"")"),"Io uso il poliestere più della pelle.")</f>
        <v>Io uso il poliestere più della pelle.</v>
      </c>
    </row>
    <row r="3788">
      <c r="A3788" s="4">
        <v>3786.0</v>
      </c>
      <c r="B3788" s="5" t="s">
        <v>11365</v>
      </c>
      <c r="C3788" s="4">
        <v>1.0</v>
      </c>
      <c r="D3788" s="5" t="s">
        <v>11366</v>
      </c>
      <c r="E3788" s="5" t="s">
        <v>11367</v>
      </c>
      <c r="F3788" s="6" t="str">
        <f>IFERROR(__xludf.DUMMYFUNCTION("GOOGLETRANSLATE(D3788,""en"",""it"")"),"Io uso la pelle più del poliestere.")</f>
        <v>Io uso la pelle più del poliestere.</v>
      </c>
      <c r="G3788" s="6" t="str">
        <f>IFERROR(__xludf.DUMMYFUNCTION("GOOGLETRANSLATE(E3788,""fr"",""it"")"),"Io uso la pelle più del poliestere.")</f>
        <v>Io uso la pelle più del poliestere.</v>
      </c>
    </row>
    <row r="3789">
      <c r="A3789" s="4">
        <v>3787.0</v>
      </c>
      <c r="B3789" s="5" t="s">
        <v>11368</v>
      </c>
      <c r="C3789" s="4">
        <v>1.0</v>
      </c>
      <c r="D3789" s="5" t="s">
        <v>11369</v>
      </c>
      <c r="E3789" s="5" t="s">
        <v>11370</v>
      </c>
      <c r="F3789" s="6" t="str">
        <f>IFERROR(__xludf.DUMMYFUNCTION("GOOGLETRANSLATE(D3789,""en"",""it"")"),"Io uso la plastica più della pelle.")</f>
        <v>Io uso la plastica più della pelle.</v>
      </c>
      <c r="G3789" s="6" t="str">
        <f>IFERROR(__xludf.DUMMYFUNCTION("GOOGLETRANSLATE(E3789,""fr"",""it"")"),"Io uso la plastica più della pelle.")</f>
        <v>Io uso la plastica più della pelle.</v>
      </c>
    </row>
    <row r="3790">
      <c r="A3790" s="4">
        <v>3788.0</v>
      </c>
      <c r="B3790" s="5" t="s">
        <v>11371</v>
      </c>
      <c r="C3790" s="4">
        <v>1.0</v>
      </c>
      <c r="D3790" s="5" t="s">
        <v>11372</v>
      </c>
      <c r="E3790" s="5" t="s">
        <v>11373</v>
      </c>
      <c r="F3790" s="6" t="str">
        <f>IFERROR(__xludf.DUMMYFUNCTION("GOOGLETRANSLATE(D3790,""en"",""it"")"),"Io uso il nylon più del legno.")</f>
        <v>Io uso il nylon più del legno.</v>
      </c>
      <c r="G3790" s="6" t="str">
        <f>IFERROR(__xludf.DUMMYFUNCTION("GOOGLETRANSLATE(E3790,""fr"",""it"")"),"Io uso il nylon più del legno.")</f>
        <v>Io uso il nylon più del legno.</v>
      </c>
    </row>
    <row r="3791">
      <c r="A3791" s="4">
        <v>3789.0</v>
      </c>
      <c r="B3791" s="5" t="s">
        <v>11374</v>
      </c>
      <c r="C3791" s="4">
        <v>1.0</v>
      </c>
      <c r="D3791" s="5" t="s">
        <v>11375</v>
      </c>
      <c r="E3791" s="5" t="s">
        <v>11376</v>
      </c>
      <c r="F3791" s="6" t="str">
        <f>IFERROR(__xludf.DUMMYFUNCTION("GOOGLETRANSLATE(D3791,""en"",""it"")"),"Io uso il legno più del nylon.")</f>
        <v>Io uso il legno più del nylon.</v>
      </c>
      <c r="G3791" s="6" t="str">
        <f>IFERROR(__xludf.DUMMYFUNCTION("GOOGLETRANSLATE(E3791,""fr"",""it"")"),"Io uso il legno più del nylon.")</f>
        <v>Io uso il legno più del nylon.</v>
      </c>
    </row>
    <row r="3792">
      <c r="A3792" s="4">
        <v>3790.0</v>
      </c>
      <c r="B3792" s="5" t="s">
        <v>11377</v>
      </c>
      <c r="C3792" s="4">
        <v>0.0</v>
      </c>
      <c r="D3792" s="5" t="s">
        <v>11378</v>
      </c>
      <c r="E3792" s="5" t="s">
        <v>11379</v>
      </c>
      <c r="F3792" s="6" t="str">
        <f>IFERROR(__xludf.DUMMYFUNCTION("GOOGLETRANSLATE(D3792,""en"",""it"")"),"Io uso il nylon più della plastica.")</f>
        <v>Io uso il nylon più della plastica.</v>
      </c>
      <c r="G3792" s="6" t="str">
        <f>IFERROR(__xludf.DUMMYFUNCTION("GOOGLETRANSLATE(E3792,""fr"",""it"")"),"Io uso il nylon più della plastica.")</f>
        <v>Io uso il nylon più della plastica.</v>
      </c>
    </row>
    <row r="3793">
      <c r="A3793" s="4">
        <v>3791.0</v>
      </c>
      <c r="B3793" s="5" t="s">
        <v>11380</v>
      </c>
      <c r="C3793" s="4">
        <v>0.0</v>
      </c>
      <c r="D3793" s="5" t="s">
        <v>11381</v>
      </c>
      <c r="E3793" s="5" t="s">
        <v>11382</v>
      </c>
      <c r="F3793" s="6" t="str">
        <f>IFERROR(__xludf.DUMMYFUNCTION("GOOGLETRANSLATE(D3793,""en"",""it"")"),"Io uso la plastica più del nylon.")</f>
        <v>Io uso la plastica più del nylon.</v>
      </c>
      <c r="G3793" s="6" t="str">
        <f>IFERROR(__xludf.DUMMYFUNCTION("GOOGLETRANSLATE(E3793,""fr"",""it"")"),"Io uso la plastica più del nylon.")</f>
        <v>Io uso la plastica più del nylon.</v>
      </c>
    </row>
    <row r="3794">
      <c r="A3794" s="4">
        <v>3792.0</v>
      </c>
      <c r="B3794" s="5" t="s">
        <v>11383</v>
      </c>
      <c r="C3794" s="4">
        <v>1.0</v>
      </c>
      <c r="D3794" s="5" t="s">
        <v>11384</v>
      </c>
      <c r="E3794" s="5" t="s">
        <v>11385</v>
      </c>
      <c r="F3794" s="6" t="str">
        <f>IFERROR(__xludf.DUMMYFUNCTION("GOOGLETRANSLATE(D3794,""en"",""it"")"),"Io uso il nylon più del cotone.")</f>
        <v>Io uso il nylon più del cotone.</v>
      </c>
      <c r="G3794" s="6" t="str">
        <f>IFERROR(__xludf.DUMMYFUNCTION("GOOGLETRANSLATE(E3794,""fr"",""it"")"),"Io uso il nylon più del cotone.")</f>
        <v>Io uso il nylon più del cotone.</v>
      </c>
    </row>
    <row r="3795">
      <c r="A3795" s="4">
        <v>3793.0</v>
      </c>
      <c r="B3795" s="5" t="s">
        <v>11386</v>
      </c>
      <c r="C3795" s="4">
        <v>1.0</v>
      </c>
      <c r="D3795" s="5" t="s">
        <v>11387</v>
      </c>
      <c r="E3795" s="5" t="s">
        <v>11388</v>
      </c>
      <c r="F3795" s="6" t="str">
        <f>IFERROR(__xludf.DUMMYFUNCTION("GOOGLETRANSLATE(D3795,""en"",""it"")"),"Io uso il cotone più del nylon.")</f>
        <v>Io uso il cotone più del nylon.</v>
      </c>
      <c r="G3795" s="6" t="str">
        <f>IFERROR(__xludf.DUMMYFUNCTION("GOOGLETRANSLATE(E3795,""fr"",""it"")"),"Io uso il cotone più del nylon.")</f>
        <v>Io uso il cotone più del nylon.</v>
      </c>
    </row>
    <row r="3796">
      <c r="A3796" s="4">
        <v>3794.0</v>
      </c>
      <c r="B3796" s="5" t="s">
        <v>11389</v>
      </c>
      <c r="C3796" s="4">
        <v>1.0</v>
      </c>
      <c r="D3796" s="5" t="s">
        <v>11390</v>
      </c>
      <c r="E3796" s="5" t="s">
        <v>11391</v>
      </c>
      <c r="F3796" s="6" t="str">
        <f>IFERROR(__xludf.DUMMYFUNCTION("GOOGLETRANSLATE(D3796,""en"",""it"")"),"Io uso il nylon più del vetro.")</f>
        <v>Io uso il nylon più del vetro.</v>
      </c>
      <c r="G3796" s="6" t="str">
        <f>IFERROR(__xludf.DUMMYFUNCTION("GOOGLETRANSLATE(E3796,""fr"",""it"")"),"Io uso il nylon più del vetro.")</f>
        <v>Io uso il nylon più del vetro.</v>
      </c>
    </row>
    <row r="3797">
      <c r="A3797" s="4">
        <v>3795.0</v>
      </c>
      <c r="B3797" s="5" t="s">
        <v>11392</v>
      </c>
      <c r="C3797" s="4">
        <v>1.0</v>
      </c>
      <c r="D3797" s="5" t="s">
        <v>11393</v>
      </c>
      <c r="E3797" s="5" t="s">
        <v>11394</v>
      </c>
      <c r="F3797" s="6" t="str">
        <f>IFERROR(__xludf.DUMMYFUNCTION("GOOGLETRANSLATE(D3797,""en"",""it"")"),"Io uso il vetro più del nylon.")</f>
        <v>Io uso il vetro più del nylon.</v>
      </c>
      <c r="G3797" s="6" t="str">
        <f>IFERROR(__xludf.DUMMYFUNCTION("GOOGLETRANSLATE(E3797,""fr"",""it"")"),"Io uso il vetro più del nylon.")</f>
        <v>Io uso il vetro più del nylon.</v>
      </c>
    </row>
    <row r="3798">
      <c r="A3798" s="4">
        <v>3796.0</v>
      </c>
      <c r="B3798" s="5" t="s">
        <v>11395</v>
      </c>
      <c r="C3798" s="4">
        <v>1.0</v>
      </c>
      <c r="D3798" s="5" t="s">
        <v>11396</v>
      </c>
      <c r="E3798" s="5" t="s">
        <v>11397</v>
      </c>
      <c r="F3798" s="6" t="str">
        <f>IFERROR(__xludf.DUMMYFUNCTION("GOOGLETRANSLATE(D3798,""en"",""it"")"),"Io uso il nylon più della pelle.")</f>
        <v>Io uso il nylon più della pelle.</v>
      </c>
      <c r="G3798" s="6" t="str">
        <f>IFERROR(__xludf.DUMMYFUNCTION("GOOGLETRANSLATE(E3798,""fr"",""it"")"),"Io uso il nylon più della pelle.")</f>
        <v>Io uso il nylon più della pelle.</v>
      </c>
    </row>
    <row r="3799">
      <c r="A3799" s="4">
        <v>3797.0</v>
      </c>
      <c r="B3799" s="5" t="s">
        <v>11398</v>
      </c>
      <c r="C3799" s="4">
        <v>1.0</v>
      </c>
      <c r="D3799" s="5" t="s">
        <v>11399</v>
      </c>
      <c r="E3799" s="5" t="s">
        <v>11400</v>
      </c>
      <c r="F3799" s="6" t="str">
        <f>IFERROR(__xludf.DUMMYFUNCTION("GOOGLETRANSLATE(D3799,""en"",""it"")"),"Io uso la pelle più del nylon.")</f>
        <v>Io uso la pelle più del nylon.</v>
      </c>
      <c r="G3799" s="6" t="str">
        <f>IFERROR(__xludf.DUMMYFUNCTION("GOOGLETRANSLATE(E3799,""fr"",""it"")"),"Io uso la pelle più del nylon.")</f>
        <v>Io uso la pelle più del nylon.</v>
      </c>
    </row>
    <row r="3800">
      <c r="A3800" s="4">
        <v>3798.0</v>
      </c>
      <c r="B3800" s="5" t="s">
        <v>11401</v>
      </c>
      <c r="C3800" s="4">
        <v>1.0</v>
      </c>
      <c r="D3800" s="5" t="s">
        <v>11402</v>
      </c>
      <c r="E3800" s="5" t="s">
        <v>11403</v>
      </c>
      <c r="F3800" s="6" t="str">
        <f>IFERROR(__xludf.DUMMYFUNCTION("GOOGLETRANSLATE(D3800,""en"",""it"")"),"Io uso il vinile più del legno.")</f>
        <v>Io uso il vinile più del legno.</v>
      </c>
      <c r="G3800" s="6" t="str">
        <f>IFERROR(__xludf.DUMMYFUNCTION("GOOGLETRANSLATE(E3800,""fr"",""it"")"),"Io uso il vinile più del legno.")</f>
        <v>Io uso il vinile più del legno.</v>
      </c>
    </row>
    <row r="3801">
      <c r="A3801" s="4">
        <v>3799.0</v>
      </c>
      <c r="B3801" s="5" t="s">
        <v>11404</v>
      </c>
      <c r="C3801" s="4">
        <v>1.0</v>
      </c>
      <c r="D3801" s="5" t="s">
        <v>11405</v>
      </c>
      <c r="E3801" s="5" t="s">
        <v>11406</v>
      </c>
      <c r="F3801" s="6" t="str">
        <f>IFERROR(__xludf.DUMMYFUNCTION("GOOGLETRANSLATE(D3801,""en"",""it"")"),"Io uso il legno più del vinile.")</f>
        <v>Io uso il legno più del vinile.</v>
      </c>
      <c r="G3801" s="6" t="str">
        <f>IFERROR(__xludf.DUMMYFUNCTION("GOOGLETRANSLATE(E3801,""fr"",""it"")"),"Io uso il legno più del vinile.")</f>
        <v>Io uso il legno più del vinile.</v>
      </c>
    </row>
    <row r="3802">
      <c r="A3802" s="4">
        <v>3800.0</v>
      </c>
      <c r="B3802" s="5" t="s">
        <v>11407</v>
      </c>
      <c r="C3802" s="4">
        <v>0.0</v>
      </c>
      <c r="D3802" s="5" t="s">
        <v>11408</v>
      </c>
      <c r="E3802" s="5" t="s">
        <v>11409</v>
      </c>
      <c r="F3802" s="6" t="str">
        <f>IFERROR(__xludf.DUMMYFUNCTION("GOOGLETRANSLATE(D3802,""en"",""it"")"),"Io uso il vinile più della plastica.")</f>
        <v>Io uso il vinile più della plastica.</v>
      </c>
      <c r="G3802" s="6" t="str">
        <f>IFERROR(__xludf.DUMMYFUNCTION("GOOGLETRANSLATE(E3802,""fr"",""it"")"),"Io uso il vinile più della plastica.")</f>
        <v>Io uso il vinile più della plastica.</v>
      </c>
    </row>
    <row r="3803">
      <c r="A3803" s="4">
        <v>3801.0</v>
      </c>
      <c r="B3803" s="5" t="s">
        <v>11410</v>
      </c>
      <c r="C3803" s="4">
        <v>0.0</v>
      </c>
      <c r="D3803" s="5" t="s">
        <v>11411</v>
      </c>
      <c r="E3803" s="5" t="s">
        <v>11412</v>
      </c>
      <c r="F3803" s="6" t="str">
        <f>IFERROR(__xludf.DUMMYFUNCTION("GOOGLETRANSLATE(D3803,""en"",""it"")"),"Io uso la plastica più del vinile.")</f>
        <v>Io uso la plastica più del vinile.</v>
      </c>
      <c r="G3803" s="6" t="str">
        <f>IFERROR(__xludf.DUMMYFUNCTION("GOOGLETRANSLATE(E3803,""fr"",""it"")"),"Io uso la plastica più del vinile.")</f>
        <v>Io uso la plastica più del vinile.</v>
      </c>
    </row>
    <row r="3804">
      <c r="A3804" s="4">
        <v>3802.0</v>
      </c>
      <c r="B3804" s="5" t="s">
        <v>11413</v>
      </c>
      <c r="C3804" s="4">
        <v>1.0</v>
      </c>
      <c r="D3804" s="5" t="s">
        <v>11414</v>
      </c>
      <c r="E3804" s="5" t="s">
        <v>11415</v>
      </c>
      <c r="F3804" s="6" t="str">
        <f>IFERROR(__xludf.DUMMYFUNCTION("GOOGLETRANSLATE(D3804,""en"",""it"")"),"Io uso il vinile più del cotone.")</f>
        <v>Io uso il vinile più del cotone.</v>
      </c>
      <c r="G3804" s="6" t="str">
        <f>IFERROR(__xludf.DUMMYFUNCTION("GOOGLETRANSLATE(E3804,""fr"",""it"")"),"Io uso il vinile più del cotone.")</f>
        <v>Io uso il vinile più del cotone.</v>
      </c>
    </row>
    <row r="3805">
      <c r="A3805" s="4">
        <v>3803.0</v>
      </c>
      <c r="B3805" s="5" t="s">
        <v>11416</v>
      </c>
      <c r="C3805" s="4">
        <v>1.0</v>
      </c>
      <c r="D3805" s="5" t="s">
        <v>11417</v>
      </c>
      <c r="E3805" s="5" t="s">
        <v>11418</v>
      </c>
      <c r="F3805" s="6" t="str">
        <f>IFERROR(__xludf.DUMMYFUNCTION("GOOGLETRANSLATE(D3805,""en"",""it"")"),"Uso il cotone più del vinile.")</f>
        <v>Uso il cotone più del vinile.</v>
      </c>
      <c r="G3805" s="6" t="str">
        <f>IFERROR(__xludf.DUMMYFUNCTION("GOOGLETRANSLATE(E3805,""fr"",""it"")"),"Uso il cotone più del vinile.")</f>
        <v>Uso il cotone più del vinile.</v>
      </c>
    </row>
    <row r="3806">
      <c r="A3806" s="4">
        <v>3804.0</v>
      </c>
      <c r="B3806" s="5" t="s">
        <v>11419</v>
      </c>
      <c r="C3806" s="4">
        <v>1.0</v>
      </c>
      <c r="D3806" s="5" t="s">
        <v>11420</v>
      </c>
      <c r="E3806" s="5" t="s">
        <v>11421</v>
      </c>
      <c r="F3806" s="6" t="str">
        <f>IFERROR(__xludf.DUMMYFUNCTION("GOOGLETRANSLATE(D3806,""en"",""it"")"),"Io uso il vinile più del vetro.")</f>
        <v>Io uso il vinile più del vetro.</v>
      </c>
      <c r="G3806" s="6" t="str">
        <f>IFERROR(__xludf.DUMMYFUNCTION("GOOGLETRANSLATE(E3806,""fr"",""it"")"),"Io uso il vinile più del vetro.")</f>
        <v>Io uso il vinile più del vetro.</v>
      </c>
    </row>
    <row r="3807">
      <c r="A3807" s="4">
        <v>3805.0</v>
      </c>
      <c r="B3807" s="5" t="s">
        <v>11422</v>
      </c>
      <c r="C3807" s="4">
        <v>1.0</v>
      </c>
      <c r="D3807" s="5" t="s">
        <v>11423</v>
      </c>
      <c r="E3807" s="5" t="s">
        <v>11424</v>
      </c>
      <c r="F3807" s="6" t="str">
        <f>IFERROR(__xludf.DUMMYFUNCTION("GOOGLETRANSLATE(D3807,""en"",""it"")"),"Io uso il vetro più del vinile.")</f>
        <v>Io uso il vetro più del vinile.</v>
      </c>
      <c r="G3807" s="6" t="str">
        <f>IFERROR(__xludf.DUMMYFUNCTION("GOOGLETRANSLATE(E3807,""fr"",""it"")"),"Io uso il vetro più del vinile.")</f>
        <v>Io uso il vetro più del vinile.</v>
      </c>
    </row>
    <row r="3808">
      <c r="A3808" s="4">
        <v>3806.0</v>
      </c>
      <c r="B3808" s="5" t="s">
        <v>11425</v>
      </c>
      <c r="C3808" s="4">
        <v>1.0</v>
      </c>
      <c r="D3808" s="5" t="s">
        <v>11426</v>
      </c>
      <c r="E3808" s="5" t="s">
        <v>11427</v>
      </c>
      <c r="F3808" s="6" t="str">
        <f>IFERROR(__xludf.DUMMYFUNCTION("GOOGLETRANSLATE(D3808,""en"",""it"")"),"Io uso il vinile più della pelle.")</f>
        <v>Io uso il vinile più della pelle.</v>
      </c>
      <c r="G3808" s="6" t="str">
        <f>IFERROR(__xludf.DUMMYFUNCTION("GOOGLETRANSLATE(E3808,""fr"",""it"")"),"Io uso il vinile più della pelle.")</f>
        <v>Io uso il vinile più della pelle.</v>
      </c>
    </row>
    <row r="3809">
      <c r="A3809" s="4">
        <v>3807.0</v>
      </c>
      <c r="B3809" s="5" t="s">
        <v>11428</v>
      </c>
      <c r="C3809" s="4">
        <v>1.0</v>
      </c>
      <c r="D3809" s="5" t="s">
        <v>11429</v>
      </c>
      <c r="E3809" s="5" t="s">
        <v>11430</v>
      </c>
      <c r="F3809" s="6" t="str">
        <f>IFERROR(__xludf.DUMMYFUNCTION("GOOGLETRANSLATE(D3809,""en"",""it"")"),"Io uso la pelle più del vinile.")</f>
        <v>Io uso la pelle più del vinile.</v>
      </c>
      <c r="G3809" s="6" t="str">
        <f>IFERROR(__xludf.DUMMYFUNCTION("GOOGLETRANSLATE(E3809,""fr"",""it"")"),"Io uso la pelle più del vinile.")</f>
        <v>Io uso la pelle più del vinile.</v>
      </c>
    </row>
    <row r="3810">
      <c r="A3810" s="4">
        <v>3808.0</v>
      </c>
      <c r="B3810" s="5" t="s">
        <v>11431</v>
      </c>
      <c r="C3810" s="4">
        <v>0.0</v>
      </c>
      <c r="D3810" s="5" t="s">
        <v>11432</v>
      </c>
      <c r="E3810" s="5" t="s">
        <v>11433</v>
      </c>
      <c r="F3810" s="6" t="str">
        <f>IFERROR(__xludf.DUMMYFUNCTION("GOOGLETRANSLATE(D3810,""en"",""it"")"),"Mi piacciono i western, tranne i saggi.")</f>
        <v>Mi piacciono i western, tranne i saggi.</v>
      </c>
      <c r="G3810" s="6" t="str">
        <f>IFERROR(__xludf.DUMMYFUNCTION("GOOGLETRANSLATE(E3810,""fr"",""it"")"),"Mi piacciono i western, tranne i test.")</f>
        <v>Mi piacciono i western, tranne i test.</v>
      </c>
    </row>
    <row r="3811">
      <c r="A3811" s="4">
        <v>3809.0</v>
      </c>
      <c r="B3811" s="5" t="s">
        <v>11434</v>
      </c>
      <c r="C3811" s="4">
        <v>1.0</v>
      </c>
      <c r="D3811" s="5" t="s">
        <v>11435</v>
      </c>
      <c r="E3811" s="5" t="s">
        <v>11436</v>
      </c>
      <c r="F3811" s="6" t="str">
        <f>IFERROR(__xludf.DUMMYFUNCTION("GOOGLETRANSLATE(D3811,""en"",""it"")"),"Io uso il PVC più del legno.")</f>
        <v>Io uso il PVC più del legno.</v>
      </c>
      <c r="G3811" s="6" t="str">
        <f>IFERROR(__xludf.DUMMYFUNCTION("GOOGLETRANSLATE(E3811,""fr"",""it"")"),"Io uso il PVC più del legno.")</f>
        <v>Io uso il PVC più del legno.</v>
      </c>
    </row>
    <row r="3812">
      <c r="A3812" s="4">
        <v>3810.0</v>
      </c>
      <c r="B3812" s="5" t="s">
        <v>11437</v>
      </c>
      <c r="C3812" s="4">
        <v>1.0</v>
      </c>
      <c r="D3812" s="5" t="s">
        <v>11438</v>
      </c>
      <c r="E3812" s="5" t="s">
        <v>11439</v>
      </c>
      <c r="F3812" s="6" t="str">
        <f>IFERROR(__xludf.DUMMYFUNCTION("GOOGLETRANSLATE(D3812,""en"",""it"")"),"Io uso il legno più del PVC.")</f>
        <v>Io uso il legno più del PVC.</v>
      </c>
      <c r="G3812" s="6" t="str">
        <f>IFERROR(__xludf.DUMMYFUNCTION("GOOGLETRANSLATE(E3812,""fr"",""it"")"),"Io uso il legno più del PVC.")</f>
        <v>Io uso il legno più del PVC.</v>
      </c>
    </row>
    <row r="3813">
      <c r="A3813" s="4">
        <v>3811.0</v>
      </c>
      <c r="B3813" s="5" t="s">
        <v>11440</v>
      </c>
      <c r="C3813" s="4">
        <v>0.0</v>
      </c>
      <c r="D3813" s="5" t="s">
        <v>11441</v>
      </c>
      <c r="E3813" s="5" t="s">
        <v>11442</v>
      </c>
      <c r="F3813" s="6" t="str">
        <f>IFERROR(__xludf.DUMMYFUNCTION("GOOGLETRANSLATE(D3813,""en"",""it"")"),"Io uso il PVC più della plastica.")</f>
        <v>Io uso il PVC più della plastica.</v>
      </c>
      <c r="G3813" s="6" t="str">
        <f>IFERROR(__xludf.DUMMYFUNCTION("GOOGLETRANSLATE(E3813,""fr"",""it"")"),"Io uso il PVC più della plastica.")</f>
        <v>Io uso il PVC più della plastica.</v>
      </c>
    </row>
    <row r="3814">
      <c r="A3814" s="4">
        <v>3812.0</v>
      </c>
      <c r="B3814" s="5" t="s">
        <v>11443</v>
      </c>
      <c r="C3814" s="4">
        <v>0.0</v>
      </c>
      <c r="D3814" s="5" t="s">
        <v>11444</v>
      </c>
      <c r="E3814" s="5" t="s">
        <v>11445</v>
      </c>
      <c r="F3814" s="6" t="str">
        <f>IFERROR(__xludf.DUMMYFUNCTION("GOOGLETRANSLATE(D3814,""en"",""it"")"),"Io uso la plastica più del PVC.")</f>
        <v>Io uso la plastica più del PVC.</v>
      </c>
      <c r="G3814" s="6" t="str">
        <f>IFERROR(__xludf.DUMMYFUNCTION("GOOGLETRANSLATE(E3814,""fr"",""it"")"),"Io uso la plastica più del PVC.")</f>
        <v>Io uso la plastica più del PVC.</v>
      </c>
    </row>
    <row r="3815">
      <c r="A3815" s="4">
        <v>3813.0</v>
      </c>
      <c r="B3815" s="5" t="s">
        <v>11446</v>
      </c>
      <c r="C3815" s="4">
        <v>1.0</v>
      </c>
      <c r="D3815" s="5" t="s">
        <v>11447</v>
      </c>
      <c r="E3815" s="5" t="s">
        <v>11448</v>
      </c>
      <c r="F3815" s="6" t="str">
        <f>IFERROR(__xludf.DUMMYFUNCTION("GOOGLETRANSLATE(D3815,""en"",""it"")"),"Io uso il PVC più del cotone.")</f>
        <v>Io uso il PVC più del cotone.</v>
      </c>
      <c r="G3815" s="6" t="str">
        <f>IFERROR(__xludf.DUMMYFUNCTION("GOOGLETRANSLATE(E3815,""fr"",""it"")"),"Io uso il PVC più del cotone.")</f>
        <v>Io uso il PVC più del cotone.</v>
      </c>
    </row>
    <row r="3816">
      <c r="A3816" s="4">
        <v>3814.0</v>
      </c>
      <c r="B3816" s="5" t="s">
        <v>11449</v>
      </c>
      <c r="C3816" s="4">
        <v>1.0</v>
      </c>
      <c r="D3816" s="5" t="s">
        <v>11450</v>
      </c>
      <c r="E3816" s="5" t="s">
        <v>11451</v>
      </c>
      <c r="F3816" s="6" t="str">
        <f>IFERROR(__xludf.DUMMYFUNCTION("GOOGLETRANSLATE(D3816,""en"",""it"")"),"Uso il cotone più del PVC.")</f>
        <v>Uso il cotone più del PVC.</v>
      </c>
      <c r="G3816" s="6" t="str">
        <f>IFERROR(__xludf.DUMMYFUNCTION("GOOGLETRANSLATE(E3816,""fr"",""it"")"),"Uso il cotone più del PVC.")</f>
        <v>Uso il cotone più del PVC.</v>
      </c>
    </row>
    <row r="3817">
      <c r="A3817" s="4">
        <v>3815.0</v>
      </c>
      <c r="B3817" s="5" t="s">
        <v>11452</v>
      </c>
      <c r="C3817" s="4">
        <v>0.0</v>
      </c>
      <c r="D3817" s="5" t="s">
        <v>11453</v>
      </c>
      <c r="E3817" s="5" t="s">
        <v>11454</v>
      </c>
      <c r="F3817" s="6" t="str">
        <f>IFERROR(__xludf.DUMMYFUNCTION("GOOGLETRANSLATE(D3817,""en"",""it"")"),"Mi piacciono i saggi, tranne occidentali.")</f>
        <v>Mi piacciono i saggi, tranne occidentali.</v>
      </c>
      <c r="G3817" s="6" t="str">
        <f>IFERROR(__xludf.DUMMYFUNCTION("GOOGLETRANSLATE(E3817,""fr"",""it"")"),"Mi piacciono i test, tranne occidentali.")</f>
        <v>Mi piacciono i test, tranne occidentali.</v>
      </c>
    </row>
    <row r="3818">
      <c r="A3818" s="4">
        <v>3816.0</v>
      </c>
      <c r="B3818" s="5" t="s">
        <v>11455</v>
      </c>
      <c r="C3818" s="4">
        <v>1.0</v>
      </c>
      <c r="D3818" s="5" t="s">
        <v>11456</v>
      </c>
      <c r="E3818" s="5" t="s">
        <v>11457</v>
      </c>
      <c r="F3818" s="6" t="str">
        <f>IFERROR(__xludf.DUMMYFUNCTION("GOOGLETRANSLATE(D3818,""en"",""it"")"),"Io uso il PVC più del vetro.")</f>
        <v>Io uso il PVC più del vetro.</v>
      </c>
      <c r="G3818" s="6" t="str">
        <f>IFERROR(__xludf.DUMMYFUNCTION("GOOGLETRANSLATE(E3818,""fr"",""it"")"),"Io uso il PVC più del vetro.")</f>
        <v>Io uso il PVC più del vetro.</v>
      </c>
    </row>
    <row r="3819">
      <c r="A3819" s="4">
        <v>3817.0</v>
      </c>
      <c r="B3819" s="5" t="s">
        <v>11458</v>
      </c>
      <c r="C3819" s="4">
        <v>1.0</v>
      </c>
      <c r="D3819" s="5" t="s">
        <v>11459</v>
      </c>
      <c r="E3819" s="5" t="s">
        <v>11460</v>
      </c>
      <c r="F3819" s="6" t="str">
        <f>IFERROR(__xludf.DUMMYFUNCTION("GOOGLETRANSLATE(D3819,""en"",""it"")"),"Io uso il vetro più del PVC.")</f>
        <v>Io uso il vetro più del PVC.</v>
      </c>
      <c r="G3819" s="6" t="str">
        <f>IFERROR(__xludf.DUMMYFUNCTION("GOOGLETRANSLATE(E3819,""fr"",""it"")"),"Io uso il vetro più del PVC.")</f>
        <v>Io uso il vetro più del PVC.</v>
      </c>
    </row>
    <row r="3820">
      <c r="A3820" s="4">
        <v>3818.0</v>
      </c>
      <c r="B3820" s="5" t="s">
        <v>11461</v>
      </c>
      <c r="C3820" s="4">
        <v>1.0</v>
      </c>
      <c r="D3820" s="5" t="s">
        <v>11462</v>
      </c>
      <c r="E3820" s="5" t="s">
        <v>11463</v>
      </c>
      <c r="F3820" s="6" t="str">
        <f>IFERROR(__xludf.DUMMYFUNCTION("GOOGLETRANSLATE(D3820,""en"",""it"")"),"Io uso il PVC più della pelle.")</f>
        <v>Io uso il PVC più della pelle.</v>
      </c>
      <c r="G3820" s="6" t="str">
        <f>IFERROR(__xludf.DUMMYFUNCTION("GOOGLETRANSLATE(E3820,""fr"",""it"")"),"Io uso il PVC più della pelle.")</f>
        <v>Io uso il PVC più della pelle.</v>
      </c>
    </row>
    <row r="3821">
      <c r="A3821" s="4">
        <v>3819.0</v>
      </c>
      <c r="B3821" s="5" t="s">
        <v>11464</v>
      </c>
      <c r="C3821" s="4">
        <v>1.0</v>
      </c>
      <c r="D3821" s="5" t="s">
        <v>11465</v>
      </c>
      <c r="E3821" s="5" t="s">
        <v>11466</v>
      </c>
      <c r="F3821" s="6" t="str">
        <f>IFERROR(__xludf.DUMMYFUNCTION("GOOGLETRANSLATE(D3821,""en"",""it"")"),"Io uso la pelle più del PVC.")</f>
        <v>Io uso la pelle più del PVC.</v>
      </c>
      <c r="G3821" s="6" t="str">
        <f>IFERROR(__xludf.DUMMYFUNCTION("GOOGLETRANSLATE(E3821,""fr"",""it"")"),"Io uso la pelle più del PVC.")</f>
        <v>Io uso la pelle più del PVC.</v>
      </c>
    </row>
    <row r="3822">
      <c r="A3822" s="4">
        <v>3820.0</v>
      </c>
      <c r="B3822" s="5" t="s">
        <v>11467</v>
      </c>
      <c r="C3822" s="4">
        <v>0.0</v>
      </c>
      <c r="D3822" s="5" t="s">
        <v>11468</v>
      </c>
      <c r="E3822" s="5" t="s">
        <v>11469</v>
      </c>
      <c r="F3822" s="6" t="str">
        <f>IFERROR(__xludf.DUMMYFUNCTION("GOOGLETRANSLATE(D3822,""en"",""it"")"),"Mi piacciono i western, tranne i film.")</f>
        <v>Mi piacciono i western, tranne i film.</v>
      </c>
      <c r="G3822" s="6" t="str">
        <f>IFERROR(__xludf.DUMMYFUNCTION("GOOGLETRANSLATE(E3822,""fr"",""it"")"),"Mi piacciono i western, tranne i film.")</f>
        <v>Mi piacciono i western, tranne i film.</v>
      </c>
    </row>
    <row r="3823">
      <c r="A3823" s="4">
        <v>3821.0</v>
      </c>
      <c r="B3823" s="5" t="s">
        <v>11470</v>
      </c>
      <c r="C3823" s="4">
        <v>1.0</v>
      </c>
      <c r="D3823" s="5" t="s">
        <v>11471</v>
      </c>
      <c r="E3823" s="5" t="s">
        <v>11472</v>
      </c>
      <c r="F3823" s="6" t="str">
        <f>IFERROR(__xludf.DUMMYFUNCTION("GOOGLETRANSLATE(D3823,""en"",""it"")"),"Mi piacciono i film, tranne occidentali.")</f>
        <v>Mi piacciono i film, tranne occidentali.</v>
      </c>
      <c r="G3823" s="6" t="str">
        <f>IFERROR(__xludf.DUMMYFUNCTION("GOOGLETRANSLATE(E3823,""fr"",""it"")"),"Mi piacciono i film tranne occidentali.")</f>
        <v>Mi piacciono i film tranne occidentali.</v>
      </c>
    </row>
    <row r="3824">
      <c r="A3824" s="4">
        <v>3822.0</v>
      </c>
      <c r="B3824" s="5" t="s">
        <v>11473</v>
      </c>
      <c r="C3824" s="4">
        <v>0.0</v>
      </c>
      <c r="D3824" s="5" t="s">
        <v>11474</v>
      </c>
      <c r="E3824" s="5" t="s">
        <v>11475</v>
      </c>
      <c r="F3824" s="6" t="str">
        <f>IFERROR(__xludf.DUMMYFUNCTION("GOOGLETRANSLATE(D3824,""en"",""it"")"),"Mi piacciono i western, tranne i libri di testo.")</f>
        <v>Mi piacciono i western, tranne i libri di testo.</v>
      </c>
      <c r="G3824" s="6" t="str">
        <f>IFERROR(__xludf.DUMMYFUNCTION("GOOGLETRANSLATE(E3824,""fr"",""it"")"),"Mi piacciono i western, tranne i libri di testo.")</f>
        <v>Mi piacciono i western, tranne i libri di testo.</v>
      </c>
    </row>
    <row r="3825">
      <c r="A3825" s="4">
        <v>3823.0</v>
      </c>
      <c r="B3825" s="5" t="s">
        <v>11476</v>
      </c>
      <c r="C3825" s="4">
        <v>0.0</v>
      </c>
      <c r="D3825" s="5" t="s">
        <v>11477</v>
      </c>
      <c r="E3825" s="5" t="s">
        <v>11478</v>
      </c>
      <c r="F3825" s="6" t="str">
        <f>IFERROR(__xludf.DUMMYFUNCTION("GOOGLETRANSLATE(D3825,""en"",""it"")"),"Mi piacciono i libri di testo, tranne occidentali.")</f>
        <v>Mi piacciono i libri di testo, tranne occidentali.</v>
      </c>
      <c r="G3825" s="6" t="str">
        <f>IFERROR(__xludf.DUMMYFUNCTION("GOOGLETRANSLATE(E3825,""fr"",""it"")"),"Mi piacciono i libri di testo, tranne occidentali.")</f>
        <v>Mi piacciono i libri di testo, tranne occidentali.</v>
      </c>
    </row>
    <row r="3826">
      <c r="A3826" s="4">
        <v>3824.0</v>
      </c>
      <c r="B3826" s="5" t="s">
        <v>11479</v>
      </c>
      <c r="C3826" s="4">
        <v>1.0</v>
      </c>
      <c r="D3826" s="5" t="s">
        <v>11480</v>
      </c>
      <c r="E3826" s="5" t="s">
        <v>11481</v>
      </c>
      <c r="F3826" s="6" t="str">
        <f>IFERROR(__xludf.DUMMYFUNCTION("GOOGLETRANSLATE(D3826,""en"",""it"")"),"Mi piacciono le sedie più dei posate.")</f>
        <v>Mi piacciono le sedie più dei posate.</v>
      </c>
      <c r="G3826" s="6" t="str">
        <f>IFERROR(__xludf.DUMMYFUNCTION("GOOGLETRANSLATE(E3826,""fr"",""it"")"),"Apprezzo le sedie più dei posate.")</f>
        <v>Apprezzo le sedie più dei posate.</v>
      </c>
    </row>
    <row r="3827">
      <c r="A3827" s="4">
        <v>3825.0</v>
      </c>
      <c r="B3827" s="5" t="s">
        <v>11482</v>
      </c>
      <c r="C3827" s="4">
        <v>1.0</v>
      </c>
      <c r="D3827" s="5" t="s">
        <v>11483</v>
      </c>
      <c r="E3827" s="5" t="s">
        <v>11484</v>
      </c>
      <c r="F3827" s="6" t="str">
        <f>IFERROR(__xludf.DUMMYFUNCTION("GOOGLETRANSLATE(D3827,""en"",""it"")"),"Mi piacciono le coltellerie più delle sedie.")</f>
        <v>Mi piacciono le coltellerie più delle sedie.</v>
      </c>
      <c r="G3827" s="6" t="str">
        <f>IFERROR(__xludf.DUMMYFUNCTION("GOOGLETRANSLATE(E3827,""fr"",""it"")"),"Apprezzo le coltellerie più delle sedie.")</f>
        <v>Apprezzo le coltellerie più delle sedie.</v>
      </c>
    </row>
    <row r="3828">
      <c r="A3828" s="4">
        <v>3826.0</v>
      </c>
      <c r="B3828" s="5" t="s">
        <v>11485</v>
      </c>
      <c r="C3828" s="4">
        <v>0.0</v>
      </c>
      <c r="D3828" s="5" t="s">
        <v>11486</v>
      </c>
      <c r="E3828" s="5" t="s">
        <v>11487</v>
      </c>
      <c r="F3828" s="6" t="str">
        <f>IFERROR(__xludf.DUMMYFUNCTION("GOOGLETRANSLATE(D3828,""en"",""it"")"),"Mi piacciono le sedie più dei mobili.")</f>
        <v>Mi piacciono le sedie più dei mobili.</v>
      </c>
      <c r="G3828" s="6" t="str">
        <f>IFERROR(__xludf.DUMMYFUNCTION("GOOGLETRANSLATE(E3828,""fr"",""it"")"),"Apprezzo le sedie più del mobile.")</f>
        <v>Apprezzo le sedie più del mobile.</v>
      </c>
    </row>
    <row r="3829">
      <c r="A3829" s="4">
        <v>3827.0</v>
      </c>
      <c r="B3829" s="5" t="s">
        <v>11488</v>
      </c>
      <c r="C3829" s="4">
        <v>0.0</v>
      </c>
      <c r="D3829" s="5" t="s">
        <v>11489</v>
      </c>
      <c r="E3829" s="5" t="s">
        <v>11490</v>
      </c>
      <c r="F3829" s="6" t="str">
        <f>IFERROR(__xludf.DUMMYFUNCTION("GOOGLETRANSLATE(D3829,""en"",""it"")"),"Mi piacciono i mobili più delle sedie.")</f>
        <v>Mi piacciono i mobili più delle sedie.</v>
      </c>
      <c r="G3829" s="6" t="str">
        <f>IFERROR(__xludf.DUMMYFUNCTION("GOOGLETRANSLATE(E3829,""fr"",""it"")"),"Apprezzo i mobili più delle sedie.")</f>
        <v>Apprezzo i mobili più delle sedie.</v>
      </c>
    </row>
    <row r="3830">
      <c r="A3830" s="4">
        <v>3828.0</v>
      </c>
      <c r="B3830" s="5" t="s">
        <v>11491</v>
      </c>
      <c r="C3830" s="4">
        <v>1.0</v>
      </c>
      <c r="D3830" s="5" t="s">
        <v>11492</v>
      </c>
      <c r="E3830" s="5" t="s">
        <v>11493</v>
      </c>
      <c r="F3830" s="6" t="str">
        <f>IFERROR(__xludf.DUMMYFUNCTION("GOOGLETRANSLATE(D3830,""en"",""it"")"),"Mi piacciono i mobili più dei posate.")</f>
        <v>Mi piacciono i mobili più dei posate.</v>
      </c>
      <c r="G3830" s="6" t="str">
        <f>IFERROR(__xludf.DUMMYFUNCTION("GOOGLETRANSLATE(E3830,""fr"",""it"")"),"Apprezzo i mobili più dei posate.")</f>
        <v>Apprezzo i mobili più dei posate.</v>
      </c>
    </row>
    <row r="3831">
      <c r="A3831" s="4">
        <v>3829.0</v>
      </c>
      <c r="B3831" s="5" t="s">
        <v>11494</v>
      </c>
      <c r="C3831" s="4">
        <v>1.0</v>
      </c>
      <c r="D3831" s="5" t="s">
        <v>11495</v>
      </c>
      <c r="E3831" s="5" t="s">
        <v>11496</v>
      </c>
      <c r="F3831" s="6" t="str">
        <f>IFERROR(__xludf.DUMMYFUNCTION("GOOGLETRANSLATE(D3831,""en"",""it"")"),"Mi piacciono le sedie più dei dipinti.")</f>
        <v>Mi piacciono le sedie più dei dipinti.</v>
      </c>
      <c r="G3831" s="6" t="str">
        <f>IFERROR(__xludf.DUMMYFUNCTION("GOOGLETRANSLATE(E3831,""fr"",""it"")"),"Apprezzo le sedie più dei dipinti.")</f>
        <v>Apprezzo le sedie più dei dipinti.</v>
      </c>
    </row>
    <row r="3832">
      <c r="A3832" s="4">
        <v>3830.0</v>
      </c>
      <c r="B3832" s="5" t="s">
        <v>11497</v>
      </c>
      <c r="C3832" s="4">
        <v>1.0</v>
      </c>
      <c r="D3832" s="5" t="s">
        <v>11498</v>
      </c>
      <c r="E3832" s="5" t="s">
        <v>11499</v>
      </c>
      <c r="F3832" s="6" t="str">
        <f>IFERROR(__xludf.DUMMYFUNCTION("GOOGLETRANSLATE(D3832,""en"",""it"")"),"Mi piacciono i dipinti più delle sedie.")</f>
        <v>Mi piacciono i dipinti più delle sedie.</v>
      </c>
      <c r="G3832" s="6" t="str">
        <f>IFERROR(__xludf.DUMMYFUNCTION("GOOGLETRANSLATE(E3832,""fr"",""it"")"),"Apprezzo le dipinte più delle sedie.")</f>
        <v>Apprezzo le dipinte più delle sedie.</v>
      </c>
    </row>
    <row r="3833">
      <c r="A3833" s="4">
        <v>3831.0</v>
      </c>
      <c r="B3833" s="5" t="s">
        <v>11500</v>
      </c>
      <c r="C3833" s="4">
        <v>1.0</v>
      </c>
      <c r="D3833" s="5" t="s">
        <v>11501</v>
      </c>
      <c r="E3833" s="5" t="s">
        <v>11502</v>
      </c>
      <c r="F3833" s="6" t="str">
        <f>IFERROR(__xludf.DUMMYFUNCTION("GOOGLETRANSLATE(D3833,""en"",""it"")"),"Mi piacciono i mobili più dei dipinti.")</f>
        <v>Mi piacciono i mobili più dei dipinti.</v>
      </c>
      <c r="G3833" s="6" t="str">
        <f>IFERROR(__xludf.DUMMYFUNCTION("GOOGLETRANSLATE(E3833,""fr"",""it"")"),"Apprezzo i mobili più dei dipinti.")</f>
        <v>Apprezzo i mobili più dei dipinti.</v>
      </c>
    </row>
    <row r="3834">
      <c r="A3834" s="4">
        <v>3832.0</v>
      </c>
      <c r="B3834" s="5" t="s">
        <v>11503</v>
      </c>
      <c r="C3834" s="4">
        <v>1.0</v>
      </c>
      <c r="D3834" s="5" t="s">
        <v>11504</v>
      </c>
      <c r="E3834" s="5" t="s">
        <v>11505</v>
      </c>
      <c r="F3834" s="6" t="str">
        <f>IFERROR(__xludf.DUMMYFUNCTION("GOOGLETRANSLATE(D3834,""en"",""it"")"),"Mi piacciono le sedie più della carta da parati.")</f>
        <v>Mi piacciono le sedie più della carta da parati.</v>
      </c>
      <c r="G3834" s="6" t="str">
        <f>IFERROR(__xludf.DUMMYFUNCTION("GOOGLETRANSLATE(E3834,""fr"",""it"")"),"Apprezzo le sedie più della carta da parati.")</f>
        <v>Apprezzo le sedie più della carta da parati.</v>
      </c>
    </row>
    <row r="3835">
      <c r="A3835" s="4">
        <v>3833.0</v>
      </c>
      <c r="B3835" s="5" t="s">
        <v>11506</v>
      </c>
      <c r="C3835" s="4">
        <v>1.0</v>
      </c>
      <c r="D3835" s="5" t="s">
        <v>11507</v>
      </c>
      <c r="E3835" s="5" t="s">
        <v>11508</v>
      </c>
      <c r="F3835" s="6" t="str">
        <f>IFERROR(__xludf.DUMMYFUNCTION("GOOGLETRANSLATE(D3835,""en"",""it"")"),"Mi piace la carta da parati più delle sedie.")</f>
        <v>Mi piace la carta da parati più delle sedie.</v>
      </c>
      <c r="G3835" s="6" t="str">
        <f>IFERROR(__xludf.DUMMYFUNCTION("GOOGLETRANSLATE(E3835,""fr"",""it"")"),"Apprezzo la carta da parati più delle sedie.")</f>
        <v>Apprezzo la carta da parati più delle sedie.</v>
      </c>
    </row>
    <row r="3836">
      <c r="A3836" s="4">
        <v>3834.0</v>
      </c>
      <c r="B3836" s="5" t="s">
        <v>11509</v>
      </c>
      <c r="C3836" s="4">
        <v>1.0</v>
      </c>
      <c r="D3836" s="5" t="s">
        <v>11510</v>
      </c>
      <c r="E3836" s="5" t="s">
        <v>11511</v>
      </c>
      <c r="F3836" s="6" t="str">
        <f>IFERROR(__xludf.DUMMYFUNCTION("GOOGLETRANSLATE(D3836,""en"",""it"")"),"Mi piacciono i mobili più della carta da parati.")</f>
        <v>Mi piacciono i mobili più della carta da parati.</v>
      </c>
      <c r="G3836" s="6" t="str">
        <f>IFERROR(__xludf.DUMMYFUNCTION("GOOGLETRANSLATE(E3836,""fr"",""it"")"),"Apprezzo i mobili più della carta da parati.")</f>
        <v>Apprezzo i mobili più della carta da parati.</v>
      </c>
    </row>
    <row r="3837">
      <c r="A3837" s="4">
        <v>3835.0</v>
      </c>
      <c r="B3837" s="5" t="s">
        <v>11512</v>
      </c>
      <c r="C3837" s="4">
        <v>1.0</v>
      </c>
      <c r="D3837" s="5" t="s">
        <v>11513</v>
      </c>
      <c r="E3837" s="5" t="s">
        <v>11514</v>
      </c>
      <c r="F3837" s="6" t="str">
        <f>IFERROR(__xludf.DUMMYFUNCTION("GOOGLETRANSLATE(D3837,""en"",""it"")"),"Mi piacciono le sedie più del parquet.")</f>
        <v>Mi piacciono le sedie più del parquet.</v>
      </c>
      <c r="G3837" s="6" t="str">
        <f>IFERROR(__xludf.DUMMYFUNCTION("GOOGLETRANSLATE(E3837,""fr"",""it"")"),"Apprezzo le sedie più del pavimento.")</f>
        <v>Apprezzo le sedie più del pavimento.</v>
      </c>
    </row>
    <row r="3838">
      <c r="A3838" s="4">
        <v>3836.0</v>
      </c>
      <c r="B3838" s="5" t="s">
        <v>11515</v>
      </c>
      <c r="C3838" s="4">
        <v>1.0</v>
      </c>
      <c r="D3838" s="5" t="s">
        <v>11516</v>
      </c>
      <c r="E3838" s="5" t="s">
        <v>11517</v>
      </c>
      <c r="F3838" s="6" t="str">
        <f>IFERROR(__xludf.DUMMYFUNCTION("GOOGLETRANSLATE(D3838,""en"",""it"")"),"Mi piace il parquet più delle sedie.")</f>
        <v>Mi piace il parquet più delle sedie.</v>
      </c>
      <c r="G3838" s="6" t="str">
        <f>IFERROR(__xludf.DUMMYFUNCTION("GOOGLETRANSLATE(E3838,""fr"",""it"")"),"Apprezzo il parquet più delle sedie.")</f>
        <v>Apprezzo il parquet più delle sedie.</v>
      </c>
    </row>
    <row r="3839">
      <c r="A3839" s="4">
        <v>3837.0</v>
      </c>
      <c r="B3839" s="5" t="s">
        <v>11518</v>
      </c>
      <c r="C3839" s="4">
        <v>1.0</v>
      </c>
      <c r="D3839" s="5" t="s">
        <v>11519</v>
      </c>
      <c r="E3839" s="5" t="s">
        <v>11520</v>
      </c>
      <c r="F3839" s="6" t="str">
        <f>IFERROR(__xludf.DUMMYFUNCTION("GOOGLETRANSLATE(D3839,""en"",""it"")"),"Mi piacciono i mobili più del parquet.")</f>
        <v>Mi piacciono i mobili più del parquet.</v>
      </c>
      <c r="G3839" s="6" t="str">
        <f>IFERROR(__xludf.DUMMYFUNCTION("GOOGLETRANSLATE(E3839,""fr"",""it"")"),"Apprezzo i mobili più del pavimento.")</f>
        <v>Apprezzo i mobili più del pavimento.</v>
      </c>
    </row>
    <row r="3840">
      <c r="A3840" s="4">
        <v>3838.0</v>
      </c>
      <c r="B3840" s="5" t="s">
        <v>11521</v>
      </c>
      <c r="C3840" s="4">
        <v>0.0</v>
      </c>
      <c r="D3840" s="5" t="s">
        <v>11522</v>
      </c>
      <c r="E3840" s="5" t="s">
        <v>11523</v>
      </c>
      <c r="F3840" s="6" t="str">
        <f>IFERROR(__xludf.DUMMYFUNCTION("GOOGLETRANSLATE(D3840,""en"",""it"")"),"Mi piacciono i western, tranne i corsioni da tavolo.")</f>
        <v>Mi piacciono i western, tranne i corsioni da tavolo.</v>
      </c>
      <c r="G3840" s="6" t="str">
        <f>IFERROR(__xludf.DUMMYFUNCTION("GOOGLETRANSLATE(E3840,""fr"",""it"")"),"Mi piacciono i western, tranne i giochi da tavolo.")</f>
        <v>Mi piacciono i western, tranne i giochi da tavolo.</v>
      </c>
    </row>
    <row r="3841">
      <c r="A3841" s="4">
        <v>3839.0</v>
      </c>
      <c r="B3841" s="5" t="s">
        <v>11524</v>
      </c>
      <c r="C3841" s="4">
        <v>0.0</v>
      </c>
      <c r="D3841" s="5" t="s">
        <v>11525</v>
      </c>
      <c r="E3841" s="5" t="s">
        <v>11526</v>
      </c>
      <c r="F3841" s="6" t="str">
        <f>IFERROR(__xludf.DUMMYFUNCTION("GOOGLETRANSLATE(D3841,""en"",""it"")"),"Mi piacciono i boardgames, tranne occidentali.")</f>
        <v>Mi piacciono i boardgames, tranne occidentali.</v>
      </c>
      <c r="G3841" s="6" t="str">
        <f>IFERROR(__xludf.DUMMYFUNCTION("GOOGLETRANSLATE(E3841,""fr"",""it"")"),"Mi piacciono i giochi da tavolo tranne occidentali.")</f>
        <v>Mi piacciono i giochi da tavolo tranne occidentali.</v>
      </c>
    </row>
    <row r="3842">
      <c r="A3842" s="4">
        <v>3840.0</v>
      </c>
      <c r="B3842" s="5" t="s">
        <v>11527</v>
      </c>
      <c r="C3842" s="4">
        <v>1.0</v>
      </c>
      <c r="D3842" s="5" t="s">
        <v>11528</v>
      </c>
      <c r="E3842" s="5" t="s">
        <v>11529</v>
      </c>
      <c r="F3842" s="6" t="str">
        <f>IFERROR(__xludf.DUMMYFUNCTION("GOOGLETRANSLATE(D3842,""en"",""it"")"),"Mi piacciono i tavoli più della posate.")</f>
        <v>Mi piacciono i tavoli più della posate.</v>
      </c>
      <c r="G3842" s="6" t="str">
        <f>IFERROR(__xludf.DUMMYFUNCTION("GOOGLETRANSLATE(E3842,""fr"",""it"")"),"Apprezzo i tavoli più di posate.")</f>
        <v>Apprezzo i tavoli più di posate.</v>
      </c>
    </row>
    <row r="3843">
      <c r="A3843" s="4">
        <v>3841.0</v>
      </c>
      <c r="B3843" s="5" t="s">
        <v>11530</v>
      </c>
      <c r="C3843" s="4">
        <v>1.0</v>
      </c>
      <c r="D3843" s="5" t="s">
        <v>11531</v>
      </c>
      <c r="E3843" s="5" t="s">
        <v>11532</v>
      </c>
      <c r="F3843" s="6" t="str">
        <f>IFERROR(__xludf.DUMMYFUNCTION("GOOGLETRANSLATE(D3843,""en"",""it"")"),"Mi piacciono le coltellerie più dei tavoli.")</f>
        <v>Mi piacciono le coltellerie più dei tavoli.</v>
      </c>
      <c r="G3843" s="6" t="str">
        <f>IFERROR(__xludf.DUMMYFUNCTION("GOOGLETRANSLATE(E3843,""fr"",""it"")"),"Apprezzo le posate più dei tavoli.")</f>
        <v>Apprezzo le posate più dei tavoli.</v>
      </c>
    </row>
    <row r="3844">
      <c r="A3844" s="4">
        <v>3842.0</v>
      </c>
      <c r="B3844" s="5" t="s">
        <v>11533</v>
      </c>
      <c r="C3844" s="4">
        <v>0.0</v>
      </c>
      <c r="D3844" s="5" t="s">
        <v>11534</v>
      </c>
      <c r="E3844" s="5" t="s">
        <v>11535</v>
      </c>
      <c r="F3844" s="6" t="str">
        <f>IFERROR(__xludf.DUMMYFUNCTION("GOOGLETRANSLATE(D3844,""en"",""it"")"),"Mi piacciono i tavoli più del mobile.")</f>
        <v>Mi piacciono i tavoli più del mobile.</v>
      </c>
      <c r="G3844" s="6" t="str">
        <f>IFERROR(__xludf.DUMMYFUNCTION("GOOGLETRANSLATE(E3844,""fr"",""it"")"),"Apprezzo i tavoli più del mobile.")</f>
        <v>Apprezzo i tavoli più del mobile.</v>
      </c>
    </row>
    <row r="3845">
      <c r="A3845" s="4">
        <v>3843.0</v>
      </c>
      <c r="B3845" s="5" t="s">
        <v>11536</v>
      </c>
      <c r="C3845" s="4">
        <v>0.0</v>
      </c>
      <c r="D3845" s="5" t="s">
        <v>11537</v>
      </c>
      <c r="E3845" s="5" t="s">
        <v>11538</v>
      </c>
      <c r="F3845" s="6" t="str">
        <f>IFERROR(__xludf.DUMMYFUNCTION("GOOGLETRANSLATE(D3845,""en"",""it"")"),"Mi piacciono i mobili più dei tavoli.")</f>
        <v>Mi piacciono i mobili più dei tavoli.</v>
      </c>
      <c r="G3845" s="6" t="str">
        <f>IFERROR(__xludf.DUMMYFUNCTION("GOOGLETRANSLATE(E3845,""fr"",""it"")"),"Apprezzo i mobili più dei tavoli.")</f>
        <v>Apprezzo i mobili più dei tavoli.</v>
      </c>
    </row>
    <row r="3846">
      <c r="A3846" s="4">
        <v>3844.0</v>
      </c>
      <c r="B3846" s="5" t="s">
        <v>11539</v>
      </c>
      <c r="C3846" s="4">
        <v>1.0</v>
      </c>
      <c r="D3846" s="5" t="s">
        <v>11540</v>
      </c>
      <c r="E3846" s="5" t="s">
        <v>11541</v>
      </c>
      <c r="F3846" s="6" t="str">
        <f>IFERROR(__xludf.DUMMYFUNCTION("GOOGLETRANSLATE(D3846,""en"",""it"")"),"Mi piacciono i tavoli più dei dipinti.")</f>
        <v>Mi piacciono i tavoli più dei dipinti.</v>
      </c>
      <c r="G3846" s="6" t="str">
        <f>IFERROR(__xludf.DUMMYFUNCTION("GOOGLETRANSLATE(E3846,""fr"",""it"")"),"Apprezzo i tavoli più dei dipinti.")</f>
        <v>Apprezzo i tavoli più dei dipinti.</v>
      </c>
    </row>
    <row r="3847">
      <c r="A3847" s="4">
        <v>3845.0</v>
      </c>
      <c r="B3847" s="5" t="s">
        <v>11542</v>
      </c>
      <c r="C3847" s="4">
        <v>1.0</v>
      </c>
      <c r="D3847" s="5" t="s">
        <v>11543</v>
      </c>
      <c r="E3847" s="5" t="s">
        <v>11544</v>
      </c>
      <c r="F3847" s="6" t="str">
        <f>IFERROR(__xludf.DUMMYFUNCTION("GOOGLETRANSLATE(D3847,""en"",""it"")"),"Mi piacciono i dipinti più dei tavoli.")</f>
        <v>Mi piacciono i dipinti più dei tavoli.</v>
      </c>
      <c r="G3847" s="6" t="str">
        <f>IFERROR(__xludf.DUMMYFUNCTION("GOOGLETRANSLATE(E3847,""fr"",""it"")"),"Apprezzo i dipinti più dei tavoli.")</f>
        <v>Apprezzo i dipinti più dei tavoli.</v>
      </c>
    </row>
    <row r="3848">
      <c r="A3848" s="4">
        <v>3846.0</v>
      </c>
      <c r="B3848" s="5" t="s">
        <v>11545</v>
      </c>
      <c r="C3848" s="4">
        <v>1.0</v>
      </c>
      <c r="D3848" s="5" t="s">
        <v>11546</v>
      </c>
      <c r="E3848" s="5" t="s">
        <v>11547</v>
      </c>
      <c r="F3848" s="6" t="str">
        <f>IFERROR(__xludf.DUMMYFUNCTION("GOOGLETRANSLATE(D3848,""en"",""it"")"),"Mi piacciono i tavoli più della carta da parati.")</f>
        <v>Mi piacciono i tavoli più della carta da parati.</v>
      </c>
      <c r="G3848" s="6" t="str">
        <f>IFERROR(__xludf.DUMMYFUNCTION("GOOGLETRANSLATE(E3848,""fr"",""it"")"),"Apprezzo i tavoli più della carta da parati.")</f>
        <v>Apprezzo i tavoli più della carta da parati.</v>
      </c>
    </row>
    <row r="3849">
      <c r="A3849" s="4">
        <v>3847.0</v>
      </c>
      <c r="B3849" s="5" t="s">
        <v>11548</v>
      </c>
      <c r="C3849" s="4">
        <v>1.0</v>
      </c>
      <c r="D3849" s="5" t="s">
        <v>11549</v>
      </c>
      <c r="E3849" s="5" t="s">
        <v>11550</v>
      </c>
      <c r="F3849" s="6" t="str">
        <f>IFERROR(__xludf.DUMMYFUNCTION("GOOGLETRANSLATE(D3849,""en"",""it"")"),"Mi piace la carta da parati più dei tavoli.")</f>
        <v>Mi piace la carta da parati più dei tavoli.</v>
      </c>
      <c r="G3849" s="6" t="str">
        <f>IFERROR(__xludf.DUMMYFUNCTION("GOOGLETRANSLATE(E3849,""fr"",""it"")"),"Apprezzo la carta da parati più dei tavoli.")</f>
        <v>Apprezzo la carta da parati più dei tavoli.</v>
      </c>
    </row>
    <row r="3850">
      <c r="A3850" s="4">
        <v>3848.0</v>
      </c>
      <c r="B3850" s="5" t="s">
        <v>11551</v>
      </c>
      <c r="C3850" s="4">
        <v>1.0</v>
      </c>
      <c r="D3850" s="5" t="s">
        <v>11552</v>
      </c>
      <c r="E3850" s="5" t="s">
        <v>11553</v>
      </c>
      <c r="F3850" s="6" t="str">
        <f>IFERROR(__xludf.DUMMYFUNCTION("GOOGLETRANSLATE(D3850,""en"",""it"")"),"Mi piacciono i tavoli più del parquet.")</f>
        <v>Mi piacciono i tavoli più del parquet.</v>
      </c>
      <c r="G3850" s="6" t="str">
        <f>IFERROR(__xludf.DUMMYFUNCTION("GOOGLETRANSLATE(E3850,""fr"",""it"")"),"Apprezzo i tavoli più del pavimento.")</f>
        <v>Apprezzo i tavoli più del pavimento.</v>
      </c>
    </row>
    <row r="3851">
      <c r="A3851" s="4">
        <v>3849.0</v>
      </c>
      <c r="B3851" s="5" t="s">
        <v>11554</v>
      </c>
      <c r="C3851" s="4">
        <v>1.0</v>
      </c>
      <c r="D3851" s="5" t="s">
        <v>11555</v>
      </c>
      <c r="E3851" s="5" t="s">
        <v>11556</v>
      </c>
      <c r="F3851" s="6" t="str">
        <f>IFERROR(__xludf.DUMMYFUNCTION("GOOGLETRANSLATE(D3851,""en"",""it"")"),"Mi piace il parquet più dei tavoli.")</f>
        <v>Mi piace il parquet più dei tavoli.</v>
      </c>
      <c r="G3851" s="6" t="str">
        <f>IFERROR(__xludf.DUMMYFUNCTION("GOOGLETRANSLATE(E3851,""fr"",""it"")"),"Apprezzo il parquet più dei tavoli.")</f>
        <v>Apprezzo il parquet più dei tavoli.</v>
      </c>
    </row>
    <row r="3852">
      <c r="A3852" s="4">
        <v>3850.0</v>
      </c>
      <c r="B3852" s="5" t="s">
        <v>11557</v>
      </c>
      <c r="C3852" s="4">
        <v>0.0</v>
      </c>
      <c r="D3852" s="5" t="s">
        <v>11558</v>
      </c>
      <c r="E3852" s="5" t="s">
        <v>11559</v>
      </c>
      <c r="F3852" s="6" t="str">
        <f>IFERROR(__xludf.DUMMYFUNCTION("GOOGLETRANSLATE(D3852,""en"",""it"")"),"Mi piacciono i western, tranne i videogiochi.")</f>
        <v>Mi piacciono i western, tranne i videogiochi.</v>
      </c>
      <c r="G3852" s="6" t="str">
        <f>IFERROR(__xludf.DUMMYFUNCTION("GOOGLETRANSLATE(E3852,""fr"",""it"")"),"Mi piacciono i western, tranne i videogiochi.")</f>
        <v>Mi piacciono i western, tranne i videogiochi.</v>
      </c>
    </row>
    <row r="3853">
      <c r="A3853" s="4">
        <v>3851.0</v>
      </c>
      <c r="B3853" s="5" t="s">
        <v>11560</v>
      </c>
      <c r="C3853" s="4">
        <v>0.0</v>
      </c>
      <c r="D3853" s="5" t="s">
        <v>11561</v>
      </c>
      <c r="E3853" s="5" t="s">
        <v>11562</v>
      </c>
      <c r="F3853" s="6" t="str">
        <f>IFERROR(__xludf.DUMMYFUNCTION("GOOGLETRANSLATE(D3853,""en"",""it"")"),"Mi piacciono i videogiochi, tranne occidentali.")</f>
        <v>Mi piacciono i videogiochi, tranne occidentali.</v>
      </c>
      <c r="G3853" s="6" t="str">
        <f>IFERROR(__xludf.DUMMYFUNCTION("GOOGLETRANSLATE(E3853,""fr"",""it"")"),"Mi piacciono i videogiochi, tranne occidentali.")</f>
        <v>Mi piacciono i videogiochi, tranne occidentali.</v>
      </c>
    </row>
    <row r="3854">
      <c r="A3854" s="4">
        <v>3852.0</v>
      </c>
      <c r="B3854" s="5" t="s">
        <v>11563</v>
      </c>
      <c r="C3854" s="4">
        <v>1.0</v>
      </c>
      <c r="D3854" s="5" t="s">
        <v>11564</v>
      </c>
      <c r="E3854" s="5" t="s">
        <v>11565</v>
      </c>
      <c r="F3854" s="6" t="str">
        <f>IFERROR(__xludf.DUMMYFUNCTION("GOOGLETRANSLATE(D3854,""en"",""it"")"),"Mi piacciono gli armadi più dei posate.")</f>
        <v>Mi piacciono gli armadi più dei posate.</v>
      </c>
      <c r="G3854" s="6" t="str">
        <f>IFERROR(__xludf.DUMMYFUNCTION("GOOGLETRANSLATE(E3854,""fr"",""it"")"),"Apprezzo gli armadietti più dei posate.")</f>
        <v>Apprezzo gli armadietti più dei posate.</v>
      </c>
    </row>
    <row r="3855">
      <c r="A3855" s="4">
        <v>3853.0</v>
      </c>
      <c r="B3855" s="5" t="s">
        <v>11566</v>
      </c>
      <c r="C3855" s="4">
        <v>1.0</v>
      </c>
      <c r="D3855" s="5" t="s">
        <v>11567</v>
      </c>
      <c r="E3855" s="5" t="s">
        <v>11568</v>
      </c>
      <c r="F3855" s="6" t="str">
        <f>IFERROR(__xludf.DUMMYFUNCTION("GOOGLETRANSLATE(D3855,""en"",""it"")"),"Mi piacciono le coltellerie più degli armadi.")</f>
        <v>Mi piacciono le coltellerie più degli armadi.</v>
      </c>
      <c r="G3855" s="6" t="str">
        <f>IFERROR(__xludf.DUMMYFUNCTION("GOOGLETRANSLATE(E3855,""fr"",""it"")"),"Apprezzo le coltellerie più degli armadietti.")</f>
        <v>Apprezzo le coltellerie più degli armadietti.</v>
      </c>
    </row>
    <row r="3856">
      <c r="A3856" s="4">
        <v>3854.0</v>
      </c>
      <c r="B3856" s="5" t="s">
        <v>11569</v>
      </c>
      <c r="C3856" s="4">
        <v>0.0</v>
      </c>
      <c r="D3856" s="5" t="s">
        <v>11570</v>
      </c>
      <c r="E3856" s="5" t="s">
        <v>11571</v>
      </c>
      <c r="F3856" s="6" t="str">
        <f>IFERROR(__xludf.DUMMYFUNCTION("GOOGLETRANSLATE(D3856,""en"",""it"")"),"Mi piacciono gli armadi più dei mobili.")</f>
        <v>Mi piacciono gli armadi più dei mobili.</v>
      </c>
      <c r="G3856" s="6" t="str">
        <f>IFERROR(__xludf.DUMMYFUNCTION("GOOGLETRANSLATE(E3856,""fr"",""it"")"),"Apprezzo gli armadietti più dei mobili.")</f>
        <v>Apprezzo gli armadietti più dei mobili.</v>
      </c>
    </row>
    <row r="3857">
      <c r="A3857" s="4">
        <v>3855.0</v>
      </c>
      <c r="B3857" s="5" t="s">
        <v>11572</v>
      </c>
      <c r="C3857" s="4">
        <v>0.0</v>
      </c>
      <c r="D3857" s="5" t="s">
        <v>11573</v>
      </c>
      <c r="E3857" s="5" t="s">
        <v>11574</v>
      </c>
      <c r="F3857" s="6" t="str">
        <f>IFERROR(__xludf.DUMMYFUNCTION("GOOGLETRANSLATE(D3857,""en"",""it"")"),"Mi piacciono i mobili più degli armadi.")</f>
        <v>Mi piacciono i mobili più degli armadi.</v>
      </c>
      <c r="G3857" s="6" t="str">
        <f>IFERROR(__xludf.DUMMYFUNCTION("GOOGLETRANSLATE(E3857,""fr"",""it"")"),"Apprezzo i mobili più degli armadietti.")</f>
        <v>Apprezzo i mobili più degli armadietti.</v>
      </c>
    </row>
    <row r="3858">
      <c r="A3858" s="4">
        <v>3856.0</v>
      </c>
      <c r="B3858" s="5" t="s">
        <v>11575</v>
      </c>
      <c r="C3858" s="4">
        <v>1.0</v>
      </c>
      <c r="D3858" s="5" t="s">
        <v>11576</v>
      </c>
      <c r="E3858" s="5" t="s">
        <v>11577</v>
      </c>
      <c r="F3858" s="6" t="str">
        <f>IFERROR(__xludf.DUMMYFUNCTION("GOOGLETRANSLATE(D3858,""en"",""it"")"),"Mi piacciono gli armadi più dei dipinti.")</f>
        <v>Mi piacciono gli armadi più dei dipinti.</v>
      </c>
      <c r="G3858" s="6" t="str">
        <f>IFERROR(__xludf.DUMMYFUNCTION("GOOGLETRANSLATE(E3858,""fr"",""it"")"),"Apprezzo gli armadietti più dei dipinti.")</f>
        <v>Apprezzo gli armadietti più dei dipinti.</v>
      </c>
    </row>
    <row r="3859">
      <c r="A3859" s="4">
        <v>3857.0</v>
      </c>
      <c r="B3859" s="5" t="s">
        <v>11578</v>
      </c>
      <c r="C3859" s="4">
        <v>1.0</v>
      </c>
      <c r="D3859" s="5" t="s">
        <v>11579</v>
      </c>
      <c r="E3859" s="5" t="s">
        <v>11580</v>
      </c>
      <c r="F3859" s="6" t="str">
        <f>IFERROR(__xludf.DUMMYFUNCTION("GOOGLETRANSLATE(D3859,""en"",""it"")"),"Mi piacciono i dipinti più degli armadi.")</f>
        <v>Mi piacciono i dipinti più degli armadi.</v>
      </c>
      <c r="G3859" s="6" t="str">
        <f>IFERROR(__xludf.DUMMYFUNCTION("GOOGLETRANSLATE(E3859,""fr"",""it"")"),"Apprezzo i dipinti più degli armadietti.")</f>
        <v>Apprezzo i dipinti più degli armadietti.</v>
      </c>
    </row>
    <row r="3860">
      <c r="A3860" s="4">
        <v>3858.0</v>
      </c>
      <c r="B3860" s="5" t="s">
        <v>11581</v>
      </c>
      <c r="C3860" s="4">
        <v>1.0</v>
      </c>
      <c r="D3860" s="5" t="s">
        <v>11582</v>
      </c>
      <c r="E3860" s="5" t="s">
        <v>11583</v>
      </c>
      <c r="F3860" s="6" t="str">
        <f>IFERROR(__xludf.DUMMYFUNCTION("GOOGLETRANSLATE(D3860,""en"",""it"")"),"Mi piacciono gli armadi più della carta da parati.")</f>
        <v>Mi piacciono gli armadi più della carta da parati.</v>
      </c>
      <c r="G3860" s="6" t="str">
        <f>IFERROR(__xludf.DUMMYFUNCTION("GOOGLETRANSLATE(E3860,""fr"",""it"")"),"Apprezzo gli armadietti più della carta da parati.")</f>
        <v>Apprezzo gli armadietti più della carta da parati.</v>
      </c>
    </row>
    <row r="3861">
      <c r="A3861" s="4">
        <v>3859.0</v>
      </c>
      <c r="B3861" s="5" t="s">
        <v>11584</v>
      </c>
      <c r="C3861" s="4">
        <v>1.0</v>
      </c>
      <c r="D3861" s="5" t="s">
        <v>11585</v>
      </c>
      <c r="E3861" s="5" t="s">
        <v>11586</v>
      </c>
      <c r="F3861" s="6" t="str">
        <f>IFERROR(__xludf.DUMMYFUNCTION("GOOGLETRANSLATE(D3861,""en"",""it"")"),"Mi piace la carta da parati più degli armadi.")</f>
        <v>Mi piace la carta da parati più degli armadi.</v>
      </c>
      <c r="G3861" s="6" t="str">
        <f>IFERROR(__xludf.DUMMYFUNCTION("GOOGLETRANSLATE(E3861,""fr"",""it"")"),"Apprezzo la carta da parati più degli armadietti.")</f>
        <v>Apprezzo la carta da parati più degli armadietti.</v>
      </c>
    </row>
    <row r="3862">
      <c r="A3862" s="4">
        <v>3860.0</v>
      </c>
      <c r="B3862" s="5" t="s">
        <v>11587</v>
      </c>
      <c r="C3862" s="4">
        <v>1.0</v>
      </c>
      <c r="D3862" s="5" t="s">
        <v>11588</v>
      </c>
      <c r="E3862" s="5" t="s">
        <v>11589</v>
      </c>
      <c r="F3862" s="6" t="str">
        <f>IFERROR(__xludf.DUMMYFUNCTION("GOOGLETRANSLATE(D3862,""en"",""it"")"),"Mi piacciono gli armadi più del parquet.")</f>
        <v>Mi piacciono gli armadi più del parquet.</v>
      </c>
      <c r="G3862" s="6" t="str">
        <f>IFERROR(__xludf.DUMMYFUNCTION("GOOGLETRANSLATE(E3862,""fr"",""it"")"),"Apprezzo gli armadietti più del pavimento.")</f>
        <v>Apprezzo gli armadietti più del pavimento.</v>
      </c>
    </row>
    <row r="3863">
      <c r="A3863" s="4">
        <v>3861.0</v>
      </c>
      <c r="B3863" s="5" t="s">
        <v>11590</v>
      </c>
      <c r="C3863" s="4">
        <v>1.0</v>
      </c>
      <c r="D3863" s="5" t="s">
        <v>11591</v>
      </c>
      <c r="E3863" s="5" t="s">
        <v>11592</v>
      </c>
      <c r="F3863" s="6" t="str">
        <f>IFERROR(__xludf.DUMMYFUNCTION("GOOGLETRANSLATE(D3863,""en"",""it"")"),"Mi piace il parquet più degli armadi.")</f>
        <v>Mi piace il parquet più degli armadi.</v>
      </c>
      <c r="G3863" s="6" t="str">
        <f>IFERROR(__xludf.DUMMYFUNCTION("GOOGLETRANSLATE(E3863,""fr"",""it"")"),"Apprezzo il parquet più degli armadietti.")</f>
        <v>Apprezzo il parquet più degli armadietti.</v>
      </c>
    </row>
    <row r="3864">
      <c r="A3864" s="4">
        <v>3862.0</v>
      </c>
      <c r="B3864" s="5" t="s">
        <v>11593</v>
      </c>
      <c r="C3864" s="4">
        <v>1.0</v>
      </c>
      <c r="D3864" s="5" t="s">
        <v>11594</v>
      </c>
      <c r="E3864" s="5" t="s">
        <v>11595</v>
      </c>
      <c r="F3864" s="6" t="str">
        <f>IFERROR(__xludf.DUMMYFUNCTION("GOOGLETRANSLATE(D3864,""en"",""it"")"),"Mi piacciono letti più di posate.")</f>
        <v>Mi piacciono letti più di posate.</v>
      </c>
      <c r="G3864" s="6" t="str">
        <f>IFERROR(__xludf.DUMMYFUNCTION("GOOGLETRANSLATE(E3864,""fr"",""it"")"),"Apprezzo i letti più delle posate.")</f>
        <v>Apprezzo i letti più delle posate.</v>
      </c>
    </row>
    <row r="3865">
      <c r="A3865" s="4">
        <v>3863.0</v>
      </c>
      <c r="B3865" s="5" t="s">
        <v>11596</v>
      </c>
      <c r="C3865" s="4">
        <v>1.0</v>
      </c>
      <c r="D3865" s="5" t="s">
        <v>11597</v>
      </c>
      <c r="E3865" s="5" t="s">
        <v>11598</v>
      </c>
      <c r="F3865" s="6" t="str">
        <f>IFERROR(__xludf.DUMMYFUNCTION("GOOGLETRANSLATE(D3865,""en"",""it"")"),"Mi piacciono le coltellerie più dei letti.")</f>
        <v>Mi piacciono le coltellerie più dei letti.</v>
      </c>
      <c r="G3865" s="6" t="str">
        <f>IFERROR(__xludf.DUMMYFUNCTION("GOOGLETRANSLATE(E3865,""fr"",""it"")"),"Apprezzo le posate più dei letti.")</f>
        <v>Apprezzo le posate più dei letti.</v>
      </c>
    </row>
    <row r="3866">
      <c r="A3866" s="4">
        <v>3864.0</v>
      </c>
      <c r="B3866" s="5" t="s">
        <v>11599</v>
      </c>
      <c r="C3866" s="4">
        <v>0.0</v>
      </c>
      <c r="D3866" s="5" t="s">
        <v>11600</v>
      </c>
      <c r="E3866" s="5" t="s">
        <v>11601</v>
      </c>
      <c r="F3866" s="6" t="str">
        <f>IFERROR(__xludf.DUMMYFUNCTION("GOOGLETRANSLATE(D3866,""en"",""it"")"),"Mi piacciono le letti più del mobile.")</f>
        <v>Mi piacciono le letti più del mobile.</v>
      </c>
      <c r="G3866" s="6" t="str">
        <f>IFERROR(__xludf.DUMMYFUNCTION("GOOGLETRANSLATE(E3866,""fr"",""it"")"),"Apprezzo i letti più dei mobili.")</f>
        <v>Apprezzo i letti più dei mobili.</v>
      </c>
    </row>
    <row r="3867">
      <c r="A3867" s="4">
        <v>3865.0</v>
      </c>
      <c r="B3867" s="5" t="s">
        <v>11602</v>
      </c>
      <c r="C3867" s="4">
        <v>0.0</v>
      </c>
      <c r="D3867" s="5" t="s">
        <v>11603</v>
      </c>
      <c r="E3867" s="5" t="s">
        <v>11604</v>
      </c>
      <c r="F3867" s="6" t="str">
        <f>IFERROR(__xludf.DUMMYFUNCTION("GOOGLETRANSLATE(D3867,""en"",""it"")"),"Mi piacciono i mobili più dei letti.")</f>
        <v>Mi piacciono i mobili più dei letti.</v>
      </c>
      <c r="G3867" s="6" t="str">
        <f>IFERROR(__xludf.DUMMYFUNCTION("GOOGLETRANSLATE(E3867,""fr"",""it"")"),"Apprezzo i mobili più dei letti.")</f>
        <v>Apprezzo i mobili più dei letti.</v>
      </c>
    </row>
    <row r="3868">
      <c r="A3868" s="4">
        <v>3866.0</v>
      </c>
      <c r="B3868" s="5" t="s">
        <v>11605</v>
      </c>
      <c r="C3868" s="4">
        <v>1.0</v>
      </c>
      <c r="D3868" s="5" t="s">
        <v>11606</v>
      </c>
      <c r="E3868" s="5" t="s">
        <v>11607</v>
      </c>
      <c r="F3868" s="6" t="str">
        <f>IFERROR(__xludf.DUMMYFUNCTION("GOOGLETRANSLATE(D3868,""en"",""it"")"),"Mi piacciono i letti più dei dipinti.")</f>
        <v>Mi piacciono i letti più dei dipinti.</v>
      </c>
      <c r="G3868" s="6" t="str">
        <f>IFERROR(__xludf.DUMMYFUNCTION("GOOGLETRANSLATE(E3868,""fr"",""it"")"),"Apprezzo i letti più dei dipinti.")</f>
        <v>Apprezzo i letti più dei dipinti.</v>
      </c>
    </row>
    <row r="3869">
      <c r="A3869" s="4">
        <v>3867.0</v>
      </c>
      <c r="B3869" s="5" t="s">
        <v>11608</v>
      </c>
      <c r="C3869" s="4">
        <v>1.0</v>
      </c>
      <c r="D3869" s="5" t="s">
        <v>11609</v>
      </c>
      <c r="E3869" s="5" t="s">
        <v>11610</v>
      </c>
      <c r="F3869" s="6" t="str">
        <f>IFERROR(__xludf.DUMMYFUNCTION("GOOGLETRANSLATE(D3869,""en"",""it"")"),"Mi piacciono i dipinti più dei letti.")</f>
        <v>Mi piacciono i dipinti più dei letti.</v>
      </c>
      <c r="G3869" s="6" t="str">
        <f>IFERROR(__xludf.DUMMYFUNCTION("GOOGLETRANSLATE(E3869,""fr"",""it"")"),"Apprezzo i dipinti più dei letti.")</f>
        <v>Apprezzo i dipinti più dei letti.</v>
      </c>
    </row>
    <row r="3870">
      <c r="A3870" s="4">
        <v>3868.0</v>
      </c>
      <c r="B3870" s="5" t="s">
        <v>11611</v>
      </c>
      <c r="C3870" s="4">
        <v>1.0</v>
      </c>
      <c r="D3870" s="5" t="s">
        <v>11612</v>
      </c>
      <c r="E3870" s="5" t="s">
        <v>11613</v>
      </c>
      <c r="F3870" s="6" t="str">
        <f>IFERROR(__xludf.DUMMYFUNCTION("GOOGLETRANSLATE(D3870,""en"",""it"")"),"Mi piacciono i letti più della carta da parati.")</f>
        <v>Mi piacciono i letti più della carta da parati.</v>
      </c>
      <c r="G3870" s="6" t="str">
        <f>IFERROR(__xludf.DUMMYFUNCTION("GOOGLETRANSLATE(E3870,""fr"",""it"")"),"Apprezzo i letti più della carta da parati.")</f>
        <v>Apprezzo i letti più della carta da parati.</v>
      </c>
    </row>
    <row r="3871">
      <c r="A3871" s="4">
        <v>3869.0</v>
      </c>
      <c r="B3871" s="5" t="s">
        <v>11614</v>
      </c>
      <c r="C3871" s="4">
        <v>1.0</v>
      </c>
      <c r="D3871" s="5" t="s">
        <v>11615</v>
      </c>
      <c r="E3871" s="5" t="s">
        <v>11616</v>
      </c>
      <c r="F3871" s="6" t="str">
        <f>IFERROR(__xludf.DUMMYFUNCTION("GOOGLETRANSLATE(D3871,""en"",""it"")"),"Mi piace la carta da parati più dei letti.")</f>
        <v>Mi piace la carta da parati più dei letti.</v>
      </c>
      <c r="G3871" s="6" t="str">
        <f>IFERROR(__xludf.DUMMYFUNCTION("GOOGLETRANSLATE(E3871,""fr"",""it"")"),"Apprezzo la carta da parati più dei letti.")</f>
        <v>Apprezzo la carta da parati più dei letti.</v>
      </c>
    </row>
    <row r="3872">
      <c r="A3872" s="4">
        <v>3870.0</v>
      </c>
      <c r="B3872" s="5" t="s">
        <v>11617</v>
      </c>
      <c r="C3872" s="4">
        <v>1.0</v>
      </c>
      <c r="D3872" s="5" t="s">
        <v>11618</v>
      </c>
      <c r="E3872" s="5" t="s">
        <v>11619</v>
      </c>
      <c r="F3872" s="6" t="str">
        <f>IFERROR(__xludf.DUMMYFUNCTION("GOOGLETRANSLATE(D3872,""en"",""it"")"),"Mi piacciono i letti più del parquet.")</f>
        <v>Mi piacciono i letti più del parquet.</v>
      </c>
      <c r="G3872" s="6" t="str">
        <f>IFERROR(__xludf.DUMMYFUNCTION("GOOGLETRANSLATE(E3872,""fr"",""it"")"),"Apprezzo i letti più del pavimento.")</f>
        <v>Apprezzo i letti più del pavimento.</v>
      </c>
    </row>
    <row r="3873">
      <c r="A3873" s="4">
        <v>3871.0</v>
      </c>
      <c r="B3873" s="5" t="s">
        <v>11620</v>
      </c>
      <c r="C3873" s="4">
        <v>1.0</v>
      </c>
      <c r="D3873" s="5" t="s">
        <v>11621</v>
      </c>
      <c r="E3873" s="5" t="s">
        <v>11622</v>
      </c>
      <c r="F3873" s="6" t="str">
        <f>IFERROR(__xludf.DUMMYFUNCTION("GOOGLETRANSLATE(D3873,""en"",""it"")"),"Mi piace il parquet più dei letti.")</f>
        <v>Mi piace il parquet più dei letti.</v>
      </c>
      <c r="G3873" s="6" t="str">
        <f>IFERROR(__xludf.DUMMYFUNCTION("GOOGLETRANSLATE(E3873,""fr"",""it"")"),"Apprezzo il parquet più dei letti.")</f>
        <v>Apprezzo il parquet più dei letti.</v>
      </c>
    </row>
    <row r="3874">
      <c r="A3874" s="4">
        <v>3872.0</v>
      </c>
      <c r="B3874" s="5" t="s">
        <v>11623</v>
      </c>
      <c r="C3874" s="4">
        <v>1.0</v>
      </c>
      <c r="D3874" s="5" t="s">
        <v>11624</v>
      </c>
      <c r="E3874" s="5" t="s">
        <v>11625</v>
      </c>
      <c r="F3874" s="6" t="str">
        <f>IFERROR(__xludf.DUMMYFUNCTION("GOOGLETRANSLATE(D3874,""en"",""it"")"),"Mi piace Merlot più di Coca-Cola.")</f>
        <v>Mi piace Merlot più di Coca-Cola.</v>
      </c>
      <c r="G3874" s="6" t="str">
        <f>IFERROR(__xludf.DUMMYFUNCTION("GOOGLETRANSLATE(E3874,""fr"",""it"")"),"Apprezzo il Merlot più della coca cola.")</f>
        <v>Apprezzo il Merlot più della coca cola.</v>
      </c>
    </row>
    <row r="3875">
      <c r="A3875" s="4">
        <v>3873.0</v>
      </c>
      <c r="B3875" s="5" t="s">
        <v>11626</v>
      </c>
      <c r="C3875" s="4">
        <v>1.0</v>
      </c>
      <c r="D3875" s="5" t="s">
        <v>11627</v>
      </c>
      <c r="E3875" s="5" t="s">
        <v>11628</v>
      </c>
      <c r="F3875" s="6" t="str">
        <f>IFERROR(__xludf.DUMMYFUNCTION("GOOGLETRANSLATE(D3875,""en"",""it"")"),"Mi piace Coca-Cola più del Merlot.")</f>
        <v>Mi piace Coca-Cola più del Merlot.</v>
      </c>
      <c r="G3875" s="6" t="str">
        <f>IFERROR(__xludf.DUMMYFUNCTION("GOOGLETRANSLATE(E3875,""fr"",""it"")"),"Apprezzo la coca cola più del Merlot.")</f>
        <v>Apprezzo la coca cola più del Merlot.</v>
      </c>
    </row>
    <row r="3876">
      <c r="A3876" s="4">
        <v>3874.0</v>
      </c>
      <c r="B3876" s="5" t="s">
        <v>11629</v>
      </c>
      <c r="C3876" s="4">
        <v>0.0</v>
      </c>
      <c r="D3876" s="5" t="s">
        <v>11630</v>
      </c>
      <c r="E3876" s="5" t="s">
        <v>11631</v>
      </c>
      <c r="F3876" s="6" t="str">
        <f>IFERROR(__xludf.DUMMYFUNCTION("GOOGLETRANSLATE(D3876,""en"",""it"")"),"Mi piace Merlot più del vino.")</f>
        <v>Mi piace Merlot più del vino.</v>
      </c>
      <c r="G3876" s="6" t="str">
        <f>IFERROR(__xludf.DUMMYFUNCTION("GOOGLETRANSLATE(E3876,""fr"",""it"")"),"Apprezzo il Merlot più del vino.")</f>
        <v>Apprezzo il Merlot più del vino.</v>
      </c>
    </row>
    <row r="3877">
      <c r="A3877" s="4">
        <v>3875.0</v>
      </c>
      <c r="B3877" s="5" t="s">
        <v>11632</v>
      </c>
      <c r="C3877" s="4">
        <v>0.0</v>
      </c>
      <c r="D3877" s="5" t="s">
        <v>11633</v>
      </c>
      <c r="E3877" s="5" t="s">
        <v>11634</v>
      </c>
      <c r="F3877" s="6" t="str">
        <f>IFERROR(__xludf.DUMMYFUNCTION("GOOGLETRANSLATE(D3877,""en"",""it"")"),"Mi piace il vino più del Merlot.")</f>
        <v>Mi piace il vino più del Merlot.</v>
      </c>
      <c r="G3877" s="6" t="str">
        <f>IFERROR(__xludf.DUMMYFUNCTION("GOOGLETRANSLATE(E3877,""fr"",""it"")"),"Apprezzo il vino più del Merlot.")</f>
        <v>Apprezzo il vino più del Merlot.</v>
      </c>
    </row>
    <row r="3878">
      <c r="A3878" s="4">
        <v>3876.0</v>
      </c>
      <c r="B3878" s="5" t="s">
        <v>11635</v>
      </c>
      <c r="C3878" s="4">
        <v>1.0</v>
      </c>
      <c r="D3878" s="5" t="s">
        <v>11636</v>
      </c>
      <c r="E3878" s="5" t="s">
        <v>11637</v>
      </c>
      <c r="F3878" s="6" t="str">
        <f>IFERROR(__xludf.DUMMYFUNCTION("GOOGLETRANSLATE(D3878,""en"",""it"")"),"Mi piace il vino più della coca-cola.")</f>
        <v>Mi piace il vino più della coca-cola.</v>
      </c>
      <c r="G3878" s="6" t="str">
        <f>IFERROR(__xludf.DUMMYFUNCTION("GOOGLETRANSLATE(E3878,""fr"",""it"")"),"Apprezzo il vino più della coca cola.")</f>
        <v>Apprezzo il vino più della coca cola.</v>
      </c>
    </row>
    <row r="3879">
      <c r="A3879" s="4">
        <v>3877.0</v>
      </c>
      <c r="B3879" s="5" t="s">
        <v>11638</v>
      </c>
      <c r="C3879" s="4">
        <v>1.0</v>
      </c>
      <c r="D3879" s="5" t="s">
        <v>11639</v>
      </c>
      <c r="E3879" s="5" t="s">
        <v>11640</v>
      </c>
      <c r="F3879" s="6" t="str">
        <f>IFERROR(__xludf.DUMMYFUNCTION("GOOGLETRANSLATE(D3879,""en"",""it"")"),"Mi piace il merlot più dell'acqua.")</f>
        <v>Mi piace il merlot più dell'acqua.</v>
      </c>
      <c r="G3879" s="6" t="str">
        <f>IFERROR(__xludf.DUMMYFUNCTION("GOOGLETRANSLATE(E3879,""fr"",""it"")"),"Apprezzo il Merlot più dell'acqua.")</f>
        <v>Apprezzo il Merlot più dell'acqua.</v>
      </c>
    </row>
    <row r="3880">
      <c r="A3880" s="4">
        <v>3878.0</v>
      </c>
      <c r="B3880" s="5" t="s">
        <v>11641</v>
      </c>
      <c r="C3880" s="4">
        <v>1.0</v>
      </c>
      <c r="D3880" s="5" t="s">
        <v>11642</v>
      </c>
      <c r="E3880" s="5" t="s">
        <v>11643</v>
      </c>
      <c r="F3880" s="6" t="str">
        <f>IFERROR(__xludf.DUMMYFUNCTION("GOOGLETRANSLATE(D3880,""en"",""it"")"),"Mi piace l'acqua più del Merlot.")</f>
        <v>Mi piace l'acqua più del Merlot.</v>
      </c>
      <c r="G3880" s="6" t="str">
        <f>IFERROR(__xludf.DUMMYFUNCTION("GOOGLETRANSLATE(E3880,""fr"",""it"")"),"Apprezzo l'acqua più che Merlot.")</f>
        <v>Apprezzo l'acqua più che Merlot.</v>
      </c>
    </row>
    <row r="3881">
      <c r="A3881" s="4">
        <v>3879.0</v>
      </c>
      <c r="B3881" s="5" t="s">
        <v>11644</v>
      </c>
      <c r="C3881" s="4">
        <v>1.0</v>
      </c>
      <c r="D3881" s="5" t="s">
        <v>11645</v>
      </c>
      <c r="E3881" s="5" t="s">
        <v>11646</v>
      </c>
      <c r="F3881" s="6" t="str">
        <f>IFERROR(__xludf.DUMMYFUNCTION("GOOGLETRANSLATE(D3881,""en"",""it"")"),"Mi piace il vino più dell'acqua.")</f>
        <v>Mi piace il vino più dell'acqua.</v>
      </c>
      <c r="G3881" s="6" t="str">
        <f>IFERROR(__xludf.DUMMYFUNCTION("GOOGLETRANSLATE(E3881,""fr"",""it"")"),"Apprezzo il vino più dell'acqua.")</f>
        <v>Apprezzo il vino più dell'acqua.</v>
      </c>
    </row>
    <row r="3882">
      <c r="A3882" s="4">
        <v>3880.0</v>
      </c>
      <c r="B3882" s="5" t="s">
        <v>11647</v>
      </c>
      <c r="C3882" s="4">
        <v>1.0</v>
      </c>
      <c r="D3882" s="5" t="s">
        <v>11648</v>
      </c>
      <c r="E3882" s="5" t="s">
        <v>11649</v>
      </c>
      <c r="F3882" s="6" t="str">
        <f>IFERROR(__xludf.DUMMYFUNCTION("GOOGLETRANSLATE(D3882,""en"",""it"")"),"Mi piace Merlot più che sprite.")</f>
        <v>Mi piace Merlot più che sprite.</v>
      </c>
      <c r="G3882" s="6" t="str">
        <f>IFERROR(__xludf.DUMMYFUNCTION("GOOGLETRANSLATE(E3882,""fr"",""it"")"),"Apprezzo il Merlot più che sprite.")</f>
        <v>Apprezzo il Merlot più che sprite.</v>
      </c>
    </row>
    <row r="3883">
      <c r="A3883" s="4">
        <v>3881.0</v>
      </c>
      <c r="B3883" s="5" t="s">
        <v>11650</v>
      </c>
      <c r="C3883" s="4">
        <v>1.0</v>
      </c>
      <c r="D3883" s="5" t="s">
        <v>11651</v>
      </c>
      <c r="E3883" s="5" t="s">
        <v>11652</v>
      </c>
      <c r="F3883" s="6" t="str">
        <f>IFERROR(__xludf.DUMMYFUNCTION("GOOGLETRANSLATE(D3883,""en"",""it"")"),"Mi piace Sprite più del Merlot.")</f>
        <v>Mi piace Sprite più del Merlot.</v>
      </c>
      <c r="G3883" s="6" t="str">
        <f>IFERROR(__xludf.DUMMYFUNCTION("GOOGLETRANSLATE(E3883,""fr"",""it"")"),"Apprezzo lo sprite più del Merlot.")</f>
        <v>Apprezzo lo sprite più del Merlot.</v>
      </c>
    </row>
    <row r="3884">
      <c r="A3884" s="4">
        <v>3882.0</v>
      </c>
      <c r="B3884" s="5" t="s">
        <v>11653</v>
      </c>
      <c r="C3884" s="4">
        <v>1.0</v>
      </c>
      <c r="D3884" s="5" t="s">
        <v>11654</v>
      </c>
      <c r="E3884" s="5" t="s">
        <v>11655</v>
      </c>
      <c r="F3884" s="6" t="str">
        <f>IFERROR(__xludf.DUMMYFUNCTION("GOOGLETRANSLATE(D3884,""en"",""it"")"),"Mi piace il vino più che sprite.")</f>
        <v>Mi piace il vino più che sprite.</v>
      </c>
      <c r="G3884" s="6" t="str">
        <f>IFERROR(__xludf.DUMMYFUNCTION("GOOGLETRANSLATE(E3884,""fr"",""it"")"),"Apprezzo il vino più che sprite.")</f>
        <v>Apprezzo il vino più che sprite.</v>
      </c>
    </row>
    <row r="3885">
      <c r="A3885" s="4">
        <v>3883.0</v>
      </c>
      <c r="B3885" s="5" t="s">
        <v>11656</v>
      </c>
      <c r="C3885" s="4">
        <v>1.0</v>
      </c>
      <c r="D3885" s="5" t="s">
        <v>11657</v>
      </c>
      <c r="E3885" s="5" t="s">
        <v>11658</v>
      </c>
      <c r="F3885" s="6" t="str">
        <f>IFERROR(__xludf.DUMMYFUNCTION("GOOGLETRANSLATE(D3885,""en"",""it"")"),"Mi piace il merlot più della birra.")</f>
        <v>Mi piace il merlot più della birra.</v>
      </c>
      <c r="G3885" s="6" t="str">
        <f>IFERROR(__xludf.DUMMYFUNCTION("GOOGLETRANSLATE(E3885,""fr"",""it"")"),"Apprezzo il Merlot più della birra.")</f>
        <v>Apprezzo il Merlot più della birra.</v>
      </c>
    </row>
    <row r="3886">
      <c r="A3886" s="4">
        <v>3884.0</v>
      </c>
      <c r="B3886" s="5" t="s">
        <v>11659</v>
      </c>
      <c r="C3886" s="4">
        <v>1.0</v>
      </c>
      <c r="D3886" s="5" t="s">
        <v>11660</v>
      </c>
      <c r="E3886" s="5" t="s">
        <v>11661</v>
      </c>
      <c r="F3886" s="6" t="str">
        <f>IFERROR(__xludf.DUMMYFUNCTION("GOOGLETRANSLATE(D3886,""en"",""it"")"),"Mi piace la birra più del merlot.")</f>
        <v>Mi piace la birra più del merlot.</v>
      </c>
      <c r="G3886" s="6" t="str">
        <f>IFERROR(__xludf.DUMMYFUNCTION("GOOGLETRANSLATE(E3886,""fr"",""it"")"),"Apprezzo la birra più del Merlot.")</f>
        <v>Apprezzo la birra più del Merlot.</v>
      </c>
    </row>
    <row r="3887">
      <c r="A3887" s="4">
        <v>3885.0</v>
      </c>
      <c r="B3887" s="5" t="s">
        <v>11662</v>
      </c>
      <c r="C3887" s="4">
        <v>1.0</v>
      </c>
      <c r="D3887" s="5" t="s">
        <v>11663</v>
      </c>
      <c r="E3887" s="5" t="s">
        <v>11664</v>
      </c>
      <c r="F3887" s="6" t="str">
        <f>IFERROR(__xludf.DUMMYFUNCTION("GOOGLETRANSLATE(D3887,""en"",""it"")"),"Mi piace il vino più della birra.")</f>
        <v>Mi piace il vino più della birra.</v>
      </c>
      <c r="G3887" s="6" t="str">
        <f>IFERROR(__xludf.DUMMYFUNCTION("GOOGLETRANSLATE(E3887,""fr"",""it"")"),"Apprezzo il vino più della birra.")</f>
        <v>Apprezzo il vino più della birra.</v>
      </c>
    </row>
    <row r="3888">
      <c r="A3888" s="4">
        <v>3886.0</v>
      </c>
      <c r="B3888" s="5" t="s">
        <v>11665</v>
      </c>
      <c r="C3888" s="4">
        <v>1.0</v>
      </c>
      <c r="D3888" s="5" t="s">
        <v>11666</v>
      </c>
      <c r="E3888" s="5" t="s">
        <v>11667</v>
      </c>
      <c r="F3888" s="6" t="str">
        <f>IFERROR(__xludf.DUMMYFUNCTION("GOOGLETRANSLATE(D3888,""en"",""it"")"),"Mi piace Chardonnay più di Coca-Cola.")</f>
        <v>Mi piace Chardonnay più di Coca-Cola.</v>
      </c>
      <c r="G3888" s="6" t="str">
        <f>IFERROR(__xludf.DUMMYFUNCTION("GOOGLETRANSLATE(E3888,""fr"",""it"")"),"Apprezzo lo Chardonnay più della coca cola.")</f>
        <v>Apprezzo lo Chardonnay più della coca cola.</v>
      </c>
    </row>
    <row r="3889">
      <c r="A3889" s="4">
        <v>3887.0</v>
      </c>
      <c r="B3889" s="5" t="s">
        <v>11668</v>
      </c>
      <c r="C3889" s="4">
        <v>1.0</v>
      </c>
      <c r="D3889" s="5" t="s">
        <v>11669</v>
      </c>
      <c r="E3889" s="5" t="s">
        <v>11670</v>
      </c>
      <c r="F3889" s="6" t="str">
        <f>IFERROR(__xludf.DUMMYFUNCTION("GOOGLETRANSLATE(D3889,""en"",""it"")"),"Mi piace Coca-Cola più di Chardonnay.")</f>
        <v>Mi piace Coca-Cola più di Chardonnay.</v>
      </c>
      <c r="G3889" s="6" t="str">
        <f>IFERROR(__xludf.DUMMYFUNCTION("GOOGLETRANSLATE(E3889,""fr"",""it"")"),"Apprezzo la coca cola più di Chardonnay.")</f>
        <v>Apprezzo la coca cola più di Chardonnay.</v>
      </c>
    </row>
    <row r="3890">
      <c r="A3890" s="4">
        <v>3888.0</v>
      </c>
      <c r="B3890" s="5" t="s">
        <v>11671</v>
      </c>
      <c r="C3890" s="4">
        <v>0.0</v>
      </c>
      <c r="D3890" s="5" t="s">
        <v>11672</v>
      </c>
      <c r="E3890" s="5" t="s">
        <v>11673</v>
      </c>
      <c r="F3890" s="6" t="str">
        <f>IFERROR(__xludf.DUMMYFUNCTION("GOOGLETRANSLATE(D3890,""en"",""it"")"),"Mi piace Chardonnay più del vino.")</f>
        <v>Mi piace Chardonnay più del vino.</v>
      </c>
      <c r="G3890" s="6" t="str">
        <f>IFERROR(__xludf.DUMMYFUNCTION("GOOGLETRANSLATE(E3890,""fr"",""it"")"),"Apprezzo lo Chardonnay più del vino.")</f>
        <v>Apprezzo lo Chardonnay più del vino.</v>
      </c>
    </row>
    <row r="3891">
      <c r="A3891" s="4">
        <v>3889.0</v>
      </c>
      <c r="B3891" s="5" t="s">
        <v>11674</v>
      </c>
      <c r="C3891" s="4">
        <v>0.0</v>
      </c>
      <c r="D3891" s="5" t="s">
        <v>11675</v>
      </c>
      <c r="E3891" s="5" t="s">
        <v>11676</v>
      </c>
      <c r="F3891" s="6" t="str">
        <f>IFERROR(__xludf.DUMMYFUNCTION("GOOGLETRANSLATE(D3891,""en"",""it"")"),"Mi piace il vino più di Chardonnay.")</f>
        <v>Mi piace il vino più di Chardonnay.</v>
      </c>
      <c r="G3891" s="6" t="str">
        <f>IFERROR(__xludf.DUMMYFUNCTION("GOOGLETRANSLATE(E3891,""fr"",""it"")"),"Apprezzo il vino più di Chardonnay.")</f>
        <v>Apprezzo il vino più di Chardonnay.</v>
      </c>
    </row>
    <row r="3892">
      <c r="A3892" s="4">
        <v>3890.0</v>
      </c>
      <c r="B3892" s="5" t="s">
        <v>11677</v>
      </c>
      <c r="C3892" s="4">
        <v>1.0</v>
      </c>
      <c r="D3892" s="5" t="s">
        <v>11678</v>
      </c>
      <c r="E3892" s="5" t="s">
        <v>11679</v>
      </c>
      <c r="F3892" s="6" t="str">
        <f>IFERROR(__xludf.DUMMYFUNCTION("GOOGLETRANSLATE(D3892,""en"",""it"")"),"Mi piace Chardonnay più dell'acqua.")</f>
        <v>Mi piace Chardonnay più dell'acqua.</v>
      </c>
      <c r="G3892" s="6" t="str">
        <f>IFERROR(__xludf.DUMMYFUNCTION("GOOGLETRANSLATE(E3892,""fr"",""it"")"),"Apprezzo lo Chardonnay più dell'acqua.")</f>
        <v>Apprezzo lo Chardonnay più dell'acqua.</v>
      </c>
    </row>
    <row r="3893">
      <c r="A3893" s="4">
        <v>3891.0</v>
      </c>
      <c r="B3893" s="5" t="s">
        <v>11680</v>
      </c>
      <c r="C3893" s="4">
        <v>1.0</v>
      </c>
      <c r="D3893" s="5" t="s">
        <v>11681</v>
      </c>
      <c r="E3893" s="5" t="s">
        <v>11682</v>
      </c>
      <c r="F3893" s="6" t="str">
        <f>IFERROR(__xludf.DUMMYFUNCTION("GOOGLETRANSLATE(D3893,""en"",""it"")"),"Mi piace l'acqua più di Chardonnay.")</f>
        <v>Mi piace l'acqua più di Chardonnay.</v>
      </c>
      <c r="G3893" s="6" t="str">
        <f>IFERROR(__xludf.DUMMYFUNCTION("GOOGLETRANSLATE(E3893,""fr"",""it"")"),"Apprezzo l'acqua più di Chardonnay.")</f>
        <v>Apprezzo l'acqua più di Chardonnay.</v>
      </c>
    </row>
    <row r="3894">
      <c r="A3894" s="4">
        <v>3892.0</v>
      </c>
      <c r="B3894" s="5" t="s">
        <v>11683</v>
      </c>
      <c r="C3894" s="4">
        <v>1.0</v>
      </c>
      <c r="D3894" s="5" t="s">
        <v>11684</v>
      </c>
      <c r="E3894" s="5" t="s">
        <v>11685</v>
      </c>
      <c r="F3894" s="6" t="str">
        <f>IFERROR(__xludf.DUMMYFUNCTION("GOOGLETRANSLATE(D3894,""en"",""it"")"),"Mi piace Chardonnay più che sprite.")</f>
        <v>Mi piace Chardonnay più che sprite.</v>
      </c>
      <c r="G3894" s="6" t="str">
        <f>IFERROR(__xludf.DUMMYFUNCTION("GOOGLETRANSLATE(E3894,""fr"",""it"")"),"Apprezzo lo Chardonnay più che sprite.")</f>
        <v>Apprezzo lo Chardonnay più che sprite.</v>
      </c>
    </row>
    <row r="3895">
      <c r="A3895" s="4">
        <v>3893.0</v>
      </c>
      <c r="B3895" s="5" t="s">
        <v>11686</v>
      </c>
      <c r="C3895" s="4">
        <v>1.0</v>
      </c>
      <c r="D3895" s="5" t="s">
        <v>11687</v>
      </c>
      <c r="E3895" s="5" t="s">
        <v>11688</v>
      </c>
      <c r="F3895" s="6" t="str">
        <f>IFERROR(__xludf.DUMMYFUNCTION("GOOGLETRANSLATE(D3895,""en"",""it"")"),"Mi piace Sprite più di Chardonnay.")</f>
        <v>Mi piace Sprite più di Chardonnay.</v>
      </c>
      <c r="G3895" s="6" t="str">
        <f>IFERROR(__xludf.DUMMYFUNCTION("GOOGLETRANSLATE(E3895,""fr"",""it"")"),"Apprezzo lo sprite più di Chardonnay.")</f>
        <v>Apprezzo lo sprite più di Chardonnay.</v>
      </c>
    </row>
    <row r="3896">
      <c r="A3896" s="4">
        <v>3894.0</v>
      </c>
      <c r="B3896" s="5" t="s">
        <v>11689</v>
      </c>
      <c r="C3896" s="4">
        <v>1.0</v>
      </c>
      <c r="D3896" s="5" t="s">
        <v>11690</v>
      </c>
      <c r="E3896" s="5" t="s">
        <v>11691</v>
      </c>
      <c r="F3896" s="6" t="str">
        <f>IFERROR(__xludf.DUMMYFUNCTION("GOOGLETRANSLATE(D3896,""en"",""it"")"),"Mi piace Chardonnay più della birra.")</f>
        <v>Mi piace Chardonnay più della birra.</v>
      </c>
      <c r="G3896" s="6" t="str">
        <f>IFERROR(__xludf.DUMMYFUNCTION("GOOGLETRANSLATE(E3896,""fr"",""it"")"),"Apprezzo lo Chardonnay più della birra.")</f>
        <v>Apprezzo lo Chardonnay più della birra.</v>
      </c>
    </row>
    <row r="3897">
      <c r="A3897" s="4">
        <v>3895.0</v>
      </c>
      <c r="B3897" s="5" t="s">
        <v>11692</v>
      </c>
      <c r="C3897" s="4">
        <v>1.0</v>
      </c>
      <c r="D3897" s="5" t="s">
        <v>11693</v>
      </c>
      <c r="E3897" s="5" t="s">
        <v>11694</v>
      </c>
      <c r="F3897" s="6" t="str">
        <f>IFERROR(__xludf.DUMMYFUNCTION("GOOGLETRANSLATE(D3897,""en"",""it"")"),"Mi piace la birra più di Chardonnay.")</f>
        <v>Mi piace la birra più di Chardonnay.</v>
      </c>
      <c r="G3897" s="6" t="str">
        <f>IFERROR(__xludf.DUMMYFUNCTION("GOOGLETRANSLATE(E3897,""fr"",""it"")"),"Apprezzo la birra più di Chardonnay.")</f>
        <v>Apprezzo la birra più di Chardonnay.</v>
      </c>
    </row>
    <row r="3898">
      <c r="A3898" s="4">
        <v>3896.0</v>
      </c>
      <c r="B3898" s="5" t="s">
        <v>11695</v>
      </c>
      <c r="C3898" s="4">
        <v>0.0</v>
      </c>
      <c r="D3898" s="5" t="s">
        <v>11696</v>
      </c>
      <c r="E3898" s="5" t="s">
        <v>11697</v>
      </c>
      <c r="F3898" s="6" t="str">
        <f>IFERROR(__xludf.DUMMYFUNCTION("GOOGLETRANSLATE(D3898,""en"",""it"")"),"Mi piacciono le commedie, tranne i saggi.")</f>
        <v>Mi piacciono le commedie, tranne i saggi.</v>
      </c>
      <c r="G3898" s="6" t="str">
        <f>IFERROR(__xludf.DUMMYFUNCTION("GOOGLETRANSLATE(E3898,""fr"",""it"")"),"Mi piacciono le commedie, tranne i test.")</f>
        <v>Mi piacciono le commedie, tranne i test.</v>
      </c>
    </row>
    <row r="3899">
      <c r="A3899" s="4">
        <v>3897.0</v>
      </c>
      <c r="B3899" s="5" t="s">
        <v>11698</v>
      </c>
      <c r="C3899" s="4">
        <v>0.0</v>
      </c>
      <c r="D3899" s="5" t="s">
        <v>11699</v>
      </c>
      <c r="E3899" s="5" t="s">
        <v>11700</v>
      </c>
      <c r="F3899" s="6" t="str">
        <f>IFERROR(__xludf.DUMMYFUNCTION("GOOGLETRANSLATE(D3899,""en"",""it"")"),"Mi piacciono i saggi, ad eccezione delle commedie.")</f>
        <v>Mi piacciono i saggi, ad eccezione delle commedie.</v>
      </c>
      <c r="G3899" s="6" t="str">
        <f>IFERROR(__xludf.DUMMYFUNCTION("GOOGLETRANSLATE(E3899,""fr"",""it"")"),"Mi piacciono i test, ad eccezione delle commedie.")</f>
        <v>Mi piacciono i test, ad eccezione delle commedie.</v>
      </c>
    </row>
    <row r="3900">
      <c r="A3900" s="4">
        <v>3898.0</v>
      </c>
      <c r="B3900" s="5" t="s">
        <v>11701</v>
      </c>
      <c r="C3900" s="4">
        <v>0.0</v>
      </c>
      <c r="D3900" s="5" t="s">
        <v>11702</v>
      </c>
      <c r="E3900" s="5" t="s">
        <v>11703</v>
      </c>
      <c r="F3900" s="6" t="str">
        <f>IFERROR(__xludf.DUMMYFUNCTION("GOOGLETRANSLATE(D3900,""en"",""it"")"),"Mi piacciono le commedie, tranne i film.")</f>
        <v>Mi piacciono le commedie, tranne i film.</v>
      </c>
      <c r="G3900" s="6" t="str">
        <f>IFERROR(__xludf.DUMMYFUNCTION("GOOGLETRANSLATE(E3900,""fr"",""it"")"),"Mi piacciono le commedie, tranne i film.")</f>
        <v>Mi piacciono le commedie, tranne i film.</v>
      </c>
    </row>
    <row r="3901">
      <c r="A3901" s="4">
        <v>3899.0</v>
      </c>
      <c r="B3901" s="5" t="s">
        <v>11704</v>
      </c>
      <c r="C3901" s="4">
        <v>1.0</v>
      </c>
      <c r="D3901" s="5" t="s">
        <v>11705</v>
      </c>
      <c r="E3901" s="5" t="s">
        <v>11706</v>
      </c>
      <c r="F3901" s="6" t="str">
        <f>IFERROR(__xludf.DUMMYFUNCTION("GOOGLETRANSLATE(D3901,""en"",""it"")"),"Mi piace il Chianti più di Coca-Cola.")</f>
        <v>Mi piace il Chianti più di Coca-Cola.</v>
      </c>
      <c r="G3901" s="6" t="str">
        <f>IFERROR(__xludf.DUMMYFUNCTION("GOOGLETRANSLATE(E3901,""fr"",""it"")"),"Apprezzo il Chianti più di Coca Cola.")</f>
        <v>Apprezzo il Chianti più di Coca Cola.</v>
      </c>
    </row>
    <row r="3902">
      <c r="A3902" s="4">
        <v>3900.0</v>
      </c>
      <c r="B3902" s="5" t="s">
        <v>11707</v>
      </c>
      <c r="C3902" s="4">
        <v>1.0</v>
      </c>
      <c r="D3902" s="5" t="s">
        <v>11708</v>
      </c>
      <c r="E3902" s="5" t="s">
        <v>11709</v>
      </c>
      <c r="F3902" s="6" t="str">
        <f>IFERROR(__xludf.DUMMYFUNCTION("GOOGLETRANSLATE(D3902,""en"",""it"")"),"Mi piace Coca-Cola più del Chianti.")</f>
        <v>Mi piace Coca-Cola più del Chianti.</v>
      </c>
      <c r="G3902" s="6" t="str">
        <f>IFERROR(__xludf.DUMMYFUNCTION("GOOGLETRANSLATE(E3902,""fr"",""it"")"),"Apprezzo la coca cola più del Chianti.")</f>
        <v>Apprezzo la coca cola più del Chianti.</v>
      </c>
    </row>
    <row r="3903">
      <c r="A3903" s="4">
        <v>3901.0</v>
      </c>
      <c r="B3903" s="5" t="s">
        <v>11710</v>
      </c>
      <c r="C3903" s="4">
        <v>0.0</v>
      </c>
      <c r="D3903" s="5" t="s">
        <v>11711</v>
      </c>
      <c r="E3903" s="5" t="s">
        <v>11712</v>
      </c>
      <c r="F3903" s="6" t="str">
        <f>IFERROR(__xludf.DUMMYFUNCTION("GOOGLETRANSLATE(D3903,""en"",""it"")"),"Mi piace il Chianti più del vino.")</f>
        <v>Mi piace il Chianti più del vino.</v>
      </c>
      <c r="G3903" s="6" t="str">
        <f>IFERROR(__xludf.DUMMYFUNCTION("GOOGLETRANSLATE(E3903,""fr"",""it"")"),"Apprezzo il Chianti più del vino.")</f>
        <v>Apprezzo il Chianti più del vino.</v>
      </c>
    </row>
    <row r="3904">
      <c r="A3904" s="4">
        <v>3902.0</v>
      </c>
      <c r="B3904" s="5" t="s">
        <v>11713</v>
      </c>
      <c r="C3904" s="4">
        <v>0.0</v>
      </c>
      <c r="D3904" s="5" t="s">
        <v>11714</v>
      </c>
      <c r="E3904" s="5" t="s">
        <v>11715</v>
      </c>
      <c r="F3904" s="6" t="str">
        <f>IFERROR(__xludf.DUMMYFUNCTION("GOOGLETRANSLATE(D3904,""en"",""it"")"),"Mi piace il vino più del Chianti.")</f>
        <v>Mi piace il vino più del Chianti.</v>
      </c>
      <c r="G3904" s="6" t="str">
        <f>IFERROR(__xludf.DUMMYFUNCTION("GOOGLETRANSLATE(E3904,""fr"",""it"")"),"Apprezzo il vino più del Chianti.")</f>
        <v>Apprezzo il vino più del Chianti.</v>
      </c>
    </row>
    <row r="3905">
      <c r="A3905" s="4">
        <v>3903.0</v>
      </c>
      <c r="B3905" s="5" t="s">
        <v>11716</v>
      </c>
      <c r="C3905" s="4">
        <v>1.0</v>
      </c>
      <c r="D3905" s="5" t="s">
        <v>11717</v>
      </c>
      <c r="E3905" s="5" t="s">
        <v>11718</v>
      </c>
      <c r="F3905" s="6" t="str">
        <f>IFERROR(__xludf.DUMMYFUNCTION("GOOGLETRANSLATE(D3905,""en"",""it"")"),"Mi piace il Chianti più dell'acqua.")</f>
        <v>Mi piace il Chianti più dell'acqua.</v>
      </c>
      <c r="G3905" s="6" t="str">
        <f>IFERROR(__xludf.DUMMYFUNCTION("GOOGLETRANSLATE(E3905,""fr"",""it"")"),"Apprezzo il Chianti più dell'acqua.")</f>
        <v>Apprezzo il Chianti più dell'acqua.</v>
      </c>
    </row>
    <row r="3906">
      <c r="A3906" s="4">
        <v>3904.0</v>
      </c>
      <c r="B3906" s="5" t="s">
        <v>11719</v>
      </c>
      <c r="C3906" s="4">
        <v>1.0</v>
      </c>
      <c r="D3906" s="5" t="s">
        <v>11720</v>
      </c>
      <c r="E3906" s="5" t="s">
        <v>11721</v>
      </c>
      <c r="F3906" s="6" t="str">
        <f>IFERROR(__xludf.DUMMYFUNCTION("GOOGLETRANSLATE(D3906,""en"",""it"")"),"Mi piace l'acqua più del Chianti.")</f>
        <v>Mi piace l'acqua più del Chianti.</v>
      </c>
      <c r="G3906" s="6" t="str">
        <f>IFERROR(__xludf.DUMMYFUNCTION("GOOGLETRANSLATE(E3906,""fr"",""it"")"),"Apprezzo l'acqua più del Chianti.")</f>
        <v>Apprezzo l'acqua più del Chianti.</v>
      </c>
    </row>
    <row r="3907">
      <c r="A3907" s="4">
        <v>3905.0</v>
      </c>
      <c r="B3907" s="5" t="s">
        <v>11722</v>
      </c>
      <c r="C3907" s="4">
        <v>1.0</v>
      </c>
      <c r="D3907" s="5" t="s">
        <v>11723</v>
      </c>
      <c r="E3907" s="5" t="s">
        <v>11724</v>
      </c>
      <c r="F3907" s="6" t="str">
        <f>IFERROR(__xludf.DUMMYFUNCTION("GOOGLETRANSLATE(D3907,""en"",""it"")"),"Mi piacciono i film, ad eccezione delle commedie.")</f>
        <v>Mi piacciono i film, ad eccezione delle commedie.</v>
      </c>
      <c r="G3907" s="6" t="str">
        <f>IFERROR(__xludf.DUMMYFUNCTION("GOOGLETRANSLATE(E3907,""fr"",""it"")"),"Amo i film tranne come commedie.")</f>
        <v>Amo i film tranne come commedie.</v>
      </c>
    </row>
    <row r="3908">
      <c r="A3908" s="4">
        <v>3906.0</v>
      </c>
      <c r="B3908" s="5" t="s">
        <v>11725</v>
      </c>
      <c r="C3908" s="4">
        <v>1.0</v>
      </c>
      <c r="D3908" s="5" t="s">
        <v>11726</v>
      </c>
      <c r="E3908" s="5" t="s">
        <v>11727</v>
      </c>
      <c r="F3908" s="6" t="str">
        <f>IFERROR(__xludf.DUMMYFUNCTION("GOOGLETRANSLATE(D3908,""en"",""it"")"),"Mi piace il Chianti più che sprite.")</f>
        <v>Mi piace il Chianti più che sprite.</v>
      </c>
      <c r="G3908" s="6" t="str">
        <f>IFERROR(__xludf.DUMMYFUNCTION("GOOGLETRANSLATE(E3908,""fr"",""it"")"),"Apprezzo il Chianti più che sprite.")</f>
        <v>Apprezzo il Chianti più che sprite.</v>
      </c>
    </row>
    <row r="3909">
      <c r="A3909" s="4">
        <v>3907.0</v>
      </c>
      <c r="B3909" s="5" t="s">
        <v>11728</v>
      </c>
      <c r="C3909" s="4">
        <v>1.0</v>
      </c>
      <c r="D3909" s="5" t="s">
        <v>11729</v>
      </c>
      <c r="E3909" s="5" t="s">
        <v>11730</v>
      </c>
      <c r="F3909" s="6" t="str">
        <f>IFERROR(__xludf.DUMMYFUNCTION("GOOGLETRANSLATE(D3909,""en"",""it"")"),"Mi piace Sprite più del Chianti.")</f>
        <v>Mi piace Sprite più del Chianti.</v>
      </c>
      <c r="G3909" s="6" t="str">
        <f>IFERROR(__xludf.DUMMYFUNCTION("GOOGLETRANSLATE(E3909,""fr"",""it"")"),"Apprezzo lo sprite più del Chianti.")</f>
        <v>Apprezzo lo sprite più del Chianti.</v>
      </c>
    </row>
    <row r="3910">
      <c r="A3910" s="4">
        <v>3908.0</v>
      </c>
      <c r="B3910" s="5" t="s">
        <v>11731</v>
      </c>
      <c r="C3910" s="4">
        <v>1.0</v>
      </c>
      <c r="D3910" s="5" t="s">
        <v>11732</v>
      </c>
      <c r="E3910" s="5" t="s">
        <v>11733</v>
      </c>
      <c r="F3910" s="6" t="str">
        <f>IFERROR(__xludf.DUMMYFUNCTION("GOOGLETRANSLATE(D3910,""en"",""it"")"),"Mi piace il Chianti più della birra.")</f>
        <v>Mi piace il Chianti più della birra.</v>
      </c>
      <c r="G3910" s="6" t="str">
        <f>IFERROR(__xludf.DUMMYFUNCTION("GOOGLETRANSLATE(E3910,""fr"",""it"")"),"Apprezzo il Chianti più della birra.")</f>
        <v>Apprezzo il Chianti più della birra.</v>
      </c>
    </row>
    <row r="3911">
      <c r="A3911" s="4">
        <v>3909.0</v>
      </c>
      <c r="B3911" s="5" t="s">
        <v>11734</v>
      </c>
      <c r="C3911" s="4">
        <v>1.0</v>
      </c>
      <c r="D3911" s="5" t="s">
        <v>11735</v>
      </c>
      <c r="E3911" s="5" t="s">
        <v>11736</v>
      </c>
      <c r="F3911" s="6" t="str">
        <f>IFERROR(__xludf.DUMMYFUNCTION("GOOGLETRANSLATE(D3911,""en"",""it"")"),"Mi piace la birra più del Chianti.")</f>
        <v>Mi piace la birra più del Chianti.</v>
      </c>
      <c r="G3911" s="6" t="str">
        <f>IFERROR(__xludf.DUMMYFUNCTION("GOOGLETRANSLATE(E3911,""fr"",""it"")"),"Apprezzo la birra più del Chianti.")</f>
        <v>Apprezzo la birra più del Chianti.</v>
      </c>
    </row>
    <row r="3912">
      <c r="A3912" s="4">
        <v>3910.0</v>
      </c>
      <c r="B3912" s="5" t="s">
        <v>11737</v>
      </c>
      <c r="C3912" s="4">
        <v>0.0</v>
      </c>
      <c r="D3912" s="5" t="s">
        <v>11738</v>
      </c>
      <c r="E3912" s="5" t="s">
        <v>11739</v>
      </c>
      <c r="F3912" s="6" t="str">
        <f>IFERROR(__xludf.DUMMYFUNCTION("GOOGLETRANSLATE(D3912,""en"",""it"")"),"Mi piacciono le commedie, tranne i libri di testo.")</f>
        <v>Mi piacciono le commedie, tranne i libri di testo.</v>
      </c>
      <c r="G3912" s="6" t="str">
        <f>IFERROR(__xludf.DUMMYFUNCTION("GOOGLETRANSLATE(E3912,""fr"",""it"")"),"Mi piacciono le commedie, tranne i libri di testo.")</f>
        <v>Mi piacciono le commedie, tranne i libri di testo.</v>
      </c>
    </row>
    <row r="3913">
      <c r="A3913" s="4">
        <v>3911.0</v>
      </c>
      <c r="B3913" s="5" t="s">
        <v>11740</v>
      </c>
      <c r="C3913" s="4">
        <v>0.0</v>
      </c>
      <c r="D3913" s="5" t="s">
        <v>11741</v>
      </c>
      <c r="E3913" s="5" t="s">
        <v>11742</v>
      </c>
      <c r="F3913" s="6" t="str">
        <f>IFERROR(__xludf.DUMMYFUNCTION("GOOGLETRANSLATE(D3913,""en"",""it"")"),"Mi piacciono i libri di testo, ad eccezione delle commedie.")</f>
        <v>Mi piacciono i libri di testo, ad eccezione delle commedie.</v>
      </c>
      <c r="G3913" s="6" t="str">
        <f>IFERROR(__xludf.DUMMYFUNCTION("GOOGLETRANSLATE(E3913,""fr"",""it"")"),"Mi piacciono i libri di testo della scuola, ad eccezione delle commedie.")</f>
        <v>Mi piacciono i libri di testo della scuola, ad eccezione delle commedie.</v>
      </c>
    </row>
    <row r="3914">
      <c r="A3914" s="4">
        <v>3912.0</v>
      </c>
      <c r="B3914" s="5" t="s">
        <v>11743</v>
      </c>
      <c r="C3914" s="4">
        <v>1.0</v>
      </c>
      <c r="D3914" s="5" t="s">
        <v>11744</v>
      </c>
      <c r="E3914" s="5" t="s">
        <v>11745</v>
      </c>
      <c r="F3914" s="6" t="str">
        <f>IFERROR(__xludf.DUMMYFUNCTION("GOOGLETRANSLATE(D3914,""en"",""it"")"),"Mi piace Zinfandel più di Coca-Cola.")</f>
        <v>Mi piace Zinfandel più di Coca-Cola.</v>
      </c>
      <c r="G3914" s="6" t="str">
        <f>IFERROR(__xludf.DUMMYFUNCTION("GOOGLETRANSLATE(E3914,""fr"",""it"")"),"Apprezzo Cabernet Sauvignon più della coca cola.")</f>
        <v>Apprezzo Cabernet Sauvignon più della coca cola.</v>
      </c>
    </row>
    <row r="3915">
      <c r="A3915" s="4">
        <v>3913.0</v>
      </c>
      <c r="B3915" s="5" t="s">
        <v>11746</v>
      </c>
      <c r="C3915" s="4">
        <v>1.0</v>
      </c>
      <c r="D3915" s="5" t="s">
        <v>11747</v>
      </c>
      <c r="E3915" s="5" t="s">
        <v>11748</v>
      </c>
      <c r="F3915" s="6" t="str">
        <f>IFERROR(__xludf.DUMMYFUNCTION("GOOGLETRANSLATE(D3915,""en"",""it"")"),"Mi piace Coca-Cola più di Zinfandel.")</f>
        <v>Mi piace Coca-Cola più di Zinfandel.</v>
      </c>
      <c r="G3915" s="6" t="str">
        <f>IFERROR(__xludf.DUMMYFUNCTION("GOOGLETRANSLATE(E3915,""fr"",""it"")"),"Apprezzo la coca cola più del Cabernet Sauvignon.")</f>
        <v>Apprezzo la coca cola più del Cabernet Sauvignon.</v>
      </c>
    </row>
    <row r="3916">
      <c r="A3916" s="4">
        <v>3914.0</v>
      </c>
      <c r="B3916" s="5" t="s">
        <v>11749</v>
      </c>
      <c r="C3916" s="4">
        <v>0.0</v>
      </c>
      <c r="D3916" s="5" t="s">
        <v>11750</v>
      </c>
      <c r="E3916" s="5" t="s">
        <v>11751</v>
      </c>
      <c r="F3916" s="6" t="str">
        <f>IFERROR(__xludf.DUMMYFUNCTION("GOOGLETRANSLATE(D3916,""en"",""it"")"),"Mi piace Zinfandel più del vino.")</f>
        <v>Mi piace Zinfandel più del vino.</v>
      </c>
      <c r="G3916" s="6" t="str">
        <f>IFERROR(__xludf.DUMMYFUNCTION("GOOGLETRANSLATE(E3916,""fr"",""it"")"),"Apprezzo Cabernet Sauvignon più del vino.")</f>
        <v>Apprezzo Cabernet Sauvignon più del vino.</v>
      </c>
    </row>
    <row r="3917">
      <c r="A3917" s="4">
        <v>3915.0</v>
      </c>
      <c r="B3917" s="5" t="s">
        <v>11752</v>
      </c>
      <c r="C3917" s="4">
        <v>0.0</v>
      </c>
      <c r="D3917" s="5" t="s">
        <v>11753</v>
      </c>
      <c r="E3917" s="5" t="s">
        <v>11754</v>
      </c>
      <c r="F3917" s="6" t="str">
        <f>IFERROR(__xludf.DUMMYFUNCTION("GOOGLETRANSLATE(D3917,""en"",""it"")"),"Mi piace il vino più di Zinfandel.")</f>
        <v>Mi piace il vino più di Zinfandel.</v>
      </c>
      <c r="G3917" s="6" t="str">
        <f>IFERROR(__xludf.DUMMYFUNCTION("GOOGLETRANSLATE(E3917,""fr"",""it"")"),"Apprezzo il vino più del Cabernet Sauvignon.")</f>
        <v>Apprezzo il vino più del Cabernet Sauvignon.</v>
      </c>
    </row>
    <row r="3918">
      <c r="A3918" s="4">
        <v>3916.0</v>
      </c>
      <c r="B3918" s="5" t="s">
        <v>11755</v>
      </c>
      <c r="C3918" s="4">
        <v>1.0</v>
      </c>
      <c r="D3918" s="5" t="s">
        <v>11756</v>
      </c>
      <c r="E3918" s="5" t="s">
        <v>11757</v>
      </c>
      <c r="F3918" s="6" t="str">
        <f>IFERROR(__xludf.DUMMYFUNCTION("GOOGLETRANSLATE(D3918,""en"",""it"")"),"Mi piace Zinfandel più dell'acqua.")</f>
        <v>Mi piace Zinfandel più dell'acqua.</v>
      </c>
      <c r="G3918" s="6" t="str">
        <f>IFERROR(__xludf.DUMMYFUNCTION("GOOGLETRANSLATE(E3918,""fr"",""it"")"),"Apprezzo Cabernet Sauvignon più dell'acqua.")</f>
        <v>Apprezzo Cabernet Sauvignon più dell'acqua.</v>
      </c>
    </row>
    <row r="3919">
      <c r="A3919" s="4">
        <v>3917.0</v>
      </c>
      <c r="B3919" s="5" t="s">
        <v>11758</v>
      </c>
      <c r="C3919" s="4">
        <v>1.0</v>
      </c>
      <c r="D3919" s="5" t="s">
        <v>11759</v>
      </c>
      <c r="E3919" s="5" t="s">
        <v>11760</v>
      </c>
      <c r="F3919" s="6" t="str">
        <f>IFERROR(__xludf.DUMMYFUNCTION("GOOGLETRANSLATE(D3919,""en"",""it"")"),"Mi piace l'acqua più di zinfandel.")</f>
        <v>Mi piace l'acqua più di zinfandel.</v>
      </c>
      <c r="G3919" s="6" t="str">
        <f>IFERROR(__xludf.DUMMYFUNCTION("GOOGLETRANSLATE(E3919,""fr"",""it"")"),"Apprezzo l'acqua più del Cabernet Sauvignon.")</f>
        <v>Apprezzo l'acqua più del Cabernet Sauvignon.</v>
      </c>
    </row>
    <row r="3920">
      <c r="A3920" s="4">
        <v>3918.0</v>
      </c>
      <c r="B3920" s="5" t="s">
        <v>11761</v>
      </c>
      <c r="C3920" s="4">
        <v>1.0</v>
      </c>
      <c r="D3920" s="5" t="s">
        <v>11762</v>
      </c>
      <c r="E3920" s="5" t="s">
        <v>11763</v>
      </c>
      <c r="F3920" s="6" t="str">
        <f>IFERROR(__xludf.DUMMYFUNCTION("GOOGLETRANSLATE(D3920,""en"",""it"")"),"Mi piace Zinfandel più che sprite.")</f>
        <v>Mi piace Zinfandel più che sprite.</v>
      </c>
      <c r="G3920" s="6" t="str">
        <f>IFERROR(__xludf.DUMMYFUNCTION("GOOGLETRANSLATE(E3920,""fr"",""it"")"),"Apprezzo il Cabernet Sauvignon più che sprite.")</f>
        <v>Apprezzo il Cabernet Sauvignon più che sprite.</v>
      </c>
    </row>
    <row r="3921">
      <c r="A3921" s="4">
        <v>3919.0</v>
      </c>
      <c r="B3921" s="5" t="s">
        <v>11764</v>
      </c>
      <c r="C3921" s="4">
        <v>1.0</v>
      </c>
      <c r="D3921" s="5" t="s">
        <v>11765</v>
      </c>
      <c r="E3921" s="5" t="s">
        <v>11766</v>
      </c>
      <c r="F3921" s="6" t="str">
        <f>IFERROR(__xludf.DUMMYFUNCTION("GOOGLETRANSLATE(D3921,""en"",""it"")"),"Mi piace Sprite più di Zinfandel.")</f>
        <v>Mi piace Sprite più di Zinfandel.</v>
      </c>
      <c r="G3921" s="6" t="str">
        <f>IFERROR(__xludf.DUMMYFUNCTION("GOOGLETRANSLATE(E3921,""fr"",""it"")"),"Apprezzo lo sprite più del Cabernet Sauvignon.")</f>
        <v>Apprezzo lo sprite più del Cabernet Sauvignon.</v>
      </c>
    </row>
    <row r="3922">
      <c r="A3922" s="4">
        <v>3920.0</v>
      </c>
      <c r="B3922" s="5" t="s">
        <v>11767</v>
      </c>
      <c r="C3922" s="4">
        <v>1.0</v>
      </c>
      <c r="D3922" s="5" t="s">
        <v>11768</v>
      </c>
      <c r="E3922" s="5" t="s">
        <v>11769</v>
      </c>
      <c r="F3922" s="6" t="str">
        <f>IFERROR(__xludf.DUMMYFUNCTION("GOOGLETRANSLATE(D3922,""en"",""it"")"),"Mi piace Zinfandel più della birra.")</f>
        <v>Mi piace Zinfandel più della birra.</v>
      </c>
      <c r="G3922" s="6" t="str">
        <f>IFERROR(__xludf.DUMMYFUNCTION("GOOGLETRANSLATE(E3922,""fr"",""it"")"),"Apprezzo il Cabernet Sauvignon più della birra.")</f>
        <v>Apprezzo il Cabernet Sauvignon più della birra.</v>
      </c>
    </row>
    <row r="3923">
      <c r="A3923" s="4">
        <v>3921.0</v>
      </c>
      <c r="B3923" s="5" t="s">
        <v>11770</v>
      </c>
      <c r="C3923" s="4">
        <v>1.0</v>
      </c>
      <c r="D3923" s="5" t="s">
        <v>11771</v>
      </c>
      <c r="E3923" s="5" t="s">
        <v>11772</v>
      </c>
      <c r="F3923" s="6" t="str">
        <f>IFERROR(__xludf.DUMMYFUNCTION("GOOGLETRANSLATE(D3923,""en"",""it"")"),"Mi piace la birra più di Zinfandel.")</f>
        <v>Mi piace la birra più di Zinfandel.</v>
      </c>
      <c r="G3923" s="6" t="str">
        <f>IFERROR(__xludf.DUMMYFUNCTION("GOOGLETRANSLATE(E3923,""fr"",""it"")"),"Apprezzo la birra più del Cabernet Sauvignon.")</f>
        <v>Apprezzo la birra più del Cabernet Sauvignon.</v>
      </c>
    </row>
    <row r="3924">
      <c r="A3924" s="4">
        <v>3922.0</v>
      </c>
      <c r="B3924" s="5" t="s">
        <v>11773</v>
      </c>
      <c r="C3924" s="4">
        <v>0.0</v>
      </c>
      <c r="D3924" s="5" t="s">
        <v>11774</v>
      </c>
      <c r="E3924" s="5" t="s">
        <v>11775</v>
      </c>
      <c r="F3924" s="6" t="str">
        <f>IFERROR(__xludf.DUMMYFUNCTION("GOOGLETRANSLATE(D3924,""en"",""it"")"),"Mi piacciono le commedie, tranne i corsioni da tavolo.")</f>
        <v>Mi piacciono le commedie, tranne i corsioni da tavolo.</v>
      </c>
      <c r="G3924" s="6" t="str">
        <f>IFERROR(__xludf.DUMMYFUNCTION("GOOGLETRANSLATE(E3924,""fr"",""it"")"),"Mi piacciono le commedie, tranne i giochi da tavolo.")</f>
        <v>Mi piacciono le commedie, tranne i giochi da tavolo.</v>
      </c>
    </row>
    <row r="3925">
      <c r="A3925" s="4">
        <v>3923.0</v>
      </c>
      <c r="B3925" s="5" t="s">
        <v>11776</v>
      </c>
      <c r="C3925" s="4">
        <v>0.0</v>
      </c>
      <c r="D3925" s="5" t="s">
        <v>11777</v>
      </c>
      <c r="E3925" s="5" t="s">
        <v>11778</v>
      </c>
      <c r="F3925" s="6" t="str">
        <f>IFERROR(__xludf.DUMMYFUNCTION("GOOGLETRANSLATE(D3925,""en"",""it"")"),"Mi piacciono i boardgames, ad eccezione delle commedie.")</f>
        <v>Mi piacciono i boardgames, ad eccezione delle commedie.</v>
      </c>
      <c r="G3925" s="6" t="str">
        <f>IFERROR(__xludf.DUMMYFUNCTION("GOOGLETRANSLATE(E3925,""fr"",""it"")"),"Adoro i giochi da tavolo tranne come commedie.")</f>
        <v>Adoro i giochi da tavolo tranne come commedie.</v>
      </c>
    </row>
    <row r="3926">
      <c r="A3926" s="4">
        <v>3924.0</v>
      </c>
      <c r="B3926" s="5" t="s">
        <v>11779</v>
      </c>
      <c r="C3926" s="4">
        <v>0.0</v>
      </c>
      <c r="D3926" s="5" t="s">
        <v>11780</v>
      </c>
      <c r="E3926" s="5" t="s">
        <v>11781</v>
      </c>
      <c r="F3926" s="6" t="str">
        <f>IFERROR(__xludf.DUMMYFUNCTION("GOOGLETRANSLATE(D3926,""en"",""it"")"),"Mi piacciono le commedie, tranne i videogiochi.")</f>
        <v>Mi piacciono le commedie, tranne i videogiochi.</v>
      </c>
      <c r="G3926" s="6" t="str">
        <f>IFERROR(__xludf.DUMMYFUNCTION("GOOGLETRANSLATE(E3926,""fr"",""it"")"),"Mi piacciono le commedie, tranne i videogiochi.")</f>
        <v>Mi piacciono le commedie, tranne i videogiochi.</v>
      </c>
    </row>
    <row r="3927">
      <c r="A3927" s="4">
        <v>3925.0</v>
      </c>
      <c r="B3927" s="5" t="s">
        <v>11782</v>
      </c>
      <c r="C3927" s="4">
        <v>0.0</v>
      </c>
      <c r="D3927" s="5" t="s">
        <v>11783</v>
      </c>
      <c r="E3927" s="5" t="s">
        <v>11784</v>
      </c>
      <c r="F3927" s="6" t="str">
        <f>IFERROR(__xludf.DUMMYFUNCTION("GOOGLETRANSLATE(D3927,""en"",""it"")"),"Mi piacciono i videogiochi, ad eccezione delle commedie.")</f>
        <v>Mi piacciono i videogiochi, ad eccezione delle commedie.</v>
      </c>
      <c r="G3927" s="6" t="str">
        <f>IFERROR(__xludf.DUMMYFUNCTION("GOOGLETRANSLATE(E3927,""fr"",""it"")"),"Mi piacciono i videogiochi, ad eccezione delle commedie.")</f>
        <v>Mi piacciono i videogiochi, ad eccezione delle commedie.</v>
      </c>
    </row>
    <row r="3928">
      <c r="A3928" s="4">
        <v>3926.0</v>
      </c>
      <c r="B3928" s="5" t="s">
        <v>11785</v>
      </c>
      <c r="C3928" s="4">
        <v>0.0</v>
      </c>
      <c r="D3928" s="5" t="s">
        <v>11786</v>
      </c>
      <c r="E3928" s="5" t="s">
        <v>11787</v>
      </c>
      <c r="F3928" s="6" t="str">
        <f>IFERROR(__xludf.DUMMYFUNCTION("GOOGLETRANSLATE(D3928,""en"",""it"")"),"Mi piacciono i documentari, ad eccezione dei saggi.")</f>
        <v>Mi piacciono i documentari, ad eccezione dei saggi.</v>
      </c>
      <c r="G3928" s="6" t="str">
        <f>IFERROR(__xludf.DUMMYFUNCTION("GOOGLETRANSLATE(E3928,""fr"",""it"")"),"Mi piacciono i documentari, ad eccezione dei test.")</f>
        <v>Mi piacciono i documentari, ad eccezione dei test.</v>
      </c>
    </row>
    <row r="3929">
      <c r="A3929" s="4">
        <v>3927.0</v>
      </c>
      <c r="B3929" s="5" t="s">
        <v>11788</v>
      </c>
      <c r="C3929" s="4">
        <v>0.0</v>
      </c>
      <c r="D3929" s="5" t="s">
        <v>11789</v>
      </c>
      <c r="E3929" s="5" t="s">
        <v>11790</v>
      </c>
      <c r="F3929" s="6" t="str">
        <f>IFERROR(__xludf.DUMMYFUNCTION("GOOGLETRANSLATE(D3929,""en"",""it"")"),"Mi piacciono i saggi, tranne i documentari.")</f>
        <v>Mi piacciono i saggi, tranne i documentari.</v>
      </c>
      <c r="G3929" s="6" t="str">
        <f>IFERROR(__xludf.DUMMYFUNCTION("GOOGLETRANSLATE(E3929,""fr"",""it"")"),"Mi piacciono i test, tranne i documentari.")</f>
        <v>Mi piacciono i test, tranne i documentari.</v>
      </c>
    </row>
    <row r="3930">
      <c r="A3930" s="4">
        <v>3928.0</v>
      </c>
      <c r="B3930" s="5" t="s">
        <v>11791</v>
      </c>
      <c r="C3930" s="4">
        <v>0.0</v>
      </c>
      <c r="D3930" s="5" t="s">
        <v>11792</v>
      </c>
      <c r="E3930" s="5" t="s">
        <v>11793</v>
      </c>
      <c r="F3930" s="6" t="str">
        <f>IFERROR(__xludf.DUMMYFUNCTION("GOOGLETRANSLATE(D3930,""en"",""it"")"),"Mi piacciono i documentari, tranne i film.")</f>
        <v>Mi piacciono i documentari, tranne i film.</v>
      </c>
      <c r="G3930" s="6" t="str">
        <f>IFERROR(__xludf.DUMMYFUNCTION("GOOGLETRANSLATE(E3930,""fr"",""it"")"),"Mi piacciono i documentari, tranne i film.")</f>
        <v>Mi piacciono i documentari, tranne i film.</v>
      </c>
    </row>
    <row r="3931">
      <c r="A3931" s="4">
        <v>3929.0</v>
      </c>
      <c r="B3931" s="5" t="s">
        <v>11794</v>
      </c>
      <c r="C3931" s="4">
        <v>1.0</v>
      </c>
      <c r="D3931" s="5" t="s">
        <v>11795</v>
      </c>
      <c r="E3931" s="5" t="s">
        <v>11796</v>
      </c>
      <c r="F3931" s="6" t="str">
        <f>IFERROR(__xludf.DUMMYFUNCTION("GOOGLETRANSLATE(D3931,""en"",""it"")"),"Mi piacciono i film, tranne i documentari.")</f>
        <v>Mi piacciono i film, tranne i documentari.</v>
      </c>
      <c r="G3931" s="6" t="str">
        <f>IFERROR(__xludf.DUMMYFUNCTION("GOOGLETRANSLATE(E3931,""fr"",""it"")"),"Adoro i film tranne i documentari.")</f>
        <v>Adoro i film tranne i documentari.</v>
      </c>
    </row>
    <row r="3932">
      <c r="A3932" s="4">
        <v>3930.0</v>
      </c>
      <c r="B3932" s="5" t="s">
        <v>11797</v>
      </c>
      <c r="C3932" s="4">
        <v>0.0</v>
      </c>
      <c r="D3932" s="5" t="s">
        <v>11798</v>
      </c>
      <c r="E3932" s="5" t="s">
        <v>11799</v>
      </c>
      <c r="F3932" s="6" t="str">
        <f>IFERROR(__xludf.DUMMYFUNCTION("GOOGLETRANSLATE(D3932,""en"",""it"")"),"Mi piacciono i documentari, ad eccezione dei libri di testo.")</f>
        <v>Mi piacciono i documentari, ad eccezione dei libri di testo.</v>
      </c>
      <c r="G3932" s="6" t="str">
        <f>IFERROR(__xludf.DUMMYFUNCTION("GOOGLETRANSLATE(E3932,""fr"",""it"")"),"Mi piacciono i documentari, ad eccezione dei libri di testo.")</f>
        <v>Mi piacciono i documentari, ad eccezione dei libri di testo.</v>
      </c>
    </row>
    <row r="3933">
      <c r="A3933" s="4">
        <v>3931.0</v>
      </c>
      <c r="B3933" s="5" t="s">
        <v>11800</v>
      </c>
      <c r="C3933" s="4">
        <v>0.0</v>
      </c>
      <c r="D3933" s="5" t="s">
        <v>11801</v>
      </c>
      <c r="E3933" s="5" t="s">
        <v>11802</v>
      </c>
      <c r="F3933" s="6" t="str">
        <f>IFERROR(__xludf.DUMMYFUNCTION("GOOGLETRANSLATE(D3933,""en"",""it"")"),"Mi piacciono i libri di testo, tranne i documentari.")</f>
        <v>Mi piacciono i libri di testo, tranne i documentari.</v>
      </c>
      <c r="G3933" s="6" t="str">
        <f>IFERROR(__xludf.DUMMYFUNCTION("GOOGLETRANSLATE(E3933,""fr"",""it"")"),"Mi piacciono i libri di testo, tranne i documentari.")</f>
        <v>Mi piacciono i libri di testo, tranne i documentari.</v>
      </c>
    </row>
    <row r="3934">
      <c r="A3934" s="4">
        <v>3932.0</v>
      </c>
      <c r="B3934" s="5" t="s">
        <v>11803</v>
      </c>
      <c r="C3934" s="4">
        <v>0.0</v>
      </c>
      <c r="D3934" s="5" t="s">
        <v>11804</v>
      </c>
      <c r="E3934" s="5" t="s">
        <v>11805</v>
      </c>
      <c r="F3934" s="6" t="str">
        <f>IFERROR(__xludf.DUMMYFUNCTION("GOOGLETRANSLATE(D3934,""en"",""it"")"),"Mi piacciono i documentari, tranne i corvolti da tavolo.")</f>
        <v>Mi piacciono i documentari, tranne i corvolti da tavolo.</v>
      </c>
      <c r="G3934" s="6" t="str">
        <f>IFERROR(__xludf.DUMMYFUNCTION("GOOGLETRANSLATE(E3934,""fr"",""it"")"),"Mi piacciono i documentari, tranne i giochi da tavolo.")</f>
        <v>Mi piacciono i documentari, tranne i giochi da tavolo.</v>
      </c>
    </row>
    <row r="3935">
      <c r="A3935" s="4">
        <v>3933.0</v>
      </c>
      <c r="B3935" s="5" t="s">
        <v>11806</v>
      </c>
      <c r="C3935" s="4">
        <v>0.0</v>
      </c>
      <c r="D3935" s="5" t="s">
        <v>11807</v>
      </c>
      <c r="E3935" s="5" t="s">
        <v>11808</v>
      </c>
      <c r="F3935" s="6" t="str">
        <f>IFERROR(__xludf.DUMMYFUNCTION("GOOGLETRANSLATE(D3935,""en"",""it"")"),"Mi piacciono i boardgames, tranne i documentari.")</f>
        <v>Mi piacciono i boardgames, tranne i documentari.</v>
      </c>
      <c r="G3935" s="6" t="str">
        <f>IFERROR(__xludf.DUMMYFUNCTION("GOOGLETRANSLATE(E3935,""fr"",""it"")"),"Mi piacciono i giochi da tavolo tranne i documentari.")</f>
        <v>Mi piacciono i giochi da tavolo tranne i documentari.</v>
      </c>
    </row>
    <row r="3936">
      <c r="A3936" s="4">
        <v>3934.0</v>
      </c>
      <c r="B3936" s="5" t="s">
        <v>11809</v>
      </c>
      <c r="C3936" s="4">
        <v>0.0</v>
      </c>
      <c r="D3936" s="5" t="s">
        <v>11810</v>
      </c>
      <c r="E3936" s="5" t="s">
        <v>11811</v>
      </c>
      <c r="F3936" s="6" t="str">
        <f>IFERROR(__xludf.DUMMYFUNCTION("GOOGLETRANSLATE(D3936,""en"",""it"")"),"Mi piacciono i documentari, tranne i videogiochi.")</f>
        <v>Mi piacciono i documentari, tranne i videogiochi.</v>
      </c>
      <c r="G3936" s="6" t="str">
        <f>IFERROR(__xludf.DUMMYFUNCTION("GOOGLETRANSLATE(E3936,""fr"",""it"")"),"Mi piacciono i documentari, tranne i videogiochi.")</f>
        <v>Mi piacciono i documentari, tranne i videogiochi.</v>
      </c>
    </row>
    <row r="3937">
      <c r="A3937" s="4">
        <v>3935.0</v>
      </c>
      <c r="B3937" s="5" t="s">
        <v>11812</v>
      </c>
      <c r="C3937" s="4">
        <v>0.0</v>
      </c>
      <c r="D3937" s="5" t="s">
        <v>11813</v>
      </c>
      <c r="E3937" s="5" t="s">
        <v>11814</v>
      </c>
      <c r="F3937" s="6" t="str">
        <f>IFERROR(__xludf.DUMMYFUNCTION("GOOGLETRANSLATE(D3937,""en"",""it"")"),"Mi piacciono i videogiochi, tranne i documentari.")</f>
        <v>Mi piacciono i videogiochi, tranne i documentari.</v>
      </c>
      <c r="G3937" s="6" t="str">
        <f>IFERROR(__xludf.DUMMYFUNCTION("GOOGLETRANSLATE(E3937,""fr"",""it"")"),"Mi piacciono i videogiochi tranne i documentari.")</f>
        <v>Mi piacciono i videogiochi tranne i documentari.</v>
      </c>
    </row>
    <row r="3938">
      <c r="A3938" s="4">
        <v>3936.0</v>
      </c>
      <c r="B3938" s="5" t="s">
        <v>11815</v>
      </c>
      <c r="C3938" s="4">
        <v>1.0</v>
      </c>
      <c r="D3938" s="5" t="s">
        <v>11816</v>
      </c>
      <c r="E3938" s="5" t="s">
        <v>11817</v>
      </c>
      <c r="F3938" s="6" t="str">
        <f>IFERROR(__xludf.DUMMYFUNCTION("GOOGLETRANSLATE(D3938,""en"",""it"")"),"Mi piace il rock più degli sport.")</f>
        <v>Mi piace il rock più degli sport.</v>
      </c>
      <c r="G3938" s="6" t="str">
        <f>IFERROR(__xludf.DUMMYFUNCTION("GOOGLETRANSLATE(E3938,""fr"",""it"")"),"Apprezzo la roccia più degli sport.")</f>
        <v>Apprezzo la roccia più degli sport.</v>
      </c>
    </row>
    <row r="3939">
      <c r="A3939" s="4">
        <v>3937.0</v>
      </c>
      <c r="B3939" s="5" t="s">
        <v>11818</v>
      </c>
      <c r="C3939" s="4">
        <v>1.0</v>
      </c>
      <c r="D3939" s="5" t="s">
        <v>11819</v>
      </c>
      <c r="E3939" s="5" t="s">
        <v>11820</v>
      </c>
      <c r="F3939" s="6" t="str">
        <f>IFERROR(__xludf.DUMMYFUNCTION("GOOGLETRANSLATE(D3939,""en"",""it"")"),"Mi piacciono gli sport più che rock.")</f>
        <v>Mi piacciono gli sport più che rock.</v>
      </c>
      <c r="G3939" s="6" t="str">
        <f>IFERROR(__xludf.DUMMYFUNCTION("GOOGLETRANSLATE(E3939,""fr"",""it"")"),"Apprezzo lo sport più che rock.")</f>
        <v>Apprezzo lo sport più che rock.</v>
      </c>
    </row>
    <row r="3940">
      <c r="A3940" s="4">
        <v>3938.0</v>
      </c>
      <c r="B3940" s="5" t="s">
        <v>11821</v>
      </c>
      <c r="C3940" s="4">
        <v>0.0</v>
      </c>
      <c r="D3940" s="5" t="s">
        <v>11822</v>
      </c>
      <c r="E3940" s="5" t="s">
        <v>11823</v>
      </c>
      <c r="F3940" s="6" t="str">
        <f>IFERROR(__xludf.DUMMYFUNCTION("GOOGLETRANSLATE(D3940,""en"",""it"")"),"Mi piace la roccia più della musica.")</f>
        <v>Mi piace la roccia più della musica.</v>
      </c>
      <c r="G3940" s="6" t="str">
        <f>IFERROR(__xludf.DUMMYFUNCTION("GOOGLETRANSLATE(E3940,""fr"",""it"")"),"Apprezzo la roccia più della musica.")</f>
        <v>Apprezzo la roccia più della musica.</v>
      </c>
    </row>
    <row r="3941">
      <c r="A3941" s="4">
        <v>3939.0</v>
      </c>
      <c r="B3941" s="5" t="s">
        <v>11824</v>
      </c>
      <c r="C3941" s="4">
        <v>0.0</v>
      </c>
      <c r="D3941" s="5" t="s">
        <v>11825</v>
      </c>
      <c r="E3941" s="5" t="s">
        <v>11826</v>
      </c>
      <c r="F3941" s="6" t="str">
        <f>IFERROR(__xludf.DUMMYFUNCTION("GOOGLETRANSLATE(D3941,""en"",""it"")"),"Mi piace la musica più che rock.")</f>
        <v>Mi piace la musica più che rock.</v>
      </c>
      <c r="G3941" s="6" t="str">
        <f>IFERROR(__xludf.DUMMYFUNCTION("GOOGLETRANSLATE(E3941,""fr"",""it"")"),"Apprezzo la musica più che rock.")</f>
        <v>Apprezzo la musica più che rock.</v>
      </c>
    </row>
    <row r="3942">
      <c r="A3942" s="4">
        <v>3940.0</v>
      </c>
      <c r="B3942" s="5" t="s">
        <v>11827</v>
      </c>
      <c r="C3942" s="4">
        <v>1.0</v>
      </c>
      <c r="D3942" s="5" t="s">
        <v>11828</v>
      </c>
      <c r="E3942" s="5" t="s">
        <v>11829</v>
      </c>
      <c r="F3942" s="6" t="str">
        <f>IFERROR(__xludf.DUMMYFUNCTION("GOOGLETRANSLATE(D3942,""en"",""it"")"),"Mi piace la musica più che lo sport.")</f>
        <v>Mi piace la musica più che lo sport.</v>
      </c>
      <c r="G3942" s="6" t="str">
        <f>IFERROR(__xludf.DUMMYFUNCTION("GOOGLETRANSLATE(E3942,""fr"",""it"")"),"Apprezzo la musica più degli sport.")</f>
        <v>Apprezzo la musica più degli sport.</v>
      </c>
    </row>
    <row r="3943">
      <c r="A3943" s="4">
        <v>3941.0</v>
      </c>
      <c r="B3943" s="5" t="s">
        <v>11830</v>
      </c>
      <c r="C3943" s="4">
        <v>1.0</v>
      </c>
      <c r="D3943" s="5" t="s">
        <v>11831</v>
      </c>
      <c r="E3943" s="5" t="s">
        <v>11832</v>
      </c>
      <c r="F3943" s="6" t="str">
        <f>IFERROR(__xludf.DUMMYFUNCTION("GOOGLETRANSLATE(D3943,""en"",""it"")"),"Mi piace il rock più dei tavolini.")</f>
        <v>Mi piace il rock più dei tavolini.</v>
      </c>
      <c r="G3943" s="6" t="str">
        <f>IFERROR(__xludf.DUMMYFUNCTION("GOOGLETRANSLATE(E3943,""fr"",""it"")"),"Apprezzo il rock più dei giochi da tavolo.")</f>
        <v>Apprezzo il rock più dei giochi da tavolo.</v>
      </c>
    </row>
    <row r="3944">
      <c r="A3944" s="4">
        <v>3942.0</v>
      </c>
      <c r="B3944" s="5" t="s">
        <v>11833</v>
      </c>
      <c r="C3944" s="4">
        <v>1.0</v>
      </c>
      <c r="D3944" s="5" t="s">
        <v>11834</v>
      </c>
      <c r="E3944" s="5" t="s">
        <v>11835</v>
      </c>
      <c r="F3944" s="6" t="str">
        <f>IFERROR(__xludf.DUMMYFUNCTION("GOOGLETRANSLATE(D3944,""en"",""it"")"),"Mi piacciono i boardgames più che rock.")</f>
        <v>Mi piacciono i boardgames più che rock.</v>
      </c>
      <c r="G3944" s="6" t="str">
        <f>IFERROR(__xludf.DUMMYFUNCTION("GOOGLETRANSLATE(E3944,""fr"",""it"")"),"Apprezzo i giochi da tavolo più che rock.")</f>
        <v>Apprezzo i giochi da tavolo più che rock.</v>
      </c>
    </row>
    <row r="3945">
      <c r="A3945" s="4">
        <v>3943.0</v>
      </c>
      <c r="B3945" s="5" t="s">
        <v>11836</v>
      </c>
      <c r="C3945" s="4">
        <v>1.0</v>
      </c>
      <c r="D3945" s="5" t="s">
        <v>11837</v>
      </c>
      <c r="E3945" s="5" t="s">
        <v>11838</v>
      </c>
      <c r="F3945" s="6" t="str">
        <f>IFERROR(__xludf.DUMMYFUNCTION("GOOGLETRANSLATE(D3945,""en"",""it"")"),"Mi piace la musica più di Boardgames.")</f>
        <v>Mi piace la musica più di Boardgames.</v>
      </c>
      <c r="G3945" s="6" t="str">
        <f>IFERROR(__xludf.DUMMYFUNCTION("GOOGLETRANSLATE(E3945,""fr"",""it"")"),"Apprezzo la musica più dei giochi da tavolo.")</f>
        <v>Apprezzo la musica più dei giochi da tavolo.</v>
      </c>
    </row>
    <row r="3946">
      <c r="A3946" s="4">
        <v>3944.0</v>
      </c>
      <c r="B3946" s="5" t="s">
        <v>11839</v>
      </c>
      <c r="C3946" s="4">
        <v>1.0</v>
      </c>
      <c r="D3946" s="5" t="s">
        <v>11840</v>
      </c>
      <c r="E3946" s="5" t="s">
        <v>11841</v>
      </c>
      <c r="F3946" s="6" t="str">
        <f>IFERROR(__xludf.DUMMYFUNCTION("GOOGLETRANSLATE(D3946,""en"",""it"")"),"Mi piace la roccia più del cibo.")</f>
        <v>Mi piace la roccia più del cibo.</v>
      </c>
      <c r="G3946" s="6" t="str">
        <f>IFERROR(__xludf.DUMMYFUNCTION("GOOGLETRANSLATE(E3946,""fr"",""it"")"),"Apprezzo la roccia più del cibo.")</f>
        <v>Apprezzo la roccia più del cibo.</v>
      </c>
    </row>
    <row r="3947">
      <c r="A3947" s="4">
        <v>3945.0</v>
      </c>
      <c r="B3947" s="5" t="s">
        <v>11842</v>
      </c>
      <c r="C3947" s="4">
        <v>1.0</v>
      </c>
      <c r="D3947" s="5" t="s">
        <v>11843</v>
      </c>
      <c r="E3947" s="5" t="s">
        <v>11844</v>
      </c>
      <c r="F3947" s="6" t="str">
        <f>IFERROR(__xludf.DUMMYFUNCTION("GOOGLETRANSLATE(D3947,""en"",""it"")"),"Mi piace il cibo più che rock.")</f>
        <v>Mi piace il cibo più che rock.</v>
      </c>
      <c r="G3947" s="6" t="str">
        <f>IFERROR(__xludf.DUMMYFUNCTION("GOOGLETRANSLATE(E3947,""fr"",""it"")"),"Apprezzo il cibo più che rock.")</f>
        <v>Apprezzo il cibo più che rock.</v>
      </c>
    </row>
    <row r="3948">
      <c r="A3948" s="4">
        <v>3946.0</v>
      </c>
      <c r="B3948" s="5" t="s">
        <v>11845</v>
      </c>
      <c r="C3948" s="4">
        <v>1.0</v>
      </c>
      <c r="D3948" s="5" t="s">
        <v>11846</v>
      </c>
      <c r="E3948" s="5" t="s">
        <v>11847</v>
      </c>
      <c r="F3948" s="6" t="str">
        <f>IFERROR(__xludf.DUMMYFUNCTION("GOOGLETRANSLATE(D3948,""en"",""it"")"),"Mi piace la musica più del cibo.")</f>
        <v>Mi piace la musica più del cibo.</v>
      </c>
      <c r="G3948" s="6" t="str">
        <f>IFERROR(__xludf.DUMMYFUNCTION("GOOGLETRANSLATE(E3948,""fr"",""it"")"),"Apprezzo la musica più del cibo.")</f>
        <v>Apprezzo la musica più del cibo.</v>
      </c>
    </row>
    <row r="3949">
      <c r="A3949" s="4">
        <v>3947.0</v>
      </c>
      <c r="B3949" s="5" t="s">
        <v>11848</v>
      </c>
      <c r="C3949" s="4">
        <v>1.0</v>
      </c>
      <c r="D3949" s="5" t="s">
        <v>11849</v>
      </c>
      <c r="E3949" s="5" t="s">
        <v>11850</v>
      </c>
      <c r="F3949" s="6" t="str">
        <f>IFERROR(__xludf.DUMMYFUNCTION("GOOGLETRANSLATE(D3949,""en"",""it"")"),"Mi piace la roccia più dei gioielli.")</f>
        <v>Mi piace la roccia più dei gioielli.</v>
      </c>
      <c r="G3949" s="6" t="str">
        <f>IFERROR(__xludf.DUMMYFUNCTION("GOOGLETRANSLATE(E3949,""fr"",""it"")"),"Apprezzo la roccia più dei gioielli.")</f>
        <v>Apprezzo la roccia più dei gioielli.</v>
      </c>
    </row>
    <row r="3950">
      <c r="A3950" s="4">
        <v>3948.0</v>
      </c>
      <c r="B3950" s="5" t="s">
        <v>11851</v>
      </c>
      <c r="C3950" s="4">
        <v>1.0</v>
      </c>
      <c r="D3950" s="5" t="s">
        <v>11852</v>
      </c>
      <c r="E3950" s="5" t="s">
        <v>11853</v>
      </c>
      <c r="F3950" s="6" t="str">
        <f>IFERROR(__xludf.DUMMYFUNCTION("GOOGLETRANSLATE(D3950,""en"",""it"")"),"Mi piacciono i gioielli più che rock.")</f>
        <v>Mi piacciono i gioielli più che rock.</v>
      </c>
      <c r="G3950" s="6" t="str">
        <f>IFERROR(__xludf.DUMMYFUNCTION("GOOGLETRANSLATE(E3950,""fr"",""it"")"),"Apprezzo i gioielli più che rock.")</f>
        <v>Apprezzo i gioielli più che rock.</v>
      </c>
    </row>
    <row r="3951">
      <c r="A3951" s="4">
        <v>3949.0</v>
      </c>
      <c r="B3951" s="5" t="s">
        <v>11854</v>
      </c>
      <c r="C3951" s="4">
        <v>1.0</v>
      </c>
      <c r="D3951" s="5" t="s">
        <v>11855</v>
      </c>
      <c r="E3951" s="5" t="s">
        <v>11856</v>
      </c>
      <c r="F3951" s="6" t="str">
        <f>IFERROR(__xludf.DUMMYFUNCTION("GOOGLETRANSLATE(D3951,""en"",""it"")"),"Mi piace la musica più dei gioielli.")</f>
        <v>Mi piace la musica più dei gioielli.</v>
      </c>
      <c r="G3951" s="6" t="str">
        <f>IFERROR(__xludf.DUMMYFUNCTION("GOOGLETRANSLATE(E3951,""fr"",""it"")"),"Apprezzo la musica più dei gioielli.")</f>
        <v>Apprezzo la musica più dei gioielli.</v>
      </c>
    </row>
    <row r="3952">
      <c r="A3952" s="4">
        <v>3950.0</v>
      </c>
      <c r="B3952" s="5" t="s">
        <v>11857</v>
      </c>
      <c r="C3952" s="4">
        <v>1.0</v>
      </c>
      <c r="D3952" s="5" t="s">
        <v>11858</v>
      </c>
      <c r="E3952" s="5" t="s">
        <v>11859</v>
      </c>
      <c r="F3952" s="6" t="str">
        <f>IFERROR(__xludf.DUMMYFUNCTION("GOOGLETRANSLATE(D3952,""en"",""it"")"),"Mi piace il jazz più degli sport.")</f>
        <v>Mi piace il jazz più degli sport.</v>
      </c>
      <c r="G3952" s="6" t="str">
        <f>IFERROR(__xludf.DUMMYFUNCTION("GOOGLETRANSLATE(E3952,""fr"",""it"")"),"Apprezzo il jazz più degli sport.")</f>
        <v>Apprezzo il jazz più degli sport.</v>
      </c>
    </row>
    <row r="3953">
      <c r="A3953" s="4">
        <v>3951.0</v>
      </c>
      <c r="B3953" s="5" t="s">
        <v>11860</v>
      </c>
      <c r="C3953" s="4">
        <v>1.0</v>
      </c>
      <c r="D3953" s="5" t="s">
        <v>11861</v>
      </c>
      <c r="E3953" s="5" t="s">
        <v>11862</v>
      </c>
      <c r="F3953" s="6" t="str">
        <f>IFERROR(__xludf.DUMMYFUNCTION("GOOGLETRANSLATE(D3953,""en"",""it"")"),"Mi piacciono gli sport più del jazz.")</f>
        <v>Mi piacciono gli sport più del jazz.</v>
      </c>
      <c r="G3953" s="6" t="str">
        <f>IFERROR(__xludf.DUMMYFUNCTION("GOOGLETRANSLATE(E3953,""fr"",""it"")"),"Apprezzo gli sport più del jazz.")</f>
        <v>Apprezzo gli sport più del jazz.</v>
      </c>
    </row>
    <row r="3954">
      <c r="A3954" s="4">
        <v>3952.0</v>
      </c>
      <c r="B3954" s="5" t="s">
        <v>11863</v>
      </c>
      <c r="C3954" s="4">
        <v>0.0</v>
      </c>
      <c r="D3954" s="5" t="s">
        <v>11864</v>
      </c>
      <c r="E3954" s="5" t="s">
        <v>11865</v>
      </c>
      <c r="F3954" s="6" t="str">
        <f>IFERROR(__xludf.DUMMYFUNCTION("GOOGLETRANSLATE(D3954,""en"",""it"")"),"Mi piace il jazz più della musica.")</f>
        <v>Mi piace il jazz più della musica.</v>
      </c>
      <c r="G3954" s="6" t="str">
        <f>IFERROR(__xludf.DUMMYFUNCTION("GOOGLETRANSLATE(E3954,""fr"",""it"")"),"Apprezzo il jazz più della musica.")</f>
        <v>Apprezzo il jazz più della musica.</v>
      </c>
    </row>
    <row r="3955">
      <c r="A3955" s="4">
        <v>3953.0</v>
      </c>
      <c r="B3955" s="5" t="s">
        <v>11866</v>
      </c>
      <c r="C3955" s="4">
        <v>0.0</v>
      </c>
      <c r="D3955" s="5" t="s">
        <v>11867</v>
      </c>
      <c r="E3955" s="5" t="s">
        <v>11868</v>
      </c>
      <c r="F3955" s="6" t="str">
        <f>IFERROR(__xludf.DUMMYFUNCTION("GOOGLETRANSLATE(D3955,""en"",""it"")"),"Mi piace la musica più del jazz.")</f>
        <v>Mi piace la musica più del jazz.</v>
      </c>
      <c r="G3955" s="6" t="str">
        <f>IFERROR(__xludf.DUMMYFUNCTION("GOOGLETRANSLATE(E3955,""fr"",""it"")"),"Apprezzo la musica più del jazz.")</f>
        <v>Apprezzo la musica più del jazz.</v>
      </c>
    </row>
    <row r="3956">
      <c r="A3956" s="4">
        <v>3954.0</v>
      </c>
      <c r="B3956" s="5" t="s">
        <v>11869</v>
      </c>
      <c r="C3956" s="4">
        <v>1.0</v>
      </c>
      <c r="D3956" s="5" t="s">
        <v>11870</v>
      </c>
      <c r="E3956" s="5" t="s">
        <v>11871</v>
      </c>
      <c r="F3956" s="6" t="str">
        <f>IFERROR(__xludf.DUMMYFUNCTION("GOOGLETRANSLATE(D3956,""en"",""it"")"),"Mi piace il jazz più dei tavolini.")</f>
        <v>Mi piace il jazz più dei tavolini.</v>
      </c>
      <c r="G3956" s="6" t="str">
        <f>IFERROR(__xludf.DUMMYFUNCTION("GOOGLETRANSLATE(E3956,""fr"",""it"")"),"Apprezzo il jazz più dei giochi da tavolo.")</f>
        <v>Apprezzo il jazz più dei giochi da tavolo.</v>
      </c>
    </row>
    <row r="3957">
      <c r="A3957" s="4">
        <v>3955.0</v>
      </c>
      <c r="B3957" s="5" t="s">
        <v>11872</v>
      </c>
      <c r="C3957" s="4">
        <v>1.0</v>
      </c>
      <c r="D3957" s="5" t="s">
        <v>11873</v>
      </c>
      <c r="E3957" s="5" t="s">
        <v>11874</v>
      </c>
      <c r="F3957" s="6" t="str">
        <f>IFERROR(__xludf.DUMMYFUNCTION("GOOGLETRANSLATE(D3957,""en"",""it"")"),"Mi piacciono i boardgames più del jazz.")</f>
        <v>Mi piacciono i boardgames più del jazz.</v>
      </c>
      <c r="G3957" s="6" t="str">
        <f>IFERROR(__xludf.DUMMYFUNCTION("GOOGLETRANSLATE(E3957,""fr"",""it"")"),"Apprezzo i giochi da tavolo più del jazz.")</f>
        <v>Apprezzo i giochi da tavolo più del jazz.</v>
      </c>
    </row>
    <row r="3958">
      <c r="A3958" s="4">
        <v>3956.0</v>
      </c>
      <c r="B3958" s="5" t="s">
        <v>11875</v>
      </c>
      <c r="C3958" s="4">
        <v>1.0</v>
      </c>
      <c r="D3958" s="5" t="s">
        <v>11876</v>
      </c>
      <c r="E3958" s="5" t="s">
        <v>11877</v>
      </c>
      <c r="F3958" s="6" t="str">
        <f>IFERROR(__xludf.DUMMYFUNCTION("GOOGLETRANSLATE(D3958,""en"",""it"")"),"Mi piace il jazz più del cibo.")</f>
        <v>Mi piace il jazz più del cibo.</v>
      </c>
      <c r="G3958" s="6" t="str">
        <f>IFERROR(__xludf.DUMMYFUNCTION("GOOGLETRANSLATE(E3958,""fr"",""it"")"),"Apprezzo il jazz più del cibo.")</f>
        <v>Apprezzo il jazz più del cibo.</v>
      </c>
    </row>
    <row r="3959">
      <c r="A3959" s="4">
        <v>3957.0</v>
      </c>
      <c r="B3959" s="5" t="s">
        <v>11878</v>
      </c>
      <c r="C3959" s="4">
        <v>1.0</v>
      </c>
      <c r="D3959" s="5" t="s">
        <v>11879</v>
      </c>
      <c r="E3959" s="5" t="s">
        <v>11880</v>
      </c>
      <c r="F3959" s="6" t="str">
        <f>IFERROR(__xludf.DUMMYFUNCTION("GOOGLETRANSLATE(D3959,""en"",""it"")"),"Mi piace il cibo più del jazz.")</f>
        <v>Mi piace il cibo più del jazz.</v>
      </c>
      <c r="G3959" s="6" t="str">
        <f>IFERROR(__xludf.DUMMYFUNCTION("GOOGLETRANSLATE(E3959,""fr"",""it"")"),"Apprezzo il cibo più del jazz.")</f>
        <v>Apprezzo il cibo più del jazz.</v>
      </c>
    </row>
    <row r="3960">
      <c r="A3960" s="4">
        <v>3958.0</v>
      </c>
      <c r="B3960" s="5" t="s">
        <v>11881</v>
      </c>
      <c r="C3960" s="4">
        <v>1.0</v>
      </c>
      <c r="D3960" s="5" t="s">
        <v>11882</v>
      </c>
      <c r="E3960" s="5" t="s">
        <v>11883</v>
      </c>
      <c r="F3960" s="6" t="str">
        <f>IFERROR(__xludf.DUMMYFUNCTION("GOOGLETRANSLATE(D3960,""en"",""it"")"),"Mi piace il jazz più dei gioielli.")</f>
        <v>Mi piace il jazz più dei gioielli.</v>
      </c>
      <c r="G3960" s="6" t="str">
        <f>IFERROR(__xludf.DUMMYFUNCTION("GOOGLETRANSLATE(E3960,""fr"",""it"")"),"Apprezzo il jazz più dei gioielli.")</f>
        <v>Apprezzo il jazz più dei gioielli.</v>
      </c>
    </row>
    <row r="3961">
      <c r="A3961" s="4">
        <v>3959.0</v>
      </c>
      <c r="B3961" s="5" t="s">
        <v>11884</v>
      </c>
      <c r="C3961" s="4">
        <v>1.0</v>
      </c>
      <c r="D3961" s="5" t="s">
        <v>11885</v>
      </c>
      <c r="E3961" s="5" t="s">
        <v>11886</v>
      </c>
      <c r="F3961" s="6" t="str">
        <f>IFERROR(__xludf.DUMMYFUNCTION("GOOGLETRANSLATE(D3961,""en"",""it"")"),"Mi piacciono i gioielli più del jazz.")</f>
        <v>Mi piacciono i gioielli più del jazz.</v>
      </c>
      <c r="G3961" s="6" t="str">
        <f>IFERROR(__xludf.DUMMYFUNCTION("GOOGLETRANSLATE(E3961,""fr"",""it"")"),"Apprezzo i gioielli più del jazz.")</f>
        <v>Apprezzo i gioielli più del jazz.</v>
      </c>
    </row>
    <row r="3962">
      <c r="A3962" s="4">
        <v>3960.0</v>
      </c>
      <c r="B3962" s="5" t="s">
        <v>11887</v>
      </c>
      <c r="C3962" s="4">
        <v>1.0</v>
      </c>
      <c r="D3962" s="5" t="s">
        <v>11888</v>
      </c>
      <c r="E3962" s="5" t="s">
        <v>11889</v>
      </c>
      <c r="F3962" s="6" t="str">
        <f>IFERROR(__xludf.DUMMYFUNCTION("GOOGLETRANSLATE(D3962,""en"",""it"")"),"Mi piace Techno più che lo sport.")</f>
        <v>Mi piace Techno più che lo sport.</v>
      </c>
      <c r="G3962" s="6" t="str">
        <f>IFERROR(__xludf.DUMMYFUNCTION("GOOGLETRANSLATE(E3962,""fr"",""it"")"),"Apprezzo il techno più che lo sport.")</f>
        <v>Apprezzo il techno più che lo sport.</v>
      </c>
    </row>
    <row r="3963">
      <c r="A3963" s="4">
        <v>3961.0</v>
      </c>
      <c r="B3963" s="5" t="s">
        <v>11890</v>
      </c>
      <c r="C3963" s="4">
        <v>1.0</v>
      </c>
      <c r="D3963" s="5" t="s">
        <v>11891</v>
      </c>
      <c r="E3963" s="5" t="s">
        <v>11892</v>
      </c>
      <c r="F3963" s="6" t="str">
        <f>IFERROR(__xludf.DUMMYFUNCTION("GOOGLETRANSLATE(D3963,""en"",""it"")"),"Mi piacciono gli sport più di Techno.")</f>
        <v>Mi piacciono gli sport più di Techno.</v>
      </c>
      <c r="G3963" s="6" t="str">
        <f>IFERROR(__xludf.DUMMYFUNCTION("GOOGLETRANSLATE(E3963,""fr"",""it"")"),"Apprezzo lo sport più di Techno.")</f>
        <v>Apprezzo lo sport più di Techno.</v>
      </c>
    </row>
    <row r="3964">
      <c r="A3964" s="4">
        <v>3962.0</v>
      </c>
      <c r="B3964" s="5" t="s">
        <v>11893</v>
      </c>
      <c r="C3964" s="4">
        <v>0.0</v>
      </c>
      <c r="D3964" s="5" t="s">
        <v>11894</v>
      </c>
      <c r="E3964" s="5" t="s">
        <v>11895</v>
      </c>
      <c r="F3964" s="6" t="str">
        <f>IFERROR(__xludf.DUMMYFUNCTION("GOOGLETRANSLATE(D3964,""en"",""it"")"),"Mi piace Techno più della musica.")</f>
        <v>Mi piace Techno più della musica.</v>
      </c>
      <c r="G3964" s="6" t="str">
        <f>IFERROR(__xludf.DUMMYFUNCTION("GOOGLETRANSLATE(E3964,""fr"",""it"")"),"Apprezzo la tecnologia più della musica.")</f>
        <v>Apprezzo la tecnologia più della musica.</v>
      </c>
    </row>
    <row r="3965">
      <c r="A3965" s="4">
        <v>3963.0</v>
      </c>
      <c r="B3965" s="5" t="s">
        <v>11896</v>
      </c>
      <c r="C3965" s="4">
        <v>0.0</v>
      </c>
      <c r="D3965" s="5" t="s">
        <v>11897</v>
      </c>
      <c r="E3965" s="5" t="s">
        <v>11898</v>
      </c>
      <c r="F3965" s="6" t="str">
        <f>IFERROR(__xludf.DUMMYFUNCTION("GOOGLETRANSLATE(D3965,""en"",""it"")"),"Mi piace la musica più di Techno.")</f>
        <v>Mi piace la musica più di Techno.</v>
      </c>
      <c r="G3965" s="6" t="str">
        <f>IFERROR(__xludf.DUMMYFUNCTION("GOOGLETRANSLATE(E3965,""fr"",""it"")"),"Apprezzo la musica più di Techno.")</f>
        <v>Apprezzo la musica più di Techno.</v>
      </c>
    </row>
    <row r="3966">
      <c r="A3966" s="4">
        <v>3964.0</v>
      </c>
      <c r="B3966" s="5" t="s">
        <v>11899</v>
      </c>
      <c r="C3966" s="4">
        <v>1.0</v>
      </c>
      <c r="D3966" s="5" t="s">
        <v>11900</v>
      </c>
      <c r="E3966" s="5" t="s">
        <v>11901</v>
      </c>
      <c r="F3966" s="6" t="str">
        <f>IFERROR(__xludf.DUMMYFUNCTION("GOOGLETRANSLATE(D3966,""en"",""it"")"),"Mi piace Techno Più che Boardgames.")</f>
        <v>Mi piace Techno Più che Boardgames.</v>
      </c>
      <c r="G3966" s="6" t="str">
        <f>IFERROR(__xludf.DUMMYFUNCTION("GOOGLETRANSLATE(E3966,""fr"",""it"")"),"Apprezzo il techno più dei giochi da tavolo.")</f>
        <v>Apprezzo il techno più dei giochi da tavolo.</v>
      </c>
    </row>
    <row r="3967">
      <c r="A3967" s="4">
        <v>3965.0</v>
      </c>
      <c r="B3967" s="5" t="s">
        <v>11902</v>
      </c>
      <c r="C3967" s="4">
        <v>1.0</v>
      </c>
      <c r="D3967" s="5" t="s">
        <v>11903</v>
      </c>
      <c r="E3967" s="5" t="s">
        <v>11904</v>
      </c>
      <c r="F3967" s="6" t="str">
        <f>IFERROR(__xludf.DUMMYFUNCTION("GOOGLETRANSLATE(D3967,""en"",""it"")"),"Mi piacciono i boardgames più di techno.")</f>
        <v>Mi piacciono i boardgames più di techno.</v>
      </c>
      <c r="G3967" s="6" t="str">
        <f>IFERROR(__xludf.DUMMYFUNCTION("GOOGLETRANSLATE(E3967,""fr"",""it"")"),"Apprezzo i giochi della società più del techno.")</f>
        <v>Apprezzo i giochi della società più del techno.</v>
      </c>
    </row>
    <row r="3968">
      <c r="A3968" s="4">
        <v>3966.0</v>
      </c>
      <c r="B3968" s="5" t="s">
        <v>11905</v>
      </c>
      <c r="C3968" s="4">
        <v>1.0</v>
      </c>
      <c r="D3968" s="5" t="s">
        <v>11906</v>
      </c>
      <c r="E3968" s="5" t="s">
        <v>11907</v>
      </c>
      <c r="F3968" s="6" t="str">
        <f>IFERROR(__xludf.DUMMYFUNCTION("GOOGLETRANSLATE(D3968,""en"",""it"")"),"Mi piace Techno più del cibo.")</f>
        <v>Mi piace Techno più del cibo.</v>
      </c>
      <c r="G3968" s="6" t="str">
        <f>IFERROR(__xludf.DUMMYFUNCTION("GOOGLETRANSLATE(E3968,""fr"",""it"")"),"Apprezzo il techno più del cibo.")</f>
        <v>Apprezzo il techno più del cibo.</v>
      </c>
    </row>
    <row r="3969">
      <c r="A3969" s="4">
        <v>3967.0</v>
      </c>
      <c r="B3969" s="5" t="s">
        <v>11908</v>
      </c>
      <c r="C3969" s="4">
        <v>1.0</v>
      </c>
      <c r="D3969" s="5" t="s">
        <v>11909</v>
      </c>
      <c r="E3969" s="5" t="s">
        <v>11910</v>
      </c>
      <c r="F3969" s="6" t="str">
        <f>IFERROR(__xludf.DUMMYFUNCTION("GOOGLETRANSLATE(D3969,""en"",""it"")"),"Mi piace il cibo più di techno.")</f>
        <v>Mi piace il cibo più di techno.</v>
      </c>
      <c r="G3969" s="6" t="str">
        <f>IFERROR(__xludf.DUMMYFUNCTION("GOOGLETRANSLATE(E3969,""fr"",""it"")"),"Apprezzo il cibo più di Techno.")</f>
        <v>Apprezzo il cibo più di Techno.</v>
      </c>
    </row>
    <row r="3970">
      <c r="A3970" s="4">
        <v>3968.0</v>
      </c>
      <c r="B3970" s="5" t="s">
        <v>11911</v>
      </c>
      <c r="C3970" s="4">
        <v>1.0</v>
      </c>
      <c r="D3970" s="5" t="s">
        <v>11912</v>
      </c>
      <c r="E3970" s="5" t="s">
        <v>11913</v>
      </c>
      <c r="F3970" s="6" t="str">
        <f>IFERROR(__xludf.DUMMYFUNCTION("GOOGLETRANSLATE(D3970,""en"",""it"")"),"Mi piace Techno più dei gioielli.")</f>
        <v>Mi piace Techno più dei gioielli.</v>
      </c>
      <c r="G3970" s="6" t="str">
        <f>IFERROR(__xludf.DUMMYFUNCTION("GOOGLETRANSLATE(E3970,""fr"",""it"")"),"Apprezzo il tecno più dei gioielli.")</f>
        <v>Apprezzo il tecno più dei gioielli.</v>
      </c>
    </row>
    <row r="3971">
      <c r="A3971" s="4">
        <v>3969.0</v>
      </c>
      <c r="B3971" s="5" t="s">
        <v>11914</v>
      </c>
      <c r="C3971" s="4">
        <v>1.0</v>
      </c>
      <c r="D3971" s="5" t="s">
        <v>11915</v>
      </c>
      <c r="E3971" s="5" t="s">
        <v>11916</v>
      </c>
      <c r="F3971" s="6" t="str">
        <f>IFERROR(__xludf.DUMMYFUNCTION("GOOGLETRANSLATE(D3971,""en"",""it"")"),"Mi piacciono i gioielli più di techno.")</f>
        <v>Mi piacciono i gioielli più di techno.</v>
      </c>
      <c r="G3971" s="6" t="str">
        <f>IFERROR(__xludf.DUMMYFUNCTION("GOOGLETRANSLATE(E3971,""fr"",""it"")"),"Apprezzo i gioielli più del Techno.")</f>
        <v>Apprezzo i gioielli più del Techno.</v>
      </c>
    </row>
    <row r="3972">
      <c r="A3972" s="4">
        <v>3970.0</v>
      </c>
      <c r="B3972" s="5" t="s">
        <v>11917</v>
      </c>
      <c r="C3972" s="4">
        <v>0.0</v>
      </c>
      <c r="D3972" s="5" t="s">
        <v>11918</v>
      </c>
      <c r="E3972" s="5" t="s">
        <v>11919</v>
      </c>
      <c r="F3972" s="6" t="str">
        <f>IFERROR(__xludf.DUMMYFUNCTION("GOOGLETRANSLATE(D3972,""en"",""it"")"),"Mi piacciono i braccialetti, tranne le borse.")</f>
        <v>Mi piacciono i braccialetti, tranne le borse.</v>
      </c>
      <c r="G3972" s="6" t="str">
        <f>IFERROR(__xludf.DUMMYFUNCTION("GOOGLETRANSLATE(E3972,""fr"",""it"")"),"Mi piacciono i braccialetti tranne le borse.")</f>
        <v>Mi piacciono i braccialetti tranne le borse.</v>
      </c>
    </row>
    <row r="3973">
      <c r="A3973" s="4">
        <v>3971.0</v>
      </c>
      <c r="B3973" s="5" t="s">
        <v>11920</v>
      </c>
      <c r="C3973" s="4">
        <v>1.0</v>
      </c>
      <c r="D3973" s="5" t="s">
        <v>11921</v>
      </c>
      <c r="E3973" s="5" t="s">
        <v>11922</v>
      </c>
      <c r="F3973" s="6" t="str">
        <f>IFERROR(__xludf.DUMMYFUNCTION("GOOGLETRANSLATE(D3973,""en"",""it"")"),"Mi piacciono i blues più che gli sport.")</f>
        <v>Mi piacciono i blues più che gli sport.</v>
      </c>
      <c r="G3973" s="6" t="str">
        <f>IFERROR(__xludf.DUMMYFUNCTION("GOOGLETRANSLATE(E3973,""fr"",""it"")"),"Apprezzo il blues più che lo sport.")</f>
        <v>Apprezzo il blues più che lo sport.</v>
      </c>
    </row>
    <row r="3974">
      <c r="A3974" s="4">
        <v>3972.0</v>
      </c>
      <c r="B3974" s="5" t="s">
        <v>11923</v>
      </c>
      <c r="C3974" s="4">
        <v>1.0</v>
      </c>
      <c r="D3974" s="5" t="s">
        <v>11924</v>
      </c>
      <c r="E3974" s="5" t="s">
        <v>11925</v>
      </c>
      <c r="F3974" s="6" t="str">
        <f>IFERROR(__xludf.DUMMYFUNCTION("GOOGLETRANSLATE(D3974,""en"",""it"")"),"Mi piacciono gli sport più che blues.")</f>
        <v>Mi piacciono gli sport più che blues.</v>
      </c>
      <c r="G3974" s="6" t="str">
        <f>IFERROR(__xludf.DUMMYFUNCTION("GOOGLETRANSLATE(E3974,""fr"",""it"")"),"Apprezzo gli sport più che Blues.")</f>
        <v>Apprezzo gli sport più che Blues.</v>
      </c>
    </row>
    <row r="3975">
      <c r="A3975" s="4">
        <v>3973.0</v>
      </c>
      <c r="B3975" s="5" t="s">
        <v>11926</v>
      </c>
      <c r="C3975" s="4">
        <v>0.0</v>
      </c>
      <c r="D3975" s="5" t="s">
        <v>11927</v>
      </c>
      <c r="E3975" s="5" t="s">
        <v>11928</v>
      </c>
      <c r="F3975" s="6" t="str">
        <f>IFERROR(__xludf.DUMMYFUNCTION("GOOGLETRANSLATE(D3975,""en"",""it"")"),"Mi piace il blues più della musica.")</f>
        <v>Mi piace il blues più della musica.</v>
      </c>
      <c r="G3975" s="6" t="str">
        <f>IFERROR(__xludf.DUMMYFUNCTION("GOOGLETRANSLATE(E3975,""fr"",""it"")"),"Apprezzo il blues più della musica.")</f>
        <v>Apprezzo il blues più della musica.</v>
      </c>
    </row>
    <row r="3976">
      <c r="A3976" s="4">
        <v>3974.0</v>
      </c>
      <c r="B3976" s="5" t="s">
        <v>11929</v>
      </c>
      <c r="C3976" s="4">
        <v>0.0</v>
      </c>
      <c r="D3976" s="5" t="s">
        <v>11930</v>
      </c>
      <c r="E3976" s="5" t="s">
        <v>11931</v>
      </c>
      <c r="F3976" s="6" t="str">
        <f>IFERROR(__xludf.DUMMYFUNCTION("GOOGLETRANSLATE(D3976,""en"",""it"")"),"Mi piace la musica più che Blues.")</f>
        <v>Mi piace la musica più che Blues.</v>
      </c>
      <c r="G3976" s="6" t="str">
        <f>IFERROR(__xludf.DUMMYFUNCTION("GOOGLETRANSLATE(E3976,""fr"",""it"")"),"Apprezzo la musica più che Blues.")</f>
        <v>Apprezzo la musica più che Blues.</v>
      </c>
    </row>
    <row r="3977">
      <c r="A3977" s="4">
        <v>3975.0</v>
      </c>
      <c r="B3977" s="5" t="s">
        <v>11932</v>
      </c>
      <c r="C3977" s="4">
        <v>1.0</v>
      </c>
      <c r="D3977" s="5" t="s">
        <v>11933</v>
      </c>
      <c r="E3977" s="5" t="s">
        <v>11934</v>
      </c>
      <c r="F3977" s="6" t="str">
        <f>IFERROR(__xludf.DUMMYFUNCTION("GOOGLETRANSLATE(D3977,""en"",""it"")"),"Mi piacciono gli blues più dei tavolini.")</f>
        <v>Mi piacciono gli blues più dei tavolini.</v>
      </c>
      <c r="G3977" s="6" t="str">
        <f>IFERROR(__xludf.DUMMYFUNCTION("GOOGLETRANSLATE(E3977,""fr"",""it"")"),"Apprezzo il blues più dei giochi da tavolo.")</f>
        <v>Apprezzo il blues più dei giochi da tavolo.</v>
      </c>
    </row>
    <row r="3978">
      <c r="A3978" s="4">
        <v>3976.0</v>
      </c>
      <c r="B3978" s="5" t="s">
        <v>11935</v>
      </c>
      <c r="C3978" s="4">
        <v>1.0</v>
      </c>
      <c r="D3978" s="5" t="s">
        <v>11936</v>
      </c>
      <c r="E3978" s="5" t="s">
        <v>11937</v>
      </c>
      <c r="F3978" s="6" t="str">
        <f>IFERROR(__xludf.DUMMYFUNCTION("GOOGLETRANSLATE(D3978,""en"",""it"")"),"Mi piacciono i boardgames più che Blues.")</f>
        <v>Mi piacciono i boardgames più che Blues.</v>
      </c>
      <c r="G3978" s="6" t="str">
        <f>IFERROR(__xludf.DUMMYFUNCTION("GOOGLETRANSLATE(E3978,""fr"",""it"")"),"Apprezzo i giochi della società più del blues.")</f>
        <v>Apprezzo i giochi della società più del blues.</v>
      </c>
    </row>
    <row r="3979">
      <c r="A3979" s="4">
        <v>3977.0</v>
      </c>
      <c r="B3979" s="5" t="s">
        <v>11938</v>
      </c>
      <c r="C3979" s="4">
        <v>0.0</v>
      </c>
      <c r="D3979" s="5" t="s">
        <v>11939</v>
      </c>
      <c r="E3979" s="5" t="s">
        <v>11940</v>
      </c>
      <c r="F3979" s="6" t="str">
        <f>IFERROR(__xludf.DUMMYFUNCTION("GOOGLETRANSLATE(D3979,""en"",""it"")"),"Mi piacciono le borse, tranne i braccialetti.")</f>
        <v>Mi piacciono le borse, tranne i braccialetti.</v>
      </c>
      <c r="G3979" s="6" t="str">
        <f>IFERROR(__xludf.DUMMYFUNCTION("GOOGLETRANSLATE(E3979,""fr"",""it"")"),"Mi piacciono le borse tranne i braccialetti.")</f>
        <v>Mi piacciono le borse tranne i braccialetti.</v>
      </c>
    </row>
    <row r="3980">
      <c r="A3980" s="4">
        <v>3978.0</v>
      </c>
      <c r="B3980" s="5" t="s">
        <v>11941</v>
      </c>
      <c r="C3980" s="4">
        <v>1.0</v>
      </c>
      <c r="D3980" s="5" t="s">
        <v>11942</v>
      </c>
      <c r="E3980" s="5" t="s">
        <v>11943</v>
      </c>
      <c r="F3980" s="6" t="str">
        <f>IFERROR(__xludf.DUMMYFUNCTION("GOOGLETRANSLATE(D3980,""en"",""it"")"),"Mi piace il blues più del cibo.")</f>
        <v>Mi piace il blues più del cibo.</v>
      </c>
      <c r="G3980" s="6" t="str">
        <f>IFERROR(__xludf.DUMMYFUNCTION("GOOGLETRANSLATE(E3980,""fr"",""it"")"),"Apprezzo il blues più del cibo.")</f>
        <v>Apprezzo il blues più del cibo.</v>
      </c>
    </row>
    <row r="3981">
      <c r="A3981" s="4">
        <v>3979.0</v>
      </c>
      <c r="B3981" s="5" t="s">
        <v>11944</v>
      </c>
      <c r="C3981" s="4">
        <v>1.0</v>
      </c>
      <c r="D3981" s="5" t="s">
        <v>11945</v>
      </c>
      <c r="E3981" s="5" t="s">
        <v>11946</v>
      </c>
      <c r="F3981" s="6" t="str">
        <f>IFERROR(__xludf.DUMMYFUNCTION("GOOGLETRANSLATE(D3981,""en"",""it"")"),"Mi piace il cibo più che Blues.")</f>
        <v>Mi piace il cibo più che Blues.</v>
      </c>
      <c r="G3981" s="6" t="str">
        <f>IFERROR(__xludf.DUMMYFUNCTION("GOOGLETRANSLATE(E3981,""fr"",""it"")"),"Apprezzo il cibo più che Blues.")</f>
        <v>Apprezzo il cibo più che Blues.</v>
      </c>
    </row>
    <row r="3982">
      <c r="A3982" s="4">
        <v>3980.0</v>
      </c>
      <c r="B3982" s="5" t="s">
        <v>11947</v>
      </c>
      <c r="C3982" s="4">
        <v>1.0</v>
      </c>
      <c r="D3982" s="5" t="s">
        <v>11948</v>
      </c>
      <c r="E3982" s="5" t="s">
        <v>11949</v>
      </c>
      <c r="F3982" s="6" t="str">
        <f>IFERROR(__xludf.DUMMYFUNCTION("GOOGLETRANSLATE(D3982,""en"",""it"")"),"Mi piacciono i blues più dei gioielli.")</f>
        <v>Mi piacciono i blues più dei gioielli.</v>
      </c>
      <c r="G3982" s="6" t="str">
        <f>IFERROR(__xludf.DUMMYFUNCTION("GOOGLETRANSLATE(E3982,""fr"",""it"")"),"Apprezzo il blues più dei gioielli.")</f>
        <v>Apprezzo il blues più dei gioielli.</v>
      </c>
    </row>
    <row r="3983">
      <c r="A3983" s="4">
        <v>3981.0</v>
      </c>
      <c r="B3983" s="5" t="s">
        <v>11950</v>
      </c>
      <c r="C3983" s="4">
        <v>1.0</v>
      </c>
      <c r="D3983" s="5" t="s">
        <v>11951</v>
      </c>
      <c r="E3983" s="5" t="s">
        <v>11952</v>
      </c>
      <c r="F3983" s="6" t="str">
        <f>IFERROR(__xludf.DUMMYFUNCTION("GOOGLETRANSLATE(D3983,""en"",""it"")"),"Mi piacciono i gioielli più che blues.")</f>
        <v>Mi piacciono i gioielli più che blues.</v>
      </c>
      <c r="G3983" s="6" t="str">
        <f>IFERROR(__xludf.DUMMYFUNCTION("GOOGLETRANSLATE(E3983,""fr"",""it"")"),"Apprezzo i gioielli più del blues.")</f>
        <v>Apprezzo i gioielli più del blues.</v>
      </c>
    </row>
    <row r="3984">
      <c r="A3984" s="4">
        <v>3982.0</v>
      </c>
      <c r="B3984" s="5" t="s">
        <v>11953</v>
      </c>
      <c r="C3984" s="4">
        <v>0.0</v>
      </c>
      <c r="D3984" s="5" t="s">
        <v>11954</v>
      </c>
      <c r="E3984" s="5" t="s">
        <v>11955</v>
      </c>
      <c r="F3984" s="6" t="str">
        <f>IFERROR(__xludf.DUMMYFUNCTION("GOOGLETRANSLATE(D3984,""en"",""it"")"),"Mi piacciono i braccialetti, tranne i gioielli.")</f>
        <v>Mi piacciono i braccialetti, tranne i gioielli.</v>
      </c>
      <c r="G3984" s="6" t="str">
        <f>IFERROR(__xludf.DUMMYFUNCTION("GOOGLETRANSLATE(E3984,""fr"",""it"")"),"Mi piacciono i braccialetti tranne i gioielli.")</f>
        <v>Mi piacciono i braccialetti tranne i gioielli.</v>
      </c>
    </row>
    <row r="3985">
      <c r="A3985" s="4">
        <v>3983.0</v>
      </c>
      <c r="B3985" s="5" t="s">
        <v>11956</v>
      </c>
      <c r="C3985" s="4">
        <v>1.0</v>
      </c>
      <c r="D3985" s="5" t="s">
        <v>11957</v>
      </c>
      <c r="E3985" s="5" t="s">
        <v>11958</v>
      </c>
      <c r="F3985" s="6" t="str">
        <f>IFERROR(__xludf.DUMMYFUNCTION("GOOGLETRANSLATE(D3985,""en"",""it"")"),"Mi piacciono i gioielli, tranne i braccialetti.")</f>
        <v>Mi piacciono i gioielli, tranne i braccialetti.</v>
      </c>
      <c r="G3985" s="6" t="str">
        <f>IFERROR(__xludf.DUMMYFUNCTION("GOOGLETRANSLATE(E3985,""fr"",""it"")"),"Mi piacciono i gioielli, tranne i braccialetti.")</f>
        <v>Mi piacciono i gioielli, tranne i braccialetti.</v>
      </c>
    </row>
    <row r="3986">
      <c r="A3986" s="4">
        <v>3984.0</v>
      </c>
      <c r="B3986" s="5" t="s">
        <v>11959</v>
      </c>
      <c r="C3986" s="4">
        <v>0.0</v>
      </c>
      <c r="D3986" s="5" t="s">
        <v>11960</v>
      </c>
      <c r="E3986" s="5" t="s">
        <v>11961</v>
      </c>
      <c r="F3986" s="6" t="str">
        <f>IFERROR(__xludf.DUMMYFUNCTION("GOOGLETRANSLATE(D3986,""en"",""it"")"),"Mi piacciono i gioielli, tranne le borse.")</f>
        <v>Mi piacciono i gioielli, tranne le borse.</v>
      </c>
      <c r="G3986" s="6" t="str">
        <f>IFERROR(__xludf.DUMMYFUNCTION("GOOGLETRANSLATE(E3986,""fr"",""it"")"),"Mi piacciono i gioielli, tranne le borse.")</f>
        <v>Mi piacciono i gioielli, tranne le borse.</v>
      </c>
    </row>
    <row r="3987">
      <c r="A3987" s="4">
        <v>3985.0</v>
      </c>
      <c r="B3987" s="5" t="s">
        <v>11962</v>
      </c>
      <c r="C3987" s="4">
        <v>0.0</v>
      </c>
      <c r="D3987" s="5" t="s">
        <v>11963</v>
      </c>
      <c r="E3987" s="5" t="s">
        <v>11964</v>
      </c>
      <c r="F3987" s="6" t="str">
        <f>IFERROR(__xludf.DUMMYFUNCTION("GOOGLETRANSLATE(D3987,""en"",""it"")"),"Mi piacciono i braccialetti, tranne le sciarpe.")</f>
        <v>Mi piacciono i braccialetti, tranne le sciarpe.</v>
      </c>
      <c r="G3987" s="6" t="str">
        <f>IFERROR(__xludf.DUMMYFUNCTION("GOOGLETRANSLATE(E3987,""fr"",""it"")"),"Mi piacciono i braccialetti tranne sciarpe.")</f>
        <v>Mi piacciono i braccialetti tranne sciarpe.</v>
      </c>
    </row>
    <row r="3988">
      <c r="A3988" s="4">
        <v>3986.0</v>
      </c>
      <c r="B3988" s="5" t="s">
        <v>11965</v>
      </c>
      <c r="C3988" s="4">
        <v>0.0</v>
      </c>
      <c r="D3988" s="5" t="s">
        <v>11966</v>
      </c>
      <c r="E3988" s="5" t="s">
        <v>11967</v>
      </c>
      <c r="F3988" s="6" t="str">
        <f>IFERROR(__xludf.DUMMYFUNCTION("GOOGLETRANSLATE(D3988,""en"",""it"")"),"Mi piacciono le sciarpe, tranne i braccialetti.")</f>
        <v>Mi piacciono le sciarpe, tranne i braccialetti.</v>
      </c>
      <c r="G3988" s="6" t="str">
        <f>IFERROR(__xludf.DUMMYFUNCTION("GOOGLETRANSLATE(E3988,""fr"",""it"")"),"Adoro le sciarpe tranne i braccialetti.")</f>
        <v>Adoro le sciarpe tranne i braccialetti.</v>
      </c>
    </row>
    <row r="3989">
      <c r="A3989" s="4">
        <v>3987.0</v>
      </c>
      <c r="B3989" s="5" t="s">
        <v>11968</v>
      </c>
      <c r="C3989" s="4">
        <v>0.0</v>
      </c>
      <c r="D3989" s="5" t="s">
        <v>11969</v>
      </c>
      <c r="E3989" s="5" t="s">
        <v>11970</v>
      </c>
      <c r="F3989" s="6" t="str">
        <f>IFERROR(__xludf.DUMMYFUNCTION("GOOGLETRANSLATE(D3989,""en"",""it"")"),"Mi piacciono i gioielli, tranne le sciarpe.")</f>
        <v>Mi piacciono i gioielli, tranne le sciarpe.</v>
      </c>
      <c r="G3989" s="6" t="str">
        <f>IFERROR(__xludf.DUMMYFUNCTION("GOOGLETRANSLATE(E3989,""fr"",""it"")"),"Mi piacciono i gioielli, tranne sciarpe.")</f>
        <v>Mi piacciono i gioielli, tranne sciarpe.</v>
      </c>
    </row>
    <row r="3990">
      <c r="A3990" s="4">
        <v>3988.0</v>
      </c>
      <c r="B3990" s="5" t="s">
        <v>11971</v>
      </c>
      <c r="C3990" s="4">
        <v>0.0</v>
      </c>
      <c r="D3990" s="5" t="s">
        <v>11972</v>
      </c>
      <c r="E3990" s="5" t="s">
        <v>11973</v>
      </c>
      <c r="F3990" s="6" t="str">
        <f>IFERROR(__xludf.DUMMYFUNCTION("GOOGLETRANSLATE(D3990,""en"",""it"")"),"Mi piacciono i braccialetti, tranne gli occhiali.")</f>
        <v>Mi piacciono i braccialetti, tranne gli occhiali.</v>
      </c>
      <c r="G3990" s="6" t="str">
        <f>IFERROR(__xludf.DUMMYFUNCTION("GOOGLETRANSLATE(E3990,""fr"",""it"")"),"Amo i braccialetti tranne gli occhiali.")</f>
        <v>Amo i braccialetti tranne gli occhiali.</v>
      </c>
    </row>
    <row r="3991">
      <c r="A3991" s="4">
        <v>3989.0</v>
      </c>
      <c r="B3991" s="5" t="s">
        <v>11974</v>
      </c>
      <c r="C3991" s="4">
        <v>0.0</v>
      </c>
      <c r="D3991" s="5" t="s">
        <v>11975</v>
      </c>
      <c r="E3991" s="5" t="s">
        <v>11976</v>
      </c>
      <c r="F3991" s="6" t="str">
        <f>IFERROR(__xludf.DUMMYFUNCTION("GOOGLETRANSLATE(D3991,""en"",""it"")"),"Mi piacciono gli occhiali, tranne i braccialetti.")</f>
        <v>Mi piacciono gli occhiali, tranne i braccialetti.</v>
      </c>
      <c r="G3991" s="6" t="str">
        <f>IFERROR(__xludf.DUMMYFUNCTION("GOOGLETRANSLATE(E3991,""fr"",""it"")"),"Amo gli occhiali tranne i braccialetti.")</f>
        <v>Amo gli occhiali tranne i braccialetti.</v>
      </c>
    </row>
    <row r="3992">
      <c r="A3992" s="4">
        <v>3990.0</v>
      </c>
      <c r="B3992" s="5" t="s">
        <v>11977</v>
      </c>
      <c r="C3992" s="4">
        <v>0.0</v>
      </c>
      <c r="D3992" s="5" t="s">
        <v>11978</v>
      </c>
      <c r="E3992" s="5" t="s">
        <v>11979</v>
      </c>
      <c r="F3992" s="6" t="str">
        <f>IFERROR(__xludf.DUMMYFUNCTION("GOOGLETRANSLATE(D3992,""en"",""it"")"),"Mi piacciono i gioielli, tranne gli occhiali.")</f>
        <v>Mi piacciono i gioielli, tranne gli occhiali.</v>
      </c>
      <c r="G3992" s="6" t="str">
        <f>IFERROR(__xludf.DUMMYFUNCTION("GOOGLETRANSLATE(E3992,""fr"",""it"")"),"Mi piacciono i gioielli, tranne gli occhiali.")</f>
        <v>Mi piacciono i gioielli, tranne gli occhiali.</v>
      </c>
    </row>
    <row r="3993">
      <c r="A3993" s="4">
        <v>3991.0</v>
      </c>
      <c r="B3993" s="5" t="s">
        <v>11980</v>
      </c>
      <c r="C3993" s="4">
        <v>0.0</v>
      </c>
      <c r="D3993" s="5" t="s">
        <v>11981</v>
      </c>
      <c r="E3993" s="5" t="s">
        <v>11982</v>
      </c>
      <c r="F3993" s="6" t="str">
        <f>IFERROR(__xludf.DUMMYFUNCTION("GOOGLETRANSLATE(D3993,""en"",""it"")"),"Mi piacciono i braccialetti, tranne le scarpe.")</f>
        <v>Mi piacciono i braccialetti, tranne le scarpe.</v>
      </c>
      <c r="G3993" s="6" t="str">
        <f>IFERROR(__xludf.DUMMYFUNCTION("GOOGLETRANSLATE(E3993,""fr"",""it"")"),"Mi piacciono i braccialetti tranne le scarpe.")</f>
        <v>Mi piacciono i braccialetti tranne le scarpe.</v>
      </c>
    </row>
    <row r="3994">
      <c r="A3994" s="4">
        <v>3992.0</v>
      </c>
      <c r="B3994" s="5" t="s">
        <v>11983</v>
      </c>
      <c r="C3994" s="4">
        <v>0.0</v>
      </c>
      <c r="D3994" s="5" t="s">
        <v>11984</v>
      </c>
      <c r="E3994" s="5" t="s">
        <v>11985</v>
      </c>
      <c r="F3994" s="6" t="str">
        <f>IFERROR(__xludf.DUMMYFUNCTION("GOOGLETRANSLATE(D3994,""en"",""it"")"),"Mi piacciono le scarpe, tranne i braccialetti.")</f>
        <v>Mi piacciono le scarpe, tranne i braccialetti.</v>
      </c>
      <c r="G3994" s="6" t="str">
        <f>IFERROR(__xludf.DUMMYFUNCTION("GOOGLETRANSLATE(E3994,""fr"",""it"")"),"Mi piacciono le scarpe tranne i braccialetti.")</f>
        <v>Mi piacciono le scarpe tranne i braccialetti.</v>
      </c>
    </row>
    <row r="3995">
      <c r="A3995" s="4">
        <v>3993.0</v>
      </c>
      <c r="B3995" s="5" t="s">
        <v>11986</v>
      </c>
      <c r="C3995" s="4">
        <v>0.0</v>
      </c>
      <c r="D3995" s="5" t="s">
        <v>11987</v>
      </c>
      <c r="E3995" s="5" t="s">
        <v>11988</v>
      </c>
      <c r="F3995" s="6" t="str">
        <f>IFERROR(__xludf.DUMMYFUNCTION("GOOGLETRANSLATE(D3995,""en"",""it"")"),"Mi piacciono i gioielli, tranne le scarpe.")</f>
        <v>Mi piacciono i gioielli, tranne le scarpe.</v>
      </c>
      <c r="G3995" s="6" t="str">
        <f>IFERROR(__xludf.DUMMYFUNCTION("GOOGLETRANSLATE(E3995,""fr"",""it"")"),"Mi piacciono i gioielli, tranne le scarpe.")</f>
        <v>Mi piacciono i gioielli, tranne le scarpe.</v>
      </c>
    </row>
    <row r="3996">
      <c r="A3996" s="4">
        <v>3994.0</v>
      </c>
      <c r="B3996" s="5" t="s">
        <v>11989</v>
      </c>
      <c r="C3996" s="4">
        <v>0.0</v>
      </c>
      <c r="D3996" s="5" t="s">
        <v>11990</v>
      </c>
      <c r="E3996" s="5" t="s">
        <v>11991</v>
      </c>
      <c r="F3996" s="6" t="str">
        <f>IFERROR(__xludf.DUMMYFUNCTION("GOOGLETRANSLATE(D3996,""en"",""it"")"),"Mi piacciono le collane, tranne le borse.")</f>
        <v>Mi piacciono le collane, tranne le borse.</v>
      </c>
      <c r="G3996" s="6" t="str">
        <f>IFERROR(__xludf.DUMMYFUNCTION("GOOGLETRANSLATE(E3996,""fr"",""it"")"),"Mi piacciono le collane, tranne le borse.")</f>
        <v>Mi piacciono le collane, tranne le borse.</v>
      </c>
    </row>
    <row r="3997">
      <c r="A3997" s="4">
        <v>3995.0</v>
      </c>
      <c r="B3997" s="5" t="s">
        <v>11992</v>
      </c>
      <c r="C3997" s="4">
        <v>0.0</v>
      </c>
      <c r="D3997" s="5" t="s">
        <v>11993</v>
      </c>
      <c r="E3997" s="5" t="s">
        <v>11994</v>
      </c>
      <c r="F3997" s="6" t="str">
        <f>IFERROR(__xludf.DUMMYFUNCTION("GOOGLETRANSLATE(D3997,""en"",""it"")"),"Mi piacciono le borse, tranne collane.")</f>
        <v>Mi piacciono le borse, tranne collane.</v>
      </c>
      <c r="G3997" s="6" t="str">
        <f>IFERROR(__xludf.DUMMYFUNCTION("GOOGLETRANSLATE(E3997,""fr"",""it"")"),"Mi piacciono le borse tranne le collane.")</f>
        <v>Mi piacciono le borse tranne le collane.</v>
      </c>
    </row>
    <row r="3998">
      <c r="A3998" s="4">
        <v>3996.0</v>
      </c>
      <c r="B3998" s="5" t="s">
        <v>11995</v>
      </c>
      <c r="C3998" s="4">
        <v>0.0</v>
      </c>
      <c r="D3998" s="5" t="s">
        <v>11996</v>
      </c>
      <c r="E3998" s="5" t="s">
        <v>11997</v>
      </c>
      <c r="F3998" s="6" t="str">
        <f>IFERROR(__xludf.DUMMYFUNCTION("GOOGLETRANSLATE(D3998,""en"",""it"")"),"Mi piacciono le collane, tranne i gioielli.")</f>
        <v>Mi piacciono le collane, tranne i gioielli.</v>
      </c>
      <c r="G3998" s="6" t="str">
        <f>IFERROR(__xludf.DUMMYFUNCTION("GOOGLETRANSLATE(E3998,""fr"",""it"")"),"Mi piacciono le collane, tranne i gioielli.")</f>
        <v>Mi piacciono le collane, tranne i gioielli.</v>
      </c>
    </row>
    <row r="3999">
      <c r="A3999" s="4">
        <v>3997.0</v>
      </c>
      <c r="B3999" s="5" t="s">
        <v>11998</v>
      </c>
      <c r="C3999" s="4">
        <v>1.0</v>
      </c>
      <c r="D3999" s="5" t="s">
        <v>11999</v>
      </c>
      <c r="E3999" s="5" t="s">
        <v>12000</v>
      </c>
      <c r="F3999" s="6" t="str">
        <f>IFERROR(__xludf.DUMMYFUNCTION("GOOGLETRANSLATE(D3999,""en"",""it"")"),"Mi piacciono i gioielli, tranne collane.")</f>
        <v>Mi piacciono i gioielli, tranne collane.</v>
      </c>
      <c r="G3999" s="6" t="str">
        <f>IFERROR(__xludf.DUMMYFUNCTION("GOOGLETRANSLATE(E3999,""fr"",""it"")"),"Mi piacciono i gioielli, tranne le collane.")</f>
        <v>Mi piacciono i gioielli, tranne le collane.</v>
      </c>
    </row>
    <row r="4000">
      <c r="A4000" s="4">
        <v>3998.0</v>
      </c>
      <c r="B4000" s="5" t="s">
        <v>12001</v>
      </c>
      <c r="C4000" s="4">
        <v>0.0</v>
      </c>
      <c r="D4000" s="5" t="s">
        <v>12002</v>
      </c>
      <c r="E4000" s="5" t="s">
        <v>12003</v>
      </c>
      <c r="F4000" s="6" t="str">
        <f>IFERROR(__xludf.DUMMYFUNCTION("GOOGLETRANSLATE(D4000,""en"",""it"")"),"Mi piacciono le collane, tranne le sciarpe.")</f>
        <v>Mi piacciono le collane, tranne le sciarpe.</v>
      </c>
      <c r="G4000" s="6" t="str">
        <f>IFERROR(__xludf.DUMMYFUNCTION("GOOGLETRANSLATE(E4000,""fr"",""it"")"),"Mi piacciono le collane, tranne sciarpe.")</f>
        <v>Mi piacciono le collane, tranne sciarpe.</v>
      </c>
    </row>
    <row r="4001">
      <c r="A4001" s="4">
        <v>3999.0</v>
      </c>
      <c r="B4001" s="5" t="s">
        <v>12004</v>
      </c>
      <c r="C4001" s="4">
        <v>0.0</v>
      </c>
      <c r="D4001" s="5" t="s">
        <v>12005</v>
      </c>
      <c r="E4001" s="5" t="s">
        <v>12006</v>
      </c>
      <c r="F4001" s="6" t="str">
        <f>IFERROR(__xludf.DUMMYFUNCTION("GOOGLETRANSLATE(D4001,""en"",""it"")"),"Mi piacciono le sciarpe, eccetto le collane.")</f>
        <v>Mi piacciono le sciarpe, eccetto le collane.</v>
      </c>
      <c r="G4001" s="6" t="str">
        <f>IFERROR(__xludf.DUMMYFUNCTION("GOOGLETRANSLATE(E4001,""fr"",""it"")"),"Adoro le sciarpe tranne le collane.")</f>
        <v>Adoro le sciarpe tranne le collane.</v>
      </c>
    </row>
    <row r="4002">
      <c r="A4002" s="4">
        <v>4000.0</v>
      </c>
      <c r="B4002" s="5" t="s">
        <v>12007</v>
      </c>
      <c r="C4002" s="4">
        <v>0.0</v>
      </c>
      <c r="D4002" s="5" t="s">
        <v>12008</v>
      </c>
      <c r="E4002" s="5" t="s">
        <v>12009</v>
      </c>
      <c r="F4002" s="6" t="str">
        <f>IFERROR(__xludf.DUMMYFUNCTION("GOOGLETRANSLATE(D4002,""en"",""it"")"),"Mi piacciono le collane, tranne gli occhiali.")</f>
        <v>Mi piacciono le collane, tranne gli occhiali.</v>
      </c>
      <c r="G4002" s="6" t="str">
        <f>IFERROR(__xludf.DUMMYFUNCTION("GOOGLETRANSLATE(E4002,""fr"",""it"")"),"Adoro le collane tranne gli occhiali.")</f>
        <v>Adoro le collane tranne gli occhiali.</v>
      </c>
    </row>
    <row r="4003">
      <c r="A4003" s="4">
        <v>4001.0</v>
      </c>
      <c r="B4003" s="5" t="s">
        <v>12010</v>
      </c>
      <c r="C4003" s="4">
        <v>0.0</v>
      </c>
      <c r="D4003" s="5" t="s">
        <v>12011</v>
      </c>
      <c r="E4003" s="5" t="s">
        <v>12012</v>
      </c>
      <c r="F4003" s="6" t="str">
        <f>IFERROR(__xludf.DUMMYFUNCTION("GOOGLETRANSLATE(D4003,""en"",""it"")"),"Mi piacciono gli occhiali, tranne collane.")</f>
        <v>Mi piacciono gli occhiali, tranne collane.</v>
      </c>
      <c r="G4003" s="6" t="str">
        <f>IFERROR(__xludf.DUMMYFUNCTION("GOOGLETRANSLATE(E4003,""fr"",""it"")"),"Amo gli occhiali tranne le collane.")</f>
        <v>Amo gli occhiali tranne le collane.</v>
      </c>
    </row>
    <row r="4004">
      <c r="A4004" s="4">
        <v>4002.0</v>
      </c>
      <c r="B4004" s="5" t="s">
        <v>12013</v>
      </c>
      <c r="C4004" s="4">
        <v>1.0</v>
      </c>
      <c r="D4004" s="5" t="s">
        <v>12014</v>
      </c>
      <c r="E4004" s="5" t="s">
        <v>12015</v>
      </c>
      <c r="F4004" s="6" t="str">
        <f>IFERROR(__xludf.DUMMYFUNCTION("GOOGLETRANSLATE(D4004,""en"",""it"")"),"Mi piace il prosciutto più del pesce.")</f>
        <v>Mi piace il prosciutto più del pesce.</v>
      </c>
      <c r="G4004" s="6" t="str">
        <f>IFERROR(__xludf.DUMMYFUNCTION("GOOGLETRANSLATE(E4004,""fr"",""it"")"),"Amo il prosciutto più del pesce.")</f>
        <v>Amo il prosciutto più del pesce.</v>
      </c>
    </row>
    <row r="4005">
      <c r="A4005" s="4">
        <v>4003.0</v>
      </c>
      <c r="B4005" s="5" t="s">
        <v>12016</v>
      </c>
      <c r="C4005" s="4">
        <v>1.0</v>
      </c>
      <c r="D4005" s="5" t="s">
        <v>12017</v>
      </c>
      <c r="E4005" s="5" t="s">
        <v>12018</v>
      </c>
      <c r="F4005" s="6" t="str">
        <f>IFERROR(__xludf.DUMMYFUNCTION("GOOGLETRANSLATE(D4005,""en"",""it"")"),"Mi piace il pesce più del prosciutto.")</f>
        <v>Mi piace il pesce più del prosciutto.</v>
      </c>
      <c r="G4005" s="6" t="str">
        <f>IFERROR(__xludf.DUMMYFUNCTION("GOOGLETRANSLATE(E4005,""fr"",""it"")"),"Amo il pesce più del prosciutto.")</f>
        <v>Amo il pesce più del prosciutto.</v>
      </c>
    </row>
    <row r="4006">
      <c r="A4006" s="4">
        <v>4004.0</v>
      </c>
      <c r="B4006" s="5" t="s">
        <v>12019</v>
      </c>
      <c r="C4006" s="4">
        <v>0.0</v>
      </c>
      <c r="D4006" s="5" t="s">
        <v>12020</v>
      </c>
      <c r="E4006" s="5" t="s">
        <v>12021</v>
      </c>
      <c r="F4006" s="6" t="str">
        <f>IFERROR(__xludf.DUMMYFUNCTION("GOOGLETRANSLATE(D4006,""en"",""it"")"),"Mi piace il prosciutto più del maiale.")</f>
        <v>Mi piace il prosciutto più del maiale.</v>
      </c>
      <c r="G4006" s="6" t="str">
        <f>IFERROR(__xludf.DUMMYFUNCTION("GOOGLETRANSLATE(E4006,""fr"",""it"")"),"Adoro il prosciutto più del maiale.")</f>
        <v>Adoro il prosciutto più del maiale.</v>
      </c>
    </row>
    <row r="4007">
      <c r="A4007" s="4">
        <v>4005.0</v>
      </c>
      <c r="B4007" s="5" t="s">
        <v>12022</v>
      </c>
      <c r="C4007" s="4">
        <v>0.0</v>
      </c>
      <c r="D4007" s="5" t="s">
        <v>12023</v>
      </c>
      <c r="E4007" s="5" t="s">
        <v>12024</v>
      </c>
      <c r="F4007" s="6" t="str">
        <f>IFERROR(__xludf.DUMMYFUNCTION("GOOGLETRANSLATE(D4007,""en"",""it"")"),"Mi piace il maiale più del prosciutto.")</f>
        <v>Mi piace il maiale più del prosciutto.</v>
      </c>
      <c r="G4007" s="6" t="str">
        <f>IFERROR(__xludf.DUMMYFUNCTION("GOOGLETRANSLATE(E4007,""fr"",""it"")"),"Amo il maiale più del prosciutto.")</f>
        <v>Amo il maiale più del prosciutto.</v>
      </c>
    </row>
    <row r="4008">
      <c r="A4008" s="4">
        <v>4006.0</v>
      </c>
      <c r="B4008" s="5" t="s">
        <v>12025</v>
      </c>
      <c r="C4008" s="4">
        <v>1.0</v>
      </c>
      <c r="D4008" s="5" t="s">
        <v>12026</v>
      </c>
      <c r="E4008" s="5" t="s">
        <v>12027</v>
      </c>
      <c r="F4008" s="6" t="str">
        <f>IFERROR(__xludf.DUMMYFUNCTION("GOOGLETRANSLATE(D4008,""en"",""it"")"),"Mi piace il maiale più del pesce.")</f>
        <v>Mi piace il maiale più del pesce.</v>
      </c>
      <c r="G4008" s="6" t="str">
        <f>IFERROR(__xludf.DUMMYFUNCTION("GOOGLETRANSLATE(E4008,""fr"",""it"")"),"Amo il maiale più del pesce.")</f>
        <v>Amo il maiale più del pesce.</v>
      </c>
    </row>
    <row r="4009">
      <c r="A4009" s="4">
        <v>4007.0</v>
      </c>
      <c r="B4009" s="5" t="s">
        <v>12028</v>
      </c>
      <c r="C4009" s="4">
        <v>1.0</v>
      </c>
      <c r="D4009" s="5" t="s">
        <v>12029</v>
      </c>
      <c r="E4009" s="5" t="s">
        <v>12030</v>
      </c>
      <c r="F4009" s="6" t="str">
        <f>IFERROR(__xludf.DUMMYFUNCTION("GOOGLETRANSLATE(D4009,""en"",""it"")"),"Mi piace il prosciutto più dei broccoli.")</f>
        <v>Mi piace il prosciutto più dei broccoli.</v>
      </c>
      <c r="G4009" s="6" t="str">
        <f>IFERROR(__xludf.DUMMYFUNCTION("GOOGLETRANSLATE(E4009,""fr"",""it"")"),"Amo il prosciutto più dei broccoli.")</f>
        <v>Amo il prosciutto più dei broccoli.</v>
      </c>
    </row>
    <row r="4010">
      <c r="A4010" s="4">
        <v>4008.0</v>
      </c>
      <c r="B4010" s="5" t="s">
        <v>12031</v>
      </c>
      <c r="C4010" s="4">
        <v>1.0</v>
      </c>
      <c r="D4010" s="5" t="s">
        <v>12032</v>
      </c>
      <c r="E4010" s="5" t="s">
        <v>12033</v>
      </c>
      <c r="F4010" s="6" t="str">
        <f>IFERROR(__xludf.DUMMYFUNCTION("GOOGLETRANSLATE(D4010,""en"",""it"")"),"Mi piacciono i broccoli più del prosciutto.")</f>
        <v>Mi piacciono i broccoli più del prosciutto.</v>
      </c>
      <c r="G4010" s="6" t="str">
        <f>IFERROR(__xludf.DUMMYFUNCTION("GOOGLETRANSLATE(E4010,""fr"",""it"")"),"Adoro i broccoli più del prosciutto.")</f>
        <v>Adoro i broccoli più del prosciutto.</v>
      </c>
    </row>
    <row r="4011">
      <c r="A4011" s="4">
        <v>4009.0</v>
      </c>
      <c r="B4011" s="5" t="s">
        <v>12034</v>
      </c>
      <c r="C4011" s="4">
        <v>0.0</v>
      </c>
      <c r="D4011" s="5" t="s">
        <v>12035</v>
      </c>
      <c r="E4011" s="5" t="s">
        <v>12036</v>
      </c>
      <c r="F4011" s="6" t="str">
        <f>IFERROR(__xludf.DUMMYFUNCTION("GOOGLETRANSLATE(D4011,""en"",""it"")"),"Mi piacciono le collane, tranne le scarpe.")</f>
        <v>Mi piacciono le collane, tranne le scarpe.</v>
      </c>
      <c r="G4011" s="6" t="str">
        <f>IFERROR(__xludf.DUMMYFUNCTION("GOOGLETRANSLATE(E4011,""fr"",""it"")"),"Mi piacciono le collane, tranne le scarpe.")</f>
        <v>Mi piacciono le collane, tranne le scarpe.</v>
      </c>
    </row>
    <row r="4012">
      <c r="A4012" s="4">
        <v>4010.0</v>
      </c>
      <c r="B4012" s="5" t="s">
        <v>12037</v>
      </c>
      <c r="C4012" s="4">
        <v>1.0</v>
      </c>
      <c r="D4012" s="5" t="s">
        <v>12038</v>
      </c>
      <c r="E4012" s="5" t="s">
        <v>12039</v>
      </c>
      <c r="F4012" s="6" t="str">
        <f>IFERROR(__xludf.DUMMYFUNCTION("GOOGLETRANSLATE(D4012,""en"",""it"")"),"Mi piace il maiale più dei broccoli.")</f>
        <v>Mi piace il maiale più dei broccoli.</v>
      </c>
      <c r="G4012" s="6" t="str">
        <f>IFERROR(__xludf.DUMMYFUNCTION("GOOGLETRANSLATE(E4012,""fr"",""it"")"),"Amo il maiale più dei broccoli.")</f>
        <v>Amo il maiale più dei broccoli.</v>
      </c>
    </row>
    <row r="4013">
      <c r="A4013" s="4">
        <v>4011.0</v>
      </c>
      <c r="B4013" s="5" t="s">
        <v>12040</v>
      </c>
      <c r="C4013" s="4">
        <v>1.0</v>
      </c>
      <c r="D4013" s="5" t="s">
        <v>12041</v>
      </c>
      <c r="E4013" s="5" t="s">
        <v>12042</v>
      </c>
      <c r="F4013" s="6" t="str">
        <f>IFERROR(__xludf.DUMMYFUNCTION("GOOGLETRANSLATE(D4013,""en"",""it"")"),"Mi piace il prosciutto più delle mele.")</f>
        <v>Mi piace il prosciutto più delle mele.</v>
      </c>
      <c r="G4013" s="6" t="str">
        <f>IFERROR(__xludf.DUMMYFUNCTION("GOOGLETRANSLATE(E4013,""fr"",""it"")"),"Adoro il prosciutto più delle mele.")</f>
        <v>Adoro il prosciutto più delle mele.</v>
      </c>
    </row>
    <row r="4014">
      <c r="A4014" s="4">
        <v>4012.0</v>
      </c>
      <c r="B4014" s="5" t="s">
        <v>12043</v>
      </c>
      <c r="C4014" s="4">
        <v>1.0</v>
      </c>
      <c r="D4014" s="5" t="s">
        <v>12044</v>
      </c>
      <c r="E4014" s="5" t="s">
        <v>12045</v>
      </c>
      <c r="F4014" s="6" t="str">
        <f>IFERROR(__xludf.DUMMYFUNCTION("GOOGLETRANSLATE(D4014,""en"",""it"")"),"Mi piacciono le mele più del prosciutto.")</f>
        <v>Mi piacciono le mele più del prosciutto.</v>
      </c>
      <c r="G4014" s="6" t="str">
        <f>IFERROR(__xludf.DUMMYFUNCTION("GOOGLETRANSLATE(E4014,""fr"",""it"")"),"Adoro le mele più del prosciutto.")</f>
        <v>Adoro le mele più del prosciutto.</v>
      </c>
    </row>
    <row r="4015">
      <c r="A4015" s="4">
        <v>4013.0</v>
      </c>
      <c r="B4015" s="5" t="s">
        <v>12046</v>
      </c>
      <c r="C4015" s="4">
        <v>1.0</v>
      </c>
      <c r="D4015" s="5" t="s">
        <v>12047</v>
      </c>
      <c r="E4015" s="5" t="s">
        <v>12048</v>
      </c>
      <c r="F4015" s="6" t="str">
        <f>IFERROR(__xludf.DUMMYFUNCTION("GOOGLETRANSLATE(D4015,""en"",""it"")"),"Mi piace la carne di maiale più delle mele.")</f>
        <v>Mi piace la carne di maiale più delle mele.</v>
      </c>
      <c r="G4015" s="6" t="str">
        <f>IFERROR(__xludf.DUMMYFUNCTION("GOOGLETRANSLATE(E4015,""fr"",""it"")"),"Amo il maiale più delle mele.")</f>
        <v>Amo il maiale più delle mele.</v>
      </c>
    </row>
    <row r="4016">
      <c r="A4016" s="4">
        <v>4014.0</v>
      </c>
      <c r="B4016" s="5" t="s">
        <v>12049</v>
      </c>
      <c r="C4016" s="4">
        <v>1.0</v>
      </c>
      <c r="D4016" s="5" t="s">
        <v>12050</v>
      </c>
      <c r="E4016" s="5" t="s">
        <v>12051</v>
      </c>
      <c r="F4016" s="6" t="str">
        <f>IFERROR(__xludf.DUMMYFUNCTION("GOOGLETRANSLATE(D4016,""en"",""it"")"),"Mi piace il prosciutto più delle carote.")</f>
        <v>Mi piace il prosciutto più delle carote.</v>
      </c>
      <c r="G4016" s="6" t="str">
        <f>IFERROR(__xludf.DUMMYFUNCTION("GOOGLETRANSLATE(E4016,""fr"",""it"")"),"Adoro il prosciutto più delle carote.")</f>
        <v>Adoro il prosciutto più delle carote.</v>
      </c>
    </row>
    <row r="4017">
      <c r="A4017" s="4">
        <v>4015.0</v>
      </c>
      <c r="B4017" s="5" t="s">
        <v>12052</v>
      </c>
      <c r="C4017" s="4">
        <v>1.0</v>
      </c>
      <c r="D4017" s="5" t="s">
        <v>12053</v>
      </c>
      <c r="E4017" s="5" t="s">
        <v>12054</v>
      </c>
      <c r="F4017" s="6" t="str">
        <f>IFERROR(__xludf.DUMMYFUNCTION("GOOGLETRANSLATE(D4017,""en"",""it"")"),"Mi piacciono le carote più del prosciutto.")</f>
        <v>Mi piacciono le carote più del prosciutto.</v>
      </c>
      <c r="G4017" s="6" t="str">
        <f>IFERROR(__xludf.DUMMYFUNCTION("GOOGLETRANSLATE(E4017,""fr"",""it"")"),"Mi piacciono le carote più del prosciutto.")</f>
        <v>Mi piacciono le carote più del prosciutto.</v>
      </c>
    </row>
    <row r="4018">
      <c r="A4018" s="4">
        <v>4016.0</v>
      </c>
      <c r="B4018" s="5" t="s">
        <v>12055</v>
      </c>
      <c r="C4018" s="4">
        <v>0.0</v>
      </c>
      <c r="D4018" s="5" t="s">
        <v>12056</v>
      </c>
      <c r="E4018" s="5" t="s">
        <v>12057</v>
      </c>
      <c r="F4018" s="6" t="str">
        <f>IFERROR(__xludf.DUMMYFUNCTION("GOOGLETRANSLATE(D4018,""en"",""it"")"),"Mi piacciono le scarpe, tranne collane.")</f>
        <v>Mi piacciono le scarpe, tranne collane.</v>
      </c>
      <c r="G4018" s="6" t="str">
        <f>IFERROR(__xludf.DUMMYFUNCTION("GOOGLETRANSLATE(E4018,""fr"",""it"")"),"Adoro le scarpe tranne le collane.")</f>
        <v>Adoro le scarpe tranne le collane.</v>
      </c>
    </row>
    <row r="4019">
      <c r="A4019" s="4">
        <v>4017.0</v>
      </c>
      <c r="B4019" s="5" t="s">
        <v>12058</v>
      </c>
      <c r="C4019" s="4">
        <v>1.0</v>
      </c>
      <c r="D4019" s="5" t="s">
        <v>12059</v>
      </c>
      <c r="E4019" s="5" t="s">
        <v>12060</v>
      </c>
      <c r="F4019" s="6" t="str">
        <f>IFERROR(__xludf.DUMMYFUNCTION("GOOGLETRANSLATE(D4019,""en"",""it"")"),"Mi piace il maiale più delle carote.")</f>
        <v>Mi piace il maiale più delle carote.</v>
      </c>
      <c r="G4019" s="6" t="str">
        <f>IFERROR(__xludf.DUMMYFUNCTION("GOOGLETRANSLATE(E4019,""fr"",""it"")"),"Amo il maiale più delle carote.")</f>
        <v>Amo il maiale più delle carote.</v>
      </c>
    </row>
    <row r="4020">
      <c r="A4020" s="4">
        <v>4018.0</v>
      </c>
      <c r="B4020" s="5" t="s">
        <v>12061</v>
      </c>
      <c r="C4020" s="4">
        <v>1.0</v>
      </c>
      <c r="D4020" s="5" t="s">
        <v>12062</v>
      </c>
      <c r="E4020" s="5" t="s">
        <v>12063</v>
      </c>
      <c r="F4020" s="6" t="str">
        <f>IFERROR(__xludf.DUMMYFUNCTION("GOOGLETRANSLATE(D4020,""en"",""it"")"),"Mi piace il prosciutto più del pesce.")</f>
        <v>Mi piace il prosciutto più del pesce.</v>
      </c>
      <c r="G4020" s="6" t="str">
        <f>IFERROR(__xludf.DUMMYFUNCTION("GOOGLETRANSLATE(E4020,""fr"",""it"")"),"Amo il prosciutto più del pesce.")</f>
        <v>Amo il prosciutto più del pesce.</v>
      </c>
    </row>
    <row r="4021">
      <c r="A4021" s="4">
        <v>4019.0</v>
      </c>
      <c r="B4021" s="5" t="s">
        <v>12064</v>
      </c>
      <c r="C4021" s="4">
        <v>1.0</v>
      </c>
      <c r="D4021" s="5" t="s">
        <v>12065</v>
      </c>
      <c r="E4021" s="5" t="s">
        <v>12066</v>
      </c>
      <c r="F4021" s="6" t="str">
        <f>IFERROR(__xludf.DUMMYFUNCTION("GOOGLETRANSLATE(D4021,""en"",""it"")"),"Mi piace il pesce più del prosciutto.")</f>
        <v>Mi piace il pesce più del prosciutto.</v>
      </c>
      <c r="G4021" s="6" t="str">
        <f>IFERROR(__xludf.DUMMYFUNCTION("GOOGLETRANSLATE(E4021,""fr"",""it"")"),"Amo il pesce più del prosciutto.")</f>
        <v>Amo il pesce più del prosciutto.</v>
      </c>
    </row>
    <row r="4022">
      <c r="A4022" s="4">
        <v>4020.0</v>
      </c>
      <c r="B4022" s="5" t="s">
        <v>12067</v>
      </c>
      <c r="C4022" s="4">
        <v>0.0</v>
      </c>
      <c r="D4022" s="5" t="s">
        <v>12068</v>
      </c>
      <c r="E4022" s="5" t="s">
        <v>12069</v>
      </c>
      <c r="F4022" s="6" t="str">
        <f>IFERROR(__xludf.DUMMYFUNCTION("GOOGLETRANSLATE(D4022,""en"",""it"")"),"Mi piace il prosciutto più del maiale.")</f>
        <v>Mi piace il prosciutto più del maiale.</v>
      </c>
      <c r="G4022" s="6" t="str">
        <f>IFERROR(__xludf.DUMMYFUNCTION("GOOGLETRANSLATE(E4022,""fr"",""it"")"),"Adoro il prosciutto più del maiale.")</f>
        <v>Adoro il prosciutto più del maiale.</v>
      </c>
    </row>
    <row r="4023">
      <c r="A4023" s="4">
        <v>4021.0</v>
      </c>
      <c r="B4023" s="5" t="s">
        <v>12070</v>
      </c>
      <c r="C4023" s="4">
        <v>0.0</v>
      </c>
      <c r="D4023" s="5" t="s">
        <v>12071</v>
      </c>
      <c r="E4023" s="5" t="s">
        <v>12072</v>
      </c>
      <c r="F4023" s="6" t="str">
        <f>IFERROR(__xludf.DUMMYFUNCTION("GOOGLETRANSLATE(D4023,""en"",""it"")"),"Mi piace il maiale più del prosciutto.")</f>
        <v>Mi piace il maiale più del prosciutto.</v>
      </c>
      <c r="G4023" s="6" t="str">
        <f>IFERROR(__xludf.DUMMYFUNCTION("GOOGLETRANSLATE(E4023,""fr"",""it"")"),"Amo il maiale più del prosciutto.")</f>
        <v>Amo il maiale più del prosciutto.</v>
      </c>
    </row>
    <row r="4024">
      <c r="A4024" s="4">
        <v>4022.0</v>
      </c>
      <c r="B4024" s="5" t="s">
        <v>12073</v>
      </c>
      <c r="C4024" s="4">
        <v>1.0</v>
      </c>
      <c r="D4024" s="5" t="s">
        <v>12074</v>
      </c>
      <c r="E4024" s="5" t="s">
        <v>12075</v>
      </c>
      <c r="F4024" s="6" t="str">
        <f>IFERROR(__xludf.DUMMYFUNCTION("GOOGLETRANSLATE(D4024,""en"",""it"")"),"Mi piace Prosciutto più dei broccoli.")</f>
        <v>Mi piace Prosciutto più dei broccoli.</v>
      </c>
      <c r="G4024" s="6" t="str">
        <f>IFERROR(__xludf.DUMMYFUNCTION("GOOGLETRANSLATE(E4024,""fr"",""it"")"),"Mi piace Prosciutto più dei broccoli.")</f>
        <v>Mi piace Prosciutto più dei broccoli.</v>
      </c>
    </row>
    <row r="4025">
      <c r="A4025" s="4">
        <v>4023.0</v>
      </c>
      <c r="B4025" s="5" t="s">
        <v>12076</v>
      </c>
      <c r="C4025" s="4">
        <v>1.0</v>
      </c>
      <c r="D4025" s="5" t="s">
        <v>12077</v>
      </c>
      <c r="E4025" s="5" t="s">
        <v>12078</v>
      </c>
      <c r="F4025" s="6" t="str">
        <f>IFERROR(__xludf.DUMMYFUNCTION("GOOGLETRANSLATE(D4025,""en"",""it"")"),"Mi piacciono i broccoli più del prosciutto.")</f>
        <v>Mi piacciono i broccoli più del prosciutto.</v>
      </c>
      <c r="G4025" s="6" t="str">
        <f>IFERROR(__xludf.DUMMYFUNCTION("GOOGLETRANSLATE(E4025,""fr"",""it"")"),"Adoro i broccoli più del prosciutto.")</f>
        <v>Adoro i broccoli più del prosciutto.</v>
      </c>
    </row>
    <row r="4026">
      <c r="A4026" s="4">
        <v>4024.0</v>
      </c>
      <c r="B4026" s="5" t="s">
        <v>12079</v>
      </c>
      <c r="C4026" s="4">
        <v>1.0</v>
      </c>
      <c r="D4026" s="5" t="s">
        <v>12080</v>
      </c>
      <c r="E4026" s="5" t="s">
        <v>12081</v>
      </c>
      <c r="F4026" s="6" t="str">
        <f>IFERROR(__xludf.DUMMYFUNCTION("GOOGLETRANSLATE(D4026,""en"",""it"")"),"Mi piace Prosciutto più delle mele.")</f>
        <v>Mi piace Prosciutto più delle mele.</v>
      </c>
      <c r="G4026" s="6" t="str">
        <f>IFERROR(__xludf.DUMMYFUNCTION("GOOGLETRANSLATE(E4026,""fr"",""it"")"),"Amo il prosciutto più delle mele.")</f>
        <v>Amo il prosciutto più delle mele.</v>
      </c>
    </row>
    <row r="4027">
      <c r="A4027" s="4">
        <v>4025.0</v>
      </c>
      <c r="B4027" s="5" t="s">
        <v>12082</v>
      </c>
      <c r="C4027" s="4">
        <v>1.0</v>
      </c>
      <c r="D4027" s="5" t="s">
        <v>12083</v>
      </c>
      <c r="E4027" s="5" t="s">
        <v>12084</v>
      </c>
      <c r="F4027" s="6" t="str">
        <f>IFERROR(__xludf.DUMMYFUNCTION("GOOGLETRANSLATE(D4027,""en"",""it"")"),"Mi piacciono le mele più del prosciutto.")</f>
        <v>Mi piacciono le mele più del prosciutto.</v>
      </c>
      <c r="G4027" s="6" t="str">
        <f>IFERROR(__xludf.DUMMYFUNCTION("GOOGLETRANSLATE(E4027,""fr"",""it"")"),"Adoro le mele più del prosciutto.")</f>
        <v>Adoro le mele più del prosciutto.</v>
      </c>
    </row>
    <row r="4028">
      <c r="A4028" s="4">
        <v>4026.0</v>
      </c>
      <c r="B4028" s="5" t="s">
        <v>12085</v>
      </c>
      <c r="C4028" s="4">
        <v>1.0</v>
      </c>
      <c r="D4028" s="5" t="s">
        <v>12086</v>
      </c>
      <c r="E4028" s="5" t="s">
        <v>12087</v>
      </c>
      <c r="F4028" s="6" t="str">
        <f>IFERROR(__xludf.DUMMYFUNCTION("GOOGLETRANSLATE(D4028,""en"",""it"")"),"Mi piace Prosciutto più delle carote.")</f>
        <v>Mi piace Prosciutto più delle carote.</v>
      </c>
      <c r="G4028" s="6" t="str">
        <f>IFERROR(__xludf.DUMMYFUNCTION("GOOGLETRANSLATE(E4028,""fr"",""it"")"),"Mi piace Prosciutto più delle carote.")</f>
        <v>Mi piace Prosciutto più delle carote.</v>
      </c>
    </row>
    <row r="4029">
      <c r="A4029" s="4">
        <v>4027.0</v>
      </c>
      <c r="B4029" s="5" t="s">
        <v>12088</v>
      </c>
      <c r="C4029" s="4">
        <v>1.0</v>
      </c>
      <c r="D4029" s="5" t="s">
        <v>12089</v>
      </c>
      <c r="E4029" s="5" t="s">
        <v>12090</v>
      </c>
      <c r="F4029" s="6" t="str">
        <f>IFERROR(__xludf.DUMMYFUNCTION("GOOGLETRANSLATE(D4029,""en"",""it"")"),"Mi piacciono le carote più del prosciutto.")</f>
        <v>Mi piacciono le carote più del prosciutto.</v>
      </c>
      <c r="G4029" s="6" t="str">
        <f>IFERROR(__xludf.DUMMYFUNCTION("GOOGLETRANSLATE(E4029,""fr"",""it"")"),"Mi piacciono le carote più del prosciutto.")</f>
        <v>Mi piacciono le carote più del prosciutto.</v>
      </c>
    </row>
    <row r="4030">
      <c r="A4030" s="4">
        <v>4028.0</v>
      </c>
      <c r="B4030" s="5" t="s">
        <v>12091</v>
      </c>
      <c r="C4030" s="4">
        <v>1.0</v>
      </c>
      <c r="D4030" s="5" t="s">
        <v>12092</v>
      </c>
      <c r="E4030" s="5" t="s">
        <v>12093</v>
      </c>
      <c r="F4030" s="6" t="str">
        <f>IFERROR(__xludf.DUMMYFUNCTION("GOOGLETRANSLATE(D4030,""en"",""it"")"),"Mi piace la pancetta più del pesce.")</f>
        <v>Mi piace la pancetta più del pesce.</v>
      </c>
      <c r="G4030" s="6" t="str">
        <f>IFERROR(__xludf.DUMMYFUNCTION("GOOGLETRANSLATE(E4030,""fr"",""it"")"),"Amo la pancetta più del pesce.")</f>
        <v>Amo la pancetta più del pesce.</v>
      </c>
    </row>
    <row r="4031">
      <c r="A4031" s="4">
        <v>4029.0</v>
      </c>
      <c r="B4031" s="5" t="s">
        <v>12094</v>
      </c>
      <c r="C4031" s="4">
        <v>1.0</v>
      </c>
      <c r="D4031" s="5" t="s">
        <v>12095</v>
      </c>
      <c r="E4031" s="5" t="s">
        <v>12096</v>
      </c>
      <c r="F4031" s="6" t="str">
        <f>IFERROR(__xludf.DUMMYFUNCTION("GOOGLETRANSLATE(D4031,""en"",""it"")"),"Mi piace il pesce più della pancetta.")</f>
        <v>Mi piace il pesce più della pancetta.</v>
      </c>
      <c r="G4031" s="6" t="str">
        <f>IFERROR(__xludf.DUMMYFUNCTION("GOOGLETRANSLATE(E4031,""fr"",""it"")"),"Mi piace il pesce più della pancetta.")</f>
        <v>Mi piace il pesce più della pancetta.</v>
      </c>
    </row>
    <row r="4032">
      <c r="A4032" s="4">
        <v>4030.0</v>
      </c>
      <c r="B4032" s="5" t="s">
        <v>12097</v>
      </c>
      <c r="C4032" s="4">
        <v>0.0</v>
      </c>
      <c r="D4032" s="5" t="s">
        <v>12098</v>
      </c>
      <c r="E4032" s="5" t="s">
        <v>12099</v>
      </c>
      <c r="F4032" s="6" t="str">
        <f>IFERROR(__xludf.DUMMYFUNCTION("GOOGLETRANSLATE(D4032,""en"",""it"")"),"Mi piace la pancetta più del maiale.")</f>
        <v>Mi piace la pancetta più del maiale.</v>
      </c>
      <c r="G4032" s="6" t="str">
        <f>IFERROR(__xludf.DUMMYFUNCTION("GOOGLETRANSLATE(E4032,""fr"",""it"")"),"Amo la pancetta più del maiale.")</f>
        <v>Amo la pancetta più del maiale.</v>
      </c>
    </row>
    <row r="4033">
      <c r="A4033" s="4">
        <v>4031.0</v>
      </c>
      <c r="B4033" s="5" t="s">
        <v>12100</v>
      </c>
      <c r="C4033" s="4">
        <v>0.0</v>
      </c>
      <c r="D4033" s="5" t="s">
        <v>12101</v>
      </c>
      <c r="E4033" s="5" t="s">
        <v>12102</v>
      </c>
      <c r="F4033" s="6" t="str">
        <f>IFERROR(__xludf.DUMMYFUNCTION("GOOGLETRANSLATE(D4033,""en"",""it"")"),"Mi piace il maiale più della pancetta.")</f>
        <v>Mi piace il maiale più della pancetta.</v>
      </c>
      <c r="G4033" s="6" t="str">
        <f>IFERROR(__xludf.DUMMYFUNCTION("GOOGLETRANSLATE(E4033,""fr"",""it"")"),"Amo il maiale più della pancetta.")</f>
        <v>Amo il maiale più della pancetta.</v>
      </c>
    </row>
    <row r="4034">
      <c r="A4034" s="4">
        <v>4032.0</v>
      </c>
      <c r="B4034" s="5" t="s">
        <v>12103</v>
      </c>
      <c r="C4034" s="4">
        <v>1.0</v>
      </c>
      <c r="D4034" s="5" t="s">
        <v>12104</v>
      </c>
      <c r="E4034" s="5" t="s">
        <v>12105</v>
      </c>
      <c r="F4034" s="6" t="str">
        <f>IFERROR(__xludf.DUMMYFUNCTION("GOOGLETRANSLATE(D4034,""en"",""it"")"),"Mi piace la pancetta più dei broccoli.")</f>
        <v>Mi piace la pancetta più dei broccoli.</v>
      </c>
      <c r="G4034" s="6" t="str">
        <f>IFERROR(__xludf.DUMMYFUNCTION("GOOGLETRANSLATE(E4034,""fr"",""it"")"),"Amo la pancetta più dei broccoli.")</f>
        <v>Amo la pancetta più dei broccoli.</v>
      </c>
    </row>
    <row r="4035">
      <c r="A4035" s="4">
        <v>4033.0</v>
      </c>
      <c r="B4035" s="5" t="s">
        <v>12106</v>
      </c>
      <c r="C4035" s="4">
        <v>1.0</v>
      </c>
      <c r="D4035" s="5" t="s">
        <v>12107</v>
      </c>
      <c r="E4035" s="5" t="s">
        <v>12108</v>
      </c>
      <c r="F4035" s="6" t="str">
        <f>IFERROR(__xludf.DUMMYFUNCTION("GOOGLETRANSLATE(D4035,""en"",""it"")"),"Mi piacciono i broccoli più della pancetta.")</f>
        <v>Mi piacciono i broccoli più della pancetta.</v>
      </c>
      <c r="G4035" s="6" t="str">
        <f>IFERROR(__xludf.DUMMYFUNCTION("GOOGLETRANSLATE(E4035,""fr"",""it"")"),"Adoro i broccoli più della pancetta.")</f>
        <v>Adoro i broccoli più della pancetta.</v>
      </c>
    </row>
    <row r="4036">
      <c r="A4036" s="4">
        <v>4034.0</v>
      </c>
      <c r="B4036" s="5" t="s">
        <v>12109</v>
      </c>
      <c r="C4036" s="4">
        <v>1.0</v>
      </c>
      <c r="D4036" s="5" t="s">
        <v>12110</v>
      </c>
      <c r="E4036" s="5" t="s">
        <v>12111</v>
      </c>
      <c r="F4036" s="6" t="str">
        <f>IFERROR(__xludf.DUMMYFUNCTION("GOOGLETRANSLATE(D4036,""en"",""it"")"),"Mi piace la pancetta più delle mele.")</f>
        <v>Mi piace la pancetta più delle mele.</v>
      </c>
      <c r="G4036" s="6" t="str">
        <f>IFERROR(__xludf.DUMMYFUNCTION("GOOGLETRANSLATE(E4036,""fr"",""it"")"),"Amo la pancetta più delle mele.")</f>
        <v>Amo la pancetta più delle mele.</v>
      </c>
    </row>
    <row r="4037">
      <c r="A4037" s="4">
        <v>4035.0</v>
      </c>
      <c r="B4037" s="5" t="s">
        <v>12112</v>
      </c>
      <c r="C4037" s="4">
        <v>1.0</v>
      </c>
      <c r="D4037" s="5" t="s">
        <v>12113</v>
      </c>
      <c r="E4037" s="5" t="s">
        <v>12114</v>
      </c>
      <c r="F4037" s="6" t="str">
        <f>IFERROR(__xludf.DUMMYFUNCTION("GOOGLETRANSLATE(D4037,""en"",""it"")"),"Mi piacciono le mele più della pancetta.")</f>
        <v>Mi piacciono le mele più della pancetta.</v>
      </c>
      <c r="G4037" s="6" t="str">
        <f>IFERROR(__xludf.DUMMYFUNCTION("GOOGLETRANSLATE(E4037,""fr"",""it"")"),"Amo le mele più della pancetta.")</f>
        <v>Amo le mele più della pancetta.</v>
      </c>
    </row>
    <row r="4038">
      <c r="A4038" s="4">
        <v>4036.0</v>
      </c>
      <c r="B4038" s="5" t="s">
        <v>12115</v>
      </c>
      <c r="C4038" s="4">
        <v>1.0</v>
      </c>
      <c r="D4038" s="5" t="s">
        <v>12116</v>
      </c>
      <c r="E4038" s="5" t="s">
        <v>12117</v>
      </c>
      <c r="F4038" s="6" t="str">
        <f>IFERROR(__xludf.DUMMYFUNCTION("GOOGLETRANSLATE(D4038,""en"",""it"")"),"Mi piace la pancetta più delle carote.")</f>
        <v>Mi piace la pancetta più delle carote.</v>
      </c>
      <c r="G4038" s="6" t="str">
        <f>IFERROR(__xludf.DUMMYFUNCTION("GOOGLETRANSLATE(E4038,""fr"",""it"")"),"Amo la pancetta più delle carote.")</f>
        <v>Amo la pancetta più delle carote.</v>
      </c>
    </row>
    <row r="4039">
      <c r="A4039" s="4">
        <v>4037.0</v>
      </c>
      <c r="B4039" s="5" t="s">
        <v>12118</v>
      </c>
      <c r="C4039" s="4">
        <v>1.0</v>
      </c>
      <c r="D4039" s="5" t="s">
        <v>12119</v>
      </c>
      <c r="E4039" s="5" t="s">
        <v>12120</v>
      </c>
      <c r="F4039" s="6" t="str">
        <f>IFERROR(__xludf.DUMMYFUNCTION("GOOGLETRANSLATE(D4039,""en"",""it"")"),"Mi piacciono le carote più della pancetta.")</f>
        <v>Mi piacciono le carote più della pancetta.</v>
      </c>
      <c r="G4039" s="6" t="str">
        <f>IFERROR(__xludf.DUMMYFUNCTION("GOOGLETRANSLATE(E4039,""fr"",""it"")"),"Mi piacciono le carote più della pancetta.")</f>
        <v>Mi piacciono le carote più della pancetta.</v>
      </c>
    </row>
    <row r="4040">
      <c r="A4040" s="4">
        <v>4038.0</v>
      </c>
      <c r="B4040" s="5" t="s">
        <v>12121</v>
      </c>
      <c r="C4040" s="4">
        <v>1.0</v>
      </c>
      <c r="D4040" s="5" t="s">
        <v>12122</v>
      </c>
      <c r="E4040" s="5" t="s">
        <v>12123</v>
      </c>
      <c r="F4040" s="6" t="str">
        <f>IFERROR(__xludf.DUMMYFUNCTION("GOOGLETRANSLATE(D4040,""en"",""it"")"),"Mi piace il lardo più del pesce.")</f>
        <v>Mi piace il lardo più del pesce.</v>
      </c>
      <c r="G4040" s="6" t="str">
        <f>IFERROR(__xludf.DUMMYFUNCTION("GOOGLETRANSLATE(E4040,""fr"",""it"")"),"Mi piace la pancetta più del pesce.")</f>
        <v>Mi piace la pancetta più del pesce.</v>
      </c>
    </row>
    <row r="4041">
      <c r="A4041" s="4">
        <v>4039.0</v>
      </c>
      <c r="B4041" s="5" t="s">
        <v>12124</v>
      </c>
      <c r="C4041" s="4">
        <v>1.0</v>
      </c>
      <c r="D4041" s="5" t="s">
        <v>12125</v>
      </c>
      <c r="E4041" s="5" t="s">
        <v>12126</v>
      </c>
      <c r="F4041" s="6" t="str">
        <f>IFERROR(__xludf.DUMMYFUNCTION("GOOGLETRANSLATE(D4041,""en"",""it"")"),"Mi piace il pesce più che lardo.")</f>
        <v>Mi piace il pesce più che lardo.</v>
      </c>
      <c r="G4041" s="6" t="str">
        <f>IFERROR(__xludf.DUMMYFUNCTION("GOOGLETRANSLATE(E4041,""fr"",""it"")"),"Mi piace il pesce più della pancetta.")</f>
        <v>Mi piace il pesce più della pancetta.</v>
      </c>
    </row>
    <row r="4042">
      <c r="A4042" s="4">
        <v>4040.0</v>
      </c>
      <c r="B4042" s="5" t="s">
        <v>12127</v>
      </c>
      <c r="C4042" s="4">
        <v>0.0</v>
      </c>
      <c r="D4042" s="5" t="s">
        <v>12128</v>
      </c>
      <c r="E4042" s="5" t="s">
        <v>12129</v>
      </c>
      <c r="F4042" s="6" t="str">
        <f>IFERROR(__xludf.DUMMYFUNCTION("GOOGLETRANSLATE(D4042,""en"",""it"")"),"Mi piace la lardo più del maiale.")</f>
        <v>Mi piace la lardo più del maiale.</v>
      </c>
      <c r="G4042" s="6" t="str">
        <f>IFERROR(__xludf.DUMMYFUNCTION("GOOGLETRANSLATE(E4042,""fr"",""it"")"),"Mi piace la pancetta più del maiale.")</f>
        <v>Mi piace la pancetta più del maiale.</v>
      </c>
    </row>
    <row r="4043">
      <c r="A4043" s="4">
        <v>4041.0</v>
      </c>
      <c r="B4043" s="5" t="s">
        <v>12130</v>
      </c>
      <c r="C4043" s="4">
        <v>0.0</v>
      </c>
      <c r="D4043" s="5" t="s">
        <v>12131</v>
      </c>
      <c r="E4043" s="5" t="s">
        <v>12132</v>
      </c>
      <c r="F4043" s="6" t="str">
        <f>IFERROR(__xludf.DUMMYFUNCTION("GOOGLETRANSLATE(D4043,""en"",""it"")"),"Mi piace il maiale più che lardo.")</f>
        <v>Mi piace il maiale più che lardo.</v>
      </c>
      <c r="G4043" s="6" t="str">
        <f>IFERROR(__xludf.DUMMYFUNCTION("GOOGLETRANSLATE(E4043,""fr"",""it"")"),"Mi piace il maiale più della pancetta.")</f>
        <v>Mi piace il maiale più della pancetta.</v>
      </c>
    </row>
    <row r="4044">
      <c r="A4044" s="4">
        <v>4042.0</v>
      </c>
      <c r="B4044" s="5" t="s">
        <v>12133</v>
      </c>
      <c r="C4044" s="4">
        <v>1.0</v>
      </c>
      <c r="D4044" s="5" t="s">
        <v>12134</v>
      </c>
      <c r="E4044" s="5" t="s">
        <v>12135</v>
      </c>
      <c r="F4044" s="6" t="str">
        <f>IFERROR(__xludf.DUMMYFUNCTION("GOOGLETRANSLATE(D4044,""en"",""it"")"),"Mi piace LARD più dei broccoli.")</f>
        <v>Mi piace LARD più dei broccoli.</v>
      </c>
      <c r="G4044" s="6" t="str">
        <f>IFERROR(__xludf.DUMMYFUNCTION("GOOGLETRANSLATE(E4044,""fr"",""it"")"),"Mi piace la pancetta più dei broccoli.")</f>
        <v>Mi piace la pancetta più dei broccoli.</v>
      </c>
    </row>
    <row r="4045">
      <c r="A4045" s="4">
        <v>4043.0</v>
      </c>
      <c r="B4045" s="5" t="s">
        <v>12136</v>
      </c>
      <c r="C4045" s="4">
        <v>1.0</v>
      </c>
      <c r="D4045" s="5" t="s">
        <v>12137</v>
      </c>
      <c r="E4045" s="5" t="s">
        <v>12138</v>
      </c>
      <c r="F4045" s="6" t="str">
        <f>IFERROR(__xludf.DUMMYFUNCTION("GOOGLETRANSLATE(D4045,""en"",""it"")"),"Mi piacciono i broccoli più del lardo.")</f>
        <v>Mi piacciono i broccoli più del lardo.</v>
      </c>
      <c r="G4045" s="6" t="str">
        <f>IFERROR(__xludf.DUMMYFUNCTION("GOOGLETRANSLATE(E4045,""fr"",""it"")"),"Adoro i broccoli più della pancetta.")</f>
        <v>Adoro i broccoli più della pancetta.</v>
      </c>
    </row>
    <row r="4046">
      <c r="A4046" s="4">
        <v>4044.0</v>
      </c>
      <c r="B4046" s="5" t="s">
        <v>12139</v>
      </c>
      <c r="C4046" s="4">
        <v>1.0</v>
      </c>
      <c r="D4046" s="5" t="s">
        <v>12140</v>
      </c>
      <c r="E4046" s="5" t="s">
        <v>12141</v>
      </c>
      <c r="F4046" s="6" t="str">
        <f>IFERROR(__xludf.DUMMYFUNCTION("GOOGLETRANSLATE(D4046,""en"",""it"")"),"Mi piace la lardo più delle mele.")</f>
        <v>Mi piace la lardo più delle mele.</v>
      </c>
      <c r="G4046" s="6" t="str">
        <f>IFERROR(__xludf.DUMMYFUNCTION("GOOGLETRANSLATE(E4046,""fr"",""it"")"),"Mi piace la pancetta più delle mele.")</f>
        <v>Mi piace la pancetta più delle mele.</v>
      </c>
    </row>
    <row r="4047">
      <c r="A4047" s="4">
        <v>4045.0</v>
      </c>
      <c r="B4047" s="5" t="s">
        <v>12142</v>
      </c>
      <c r="C4047" s="4">
        <v>1.0</v>
      </c>
      <c r="D4047" s="5" t="s">
        <v>12143</v>
      </c>
      <c r="E4047" s="5" t="s">
        <v>12144</v>
      </c>
      <c r="F4047" s="6" t="str">
        <f>IFERROR(__xludf.DUMMYFUNCTION("GOOGLETRANSLATE(D4047,""en"",""it"")"),"Mi piacciono le mele più del lardo.")</f>
        <v>Mi piacciono le mele più del lardo.</v>
      </c>
      <c r="G4047" s="6" t="str">
        <f>IFERROR(__xludf.DUMMYFUNCTION("GOOGLETRANSLATE(E4047,""fr"",""it"")"),"Amo le mele più della pancetta.")</f>
        <v>Amo le mele più della pancetta.</v>
      </c>
    </row>
    <row r="4048">
      <c r="A4048" s="4">
        <v>4046.0</v>
      </c>
      <c r="B4048" s="5" t="s">
        <v>12145</v>
      </c>
      <c r="C4048" s="4">
        <v>1.0</v>
      </c>
      <c r="D4048" s="5" t="s">
        <v>12146</v>
      </c>
      <c r="E4048" s="5" t="s">
        <v>12147</v>
      </c>
      <c r="F4048" s="6" t="str">
        <f>IFERROR(__xludf.DUMMYFUNCTION("GOOGLETRANSLATE(D4048,""en"",""it"")"),"Mi piace la lardo più delle carote.")</f>
        <v>Mi piace la lardo più delle carote.</v>
      </c>
      <c r="G4048" s="6" t="str">
        <f>IFERROR(__xludf.DUMMYFUNCTION("GOOGLETRANSLATE(E4048,""fr"",""it"")"),"Mi piace la pancetta più delle carote.")</f>
        <v>Mi piace la pancetta più delle carote.</v>
      </c>
    </row>
    <row r="4049">
      <c r="A4049" s="4">
        <v>4047.0</v>
      </c>
      <c r="B4049" s="5" t="s">
        <v>12148</v>
      </c>
      <c r="C4049" s="4">
        <v>1.0</v>
      </c>
      <c r="D4049" s="5" t="s">
        <v>12149</v>
      </c>
      <c r="E4049" s="5" t="s">
        <v>12150</v>
      </c>
      <c r="F4049" s="6" t="str">
        <f>IFERROR(__xludf.DUMMYFUNCTION("GOOGLETRANSLATE(D4049,""en"",""it"")"),"Mi piacciono le carote più che un lardo.")</f>
        <v>Mi piacciono le carote più che un lardo.</v>
      </c>
      <c r="G4049" s="6" t="str">
        <f>IFERROR(__xludf.DUMMYFUNCTION("GOOGLETRANSLATE(E4049,""fr"",""it"")"),"Mi piacciono le carote più della pancetta.")</f>
        <v>Mi piacciono le carote più della pancetta.</v>
      </c>
    </row>
    <row r="4050">
      <c r="A4050" s="4">
        <v>4048.0</v>
      </c>
      <c r="B4050" s="5" t="s">
        <v>12151</v>
      </c>
      <c r="C4050" s="4">
        <v>0.0</v>
      </c>
      <c r="D4050" s="5" t="s">
        <v>12152</v>
      </c>
      <c r="E4050" s="5" t="s">
        <v>12153</v>
      </c>
      <c r="F4050" s="6" t="str">
        <f>IFERROR(__xludf.DUMMYFUNCTION("GOOGLETRANSLATE(D4050,""en"",""it"")"),"Mi piacciono gli orecchini, tranne le borse.")</f>
        <v>Mi piacciono gli orecchini, tranne le borse.</v>
      </c>
      <c r="G4050" s="6" t="str">
        <f>IFERROR(__xludf.DUMMYFUNCTION("GOOGLETRANSLATE(E4050,""fr"",""it"")"),"Mi piacciono gli orecchini, tranne le borse.")</f>
        <v>Mi piacciono gli orecchini, tranne le borse.</v>
      </c>
    </row>
    <row r="4051">
      <c r="A4051" s="4">
        <v>4049.0</v>
      </c>
      <c r="B4051" s="5" t="s">
        <v>12154</v>
      </c>
      <c r="C4051" s="4">
        <v>0.0</v>
      </c>
      <c r="D4051" s="5" t="s">
        <v>12155</v>
      </c>
      <c r="E4051" s="5" t="s">
        <v>12156</v>
      </c>
      <c r="F4051" s="6" t="str">
        <f>IFERROR(__xludf.DUMMYFUNCTION("GOOGLETRANSLATE(D4051,""en"",""it"")"),"Mi piacciono le borse, tranne gli orecchini.")</f>
        <v>Mi piacciono le borse, tranne gli orecchini.</v>
      </c>
      <c r="G4051" s="6" t="str">
        <f>IFERROR(__xludf.DUMMYFUNCTION("GOOGLETRANSLATE(E4051,""fr"",""it"")"),"Mi piacciono le borse tranne gli orecchini.")</f>
        <v>Mi piacciono le borse tranne gli orecchini.</v>
      </c>
    </row>
    <row r="4052">
      <c r="A4052" s="4">
        <v>4050.0</v>
      </c>
      <c r="B4052" s="5" t="s">
        <v>12157</v>
      </c>
      <c r="C4052" s="4">
        <v>0.0</v>
      </c>
      <c r="D4052" s="5" t="s">
        <v>12158</v>
      </c>
      <c r="E4052" s="5" t="s">
        <v>12159</v>
      </c>
      <c r="F4052" s="6" t="str">
        <f>IFERROR(__xludf.DUMMYFUNCTION("GOOGLETRANSLATE(D4052,""en"",""it"")"),"Mi piacciono gli orecchini, tranne i gioielli.")</f>
        <v>Mi piacciono gli orecchini, tranne i gioielli.</v>
      </c>
      <c r="G4052" s="6" t="str">
        <f>IFERROR(__xludf.DUMMYFUNCTION("GOOGLETRANSLATE(E4052,""fr"",""it"")"),"Mi piacciono gli orecchini, tranne i gioielli.")</f>
        <v>Mi piacciono gli orecchini, tranne i gioielli.</v>
      </c>
    </row>
    <row r="4053">
      <c r="A4053" s="4">
        <v>4051.0</v>
      </c>
      <c r="B4053" s="5" t="s">
        <v>12160</v>
      </c>
      <c r="C4053" s="4">
        <v>1.0</v>
      </c>
      <c r="D4053" s="5" t="s">
        <v>12161</v>
      </c>
      <c r="E4053" s="5" t="s">
        <v>12162</v>
      </c>
      <c r="F4053" s="6" t="str">
        <f>IFERROR(__xludf.DUMMYFUNCTION("GOOGLETRANSLATE(D4053,""en"",""it"")"),"Mi piacciono i gioielli, tranne gli orecchini.")</f>
        <v>Mi piacciono i gioielli, tranne gli orecchini.</v>
      </c>
      <c r="G4053" s="6" t="str">
        <f>IFERROR(__xludf.DUMMYFUNCTION("GOOGLETRANSLATE(E4053,""fr"",""it"")"),"Mi piacciono i gioielli, tranne gli orecchini.")</f>
        <v>Mi piacciono i gioielli, tranne gli orecchini.</v>
      </c>
    </row>
    <row r="4054">
      <c r="A4054" s="4">
        <v>4052.0</v>
      </c>
      <c r="B4054" s="5" t="s">
        <v>12163</v>
      </c>
      <c r="C4054" s="4">
        <v>0.0</v>
      </c>
      <c r="D4054" s="5" t="s">
        <v>12164</v>
      </c>
      <c r="E4054" s="5" t="s">
        <v>12165</v>
      </c>
      <c r="F4054" s="6" t="str">
        <f>IFERROR(__xludf.DUMMYFUNCTION("GOOGLETRANSLATE(D4054,""en"",""it"")"),"Mi piacciono gli orecchini, ad eccezione delle sciarpe.")</f>
        <v>Mi piacciono gli orecchini, ad eccezione delle sciarpe.</v>
      </c>
      <c r="G4054" s="6" t="str">
        <f>IFERROR(__xludf.DUMMYFUNCTION("GOOGLETRANSLATE(E4054,""fr"",""it"")"),"Mi piacciono gli orecchini, tranne sciarpe.")</f>
        <v>Mi piacciono gli orecchini, tranne sciarpe.</v>
      </c>
    </row>
    <row r="4055">
      <c r="A4055" s="4">
        <v>4053.0</v>
      </c>
      <c r="B4055" s="5" t="s">
        <v>12166</v>
      </c>
      <c r="C4055" s="4">
        <v>0.0</v>
      </c>
      <c r="D4055" s="5" t="s">
        <v>12167</v>
      </c>
      <c r="E4055" s="5" t="s">
        <v>12168</v>
      </c>
      <c r="F4055" s="6" t="str">
        <f>IFERROR(__xludf.DUMMYFUNCTION("GOOGLETRANSLATE(D4055,""en"",""it"")"),"Mi piacciono le sciarpe, tranne gli orecchini.")</f>
        <v>Mi piacciono le sciarpe, tranne gli orecchini.</v>
      </c>
      <c r="G4055" s="6" t="str">
        <f>IFERROR(__xludf.DUMMYFUNCTION("GOOGLETRANSLATE(E4055,""fr"",""it"")"),"Adoro sciarpe tranne gli orecchini.")</f>
        <v>Adoro sciarpe tranne gli orecchini.</v>
      </c>
    </row>
    <row r="4056">
      <c r="A4056" s="4">
        <v>4054.0</v>
      </c>
      <c r="B4056" s="5" t="s">
        <v>12169</v>
      </c>
      <c r="C4056" s="4">
        <v>0.0</v>
      </c>
      <c r="D4056" s="5" t="s">
        <v>12170</v>
      </c>
      <c r="E4056" s="5" t="s">
        <v>12171</v>
      </c>
      <c r="F4056" s="6" t="str">
        <f>IFERROR(__xludf.DUMMYFUNCTION("GOOGLETRANSLATE(D4056,""en"",""it"")"),"Mi piacciono gli orecchini, tranne gli occhiali.")</f>
        <v>Mi piacciono gli orecchini, tranne gli occhiali.</v>
      </c>
      <c r="G4056" s="6" t="str">
        <f>IFERROR(__xludf.DUMMYFUNCTION("GOOGLETRANSLATE(E4056,""fr"",""it"")"),"Mi piacciono gli orecchini, tranne gli occhiali.")</f>
        <v>Mi piacciono gli orecchini, tranne gli occhiali.</v>
      </c>
    </row>
    <row r="4057">
      <c r="A4057" s="4">
        <v>4055.0</v>
      </c>
      <c r="B4057" s="5" t="s">
        <v>12172</v>
      </c>
      <c r="C4057" s="4">
        <v>0.0</v>
      </c>
      <c r="D4057" s="5" t="s">
        <v>12173</v>
      </c>
      <c r="E4057" s="5" t="s">
        <v>12174</v>
      </c>
      <c r="F4057" s="6" t="str">
        <f>IFERROR(__xludf.DUMMYFUNCTION("GOOGLETRANSLATE(D4057,""en"",""it"")"),"Mi piacciono gli occhiali, tranne gli orecchini.")</f>
        <v>Mi piacciono gli occhiali, tranne gli orecchini.</v>
      </c>
      <c r="G4057" s="6" t="str">
        <f>IFERROR(__xludf.DUMMYFUNCTION("GOOGLETRANSLATE(E4057,""fr"",""it"")"),"Amo gli occhiali tranne gli orecchini.")</f>
        <v>Amo gli occhiali tranne gli orecchini.</v>
      </c>
    </row>
    <row r="4058">
      <c r="A4058" s="4">
        <v>4056.0</v>
      </c>
      <c r="B4058" s="5" t="s">
        <v>12175</v>
      </c>
      <c r="C4058" s="4">
        <v>0.0</v>
      </c>
      <c r="D4058" s="5" t="s">
        <v>12176</v>
      </c>
      <c r="E4058" s="5" t="s">
        <v>12177</v>
      </c>
      <c r="F4058" s="6" t="str">
        <f>IFERROR(__xludf.DUMMYFUNCTION("GOOGLETRANSLATE(D4058,""en"",""it"")"),"Mi piacciono gli orecchini, tranne le scarpe.")</f>
        <v>Mi piacciono gli orecchini, tranne le scarpe.</v>
      </c>
      <c r="G4058" s="6" t="str">
        <f>IFERROR(__xludf.DUMMYFUNCTION("GOOGLETRANSLATE(E4058,""fr"",""it"")"),"Mi piacciono gli orecchini, tranne le scarpe.")</f>
        <v>Mi piacciono gli orecchini, tranne le scarpe.</v>
      </c>
    </row>
    <row r="4059">
      <c r="A4059" s="4">
        <v>4057.0</v>
      </c>
      <c r="B4059" s="5" t="s">
        <v>12178</v>
      </c>
      <c r="C4059" s="4">
        <v>0.0</v>
      </c>
      <c r="D4059" s="5" t="s">
        <v>12179</v>
      </c>
      <c r="E4059" s="5" t="s">
        <v>12180</v>
      </c>
      <c r="F4059" s="6" t="str">
        <f>IFERROR(__xludf.DUMMYFUNCTION("GOOGLETRANSLATE(D4059,""en"",""it"")"),"Mi piacciono le scarpe, tranne gli orecchini.")</f>
        <v>Mi piacciono le scarpe, tranne gli orecchini.</v>
      </c>
      <c r="G4059" s="6" t="str">
        <f>IFERROR(__xludf.DUMMYFUNCTION("GOOGLETRANSLATE(E4059,""fr"",""it"")"),"Adoro le scarpe tranne gli orecchini.")</f>
        <v>Adoro le scarpe tranne gli orecchini.</v>
      </c>
    </row>
    <row r="4060">
      <c r="A4060" s="4">
        <v>4058.0</v>
      </c>
      <c r="B4060" s="5" t="s">
        <v>12181</v>
      </c>
      <c r="C4060" s="4">
        <v>1.0</v>
      </c>
      <c r="D4060" s="5" t="s">
        <v>12182</v>
      </c>
      <c r="E4060" s="5" t="s">
        <v>12183</v>
      </c>
      <c r="F4060" s="6" t="str">
        <f>IFERROR(__xludf.DUMMYFUNCTION("GOOGLETRANSLATE(D4060,""en"",""it"")"),"Mi piace il salmone più del pollo.")</f>
        <v>Mi piace il salmone più del pollo.</v>
      </c>
      <c r="G4060" s="6" t="str">
        <f>IFERROR(__xludf.DUMMYFUNCTION("GOOGLETRANSLATE(E4060,""fr"",""it"")"),"Amo il salmone più del pollo.")</f>
        <v>Amo il salmone più del pollo.</v>
      </c>
    </row>
    <row r="4061">
      <c r="A4061" s="4">
        <v>4059.0</v>
      </c>
      <c r="B4061" s="5" t="s">
        <v>12184</v>
      </c>
      <c r="C4061" s="4">
        <v>1.0</v>
      </c>
      <c r="D4061" s="5" t="s">
        <v>12185</v>
      </c>
      <c r="E4061" s="5" t="s">
        <v>12186</v>
      </c>
      <c r="F4061" s="6" t="str">
        <f>IFERROR(__xludf.DUMMYFUNCTION("GOOGLETRANSLATE(D4061,""en"",""it"")"),"Mi piace il pollo più del salmone.")</f>
        <v>Mi piace il pollo più del salmone.</v>
      </c>
      <c r="G4061" s="6" t="str">
        <f>IFERROR(__xludf.DUMMYFUNCTION("GOOGLETRANSLATE(E4061,""fr"",""it"")"),"Amo il pollo più del salmone.")</f>
        <v>Amo il pollo più del salmone.</v>
      </c>
    </row>
    <row r="4062">
      <c r="A4062" s="4">
        <v>4060.0</v>
      </c>
      <c r="B4062" s="5" t="s">
        <v>12187</v>
      </c>
      <c r="C4062" s="4">
        <v>0.0</v>
      </c>
      <c r="D4062" s="5" t="s">
        <v>12188</v>
      </c>
      <c r="E4062" s="5" t="s">
        <v>12189</v>
      </c>
      <c r="F4062" s="6" t="str">
        <f>IFERROR(__xludf.DUMMYFUNCTION("GOOGLETRANSLATE(D4062,""en"",""it"")"),"Mi piace il salmone più del pesce.")</f>
        <v>Mi piace il salmone più del pesce.</v>
      </c>
      <c r="G4062" s="6" t="str">
        <f>IFERROR(__xludf.DUMMYFUNCTION("GOOGLETRANSLATE(E4062,""fr"",""it"")"),"Amo il salmone più dei prodotti del mare.")</f>
        <v>Amo il salmone più dei prodotti del mare.</v>
      </c>
    </row>
    <row r="4063">
      <c r="A4063" s="4">
        <v>4061.0</v>
      </c>
      <c r="B4063" s="5" t="s">
        <v>12190</v>
      </c>
      <c r="C4063" s="4">
        <v>0.0</v>
      </c>
      <c r="D4063" s="5" t="s">
        <v>12191</v>
      </c>
      <c r="E4063" s="5" t="s">
        <v>12192</v>
      </c>
      <c r="F4063" s="6" t="str">
        <f>IFERROR(__xludf.DUMMYFUNCTION("GOOGLETRANSLATE(D4063,""en"",""it"")"),"Mi piacciono i frutti di mare più del salmone.")</f>
        <v>Mi piacciono i frutti di mare più del salmone.</v>
      </c>
      <c r="G4063" s="6" t="str">
        <f>IFERROR(__xludf.DUMMYFUNCTION("GOOGLETRANSLATE(E4063,""fr"",""it"")"),"Mi piace il pesce più del salmone.")</f>
        <v>Mi piace il pesce più del salmone.</v>
      </c>
    </row>
    <row r="4064">
      <c r="A4064" s="4">
        <v>4062.0</v>
      </c>
      <c r="B4064" s="5" t="s">
        <v>12193</v>
      </c>
      <c r="C4064" s="4">
        <v>1.0</v>
      </c>
      <c r="D4064" s="5" t="s">
        <v>12194</v>
      </c>
      <c r="E4064" s="5" t="s">
        <v>12195</v>
      </c>
      <c r="F4064" s="6" t="str">
        <f>IFERROR(__xludf.DUMMYFUNCTION("GOOGLETRANSLATE(D4064,""en"",""it"")"),"Mi piacciono i frutti di mare più del pollo.")</f>
        <v>Mi piacciono i frutti di mare più del pollo.</v>
      </c>
      <c r="G4064" s="6" t="str">
        <f>IFERROR(__xludf.DUMMYFUNCTION("GOOGLETRANSLATE(E4064,""fr"",""it"")"),"Mi piacciono i prodotti del mare più del pollo.")</f>
        <v>Mi piacciono i prodotti del mare più del pollo.</v>
      </c>
    </row>
    <row r="4065">
      <c r="A4065" s="4">
        <v>4063.0</v>
      </c>
      <c r="B4065" s="5" t="s">
        <v>12196</v>
      </c>
      <c r="C4065" s="4">
        <v>1.0</v>
      </c>
      <c r="D4065" s="5" t="s">
        <v>12197</v>
      </c>
      <c r="E4065" s="5" t="s">
        <v>12198</v>
      </c>
      <c r="F4065" s="6" t="str">
        <f>IFERROR(__xludf.DUMMYFUNCTION("GOOGLETRANSLATE(D4065,""en"",""it"")"),"Mi piace il salmone più del vitello.")</f>
        <v>Mi piace il salmone più del vitello.</v>
      </c>
      <c r="G4065" s="6" t="str">
        <f>IFERROR(__xludf.DUMMYFUNCTION("GOOGLETRANSLATE(E4065,""fr"",""it"")"),"Amo il salmone più del vitello.")</f>
        <v>Amo il salmone più del vitello.</v>
      </c>
    </row>
    <row r="4066">
      <c r="A4066" s="4">
        <v>4064.0</v>
      </c>
      <c r="B4066" s="5" t="s">
        <v>12199</v>
      </c>
      <c r="C4066" s="4">
        <v>1.0</v>
      </c>
      <c r="D4066" s="5" t="s">
        <v>12200</v>
      </c>
      <c r="E4066" s="5" t="s">
        <v>12201</v>
      </c>
      <c r="F4066" s="6" t="str">
        <f>IFERROR(__xludf.DUMMYFUNCTION("GOOGLETRANSLATE(D4066,""en"",""it"")"),"Mi piace il vitello più del salmone.")</f>
        <v>Mi piace il vitello più del salmone.</v>
      </c>
      <c r="G4066" s="6" t="str">
        <f>IFERROR(__xludf.DUMMYFUNCTION("GOOGLETRANSLATE(E4066,""fr"",""it"")"),"Adoro il polpaccio più del salmone.")</f>
        <v>Adoro il polpaccio più del salmone.</v>
      </c>
    </row>
    <row r="4067">
      <c r="A4067" s="4">
        <v>4065.0</v>
      </c>
      <c r="B4067" s="5" t="s">
        <v>12202</v>
      </c>
      <c r="C4067" s="4">
        <v>1.0</v>
      </c>
      <c r="D4067" s="5" t="s">
        <v>12203</v>
      </c>
      <c r="E4067" s="5" t="s">
        <v>12204</v>
      </c>
      <c r="F4067" s="6" t="str">
        <f>IFERROR(__xludf.DUMMYFUNCTION("GOOGLETRANSLATE(D4067,""en"",""it"")"),"Mi piacciono i frutti di mare più del vitello.")</f>
        <v>Mi piacciono i frutti di mare più del vitello.</v>
      </c>
      <c r="G4067" s="6" t="str">
        <f>IFERROR(__xludf.DUMMYFUNCTION("GOOGLETRANSLATE(E4067,""fr"",""it"")"),"Mi piacciono i prodotti del mare più del vitello.")</f>
        <v>Mi piacciono i prodotti del mare più del vitello.</v>
      </c>
    </row>
    <row r="4068">
      <c r="A4068" s="4">
        <v>4066.0</v>
      </c>
      <c r="B4068" s="5" t="s">
        <v>12205</v>
      </c>
      <c r="C4068" s="4">
        <v>1.0</v>
      </c>
      <c r="D4068" s="5" t="s">
        <v>12206</v>
      </c>
      <c r="E4068" s="5" t="s">
        <v>12207</v>
      </c>
      <c r="F4068" s="6" t="str">
        <f>IFERROR(__xludf.DUMMYFUNCTION("GOOGLETRANSLATE(D4068,""en"",""it"")"),"Mi piace il salmone più della Turchia.")</f>
        <v>Mi piace il salmone più della Turchia.</v>
      </c>
      <c r="G4068" s="6" t="str">
        <f>IFERROR(__xludf.DUMMYFUNCTION("GOOGLETRANSLATE(E4068,""fr"",""it"")"),"Amo il salmone più della Turchia.")</f>
        <v>Amo il salmone più della Turchia.</v>
      </c>
    </row>
    <row r="4069">
      <c r="A4069" s="4">
        <v>4067.0</v>
      </c>
      <c r="B4069" s="5" t="s">
        <v>12208</v>
      </c>
      <c r="C4069" s="4">
        <v>1.0</v>
      </c>
      <c r="D4069" s="5" t="s">
        <v>12209</v>
      </c>
      <c r="E4069" s="5" t="s">
        <v>12210</v>
      </c>
      <c r="F4069" s="6" t="str">
        <f>IFERROR(__xludf.DUMMYFUNCTION("GOOGLETRANSLATE(D4069,""en"",""it"")"),"Mi piace la Turchia più del salmone.")</f>
        <v>Mi piace la Turchia più del salmone.</v>
      </c>
      <c r="G4069" s="6" t="str">
        <f>IFERROR(__xludf.DUMMYFUNCTION("GOOGLETRANSLATE(E4069,""fr"",""it"")"),"Amo la Turchia più del salmone.")</f>
        <v>Amo la Turchia più del salmone.</v>
      </c>
    </row>
    <row r="4070">
      <c r="A4070" s="4">
        <v>4068.0</v>
      </c>
      <c r="B4070" s="5" t="s">
        <v>12211</v>
      </c>
      <c r="C4070" s="4">
        <v>1.0</v>
      </c>
      <c r="D4070" s="5" t="s">
        <v>12212</v>
      </c>
      <c r="E4070" s="5" t="s">
        <v>12213</v>
      </c>
      <c r="F4070" s="6" t="str">
        <f>IFERROR(__xludf.DUMMYFUNCTION("GOOGLETRANSLATE(D4070,""en"",""it"")"),"Mi piacciono i frutti di mare più della Turchia.")</f>
        <v>Mi piacciono i frutti di mare più della Turchia.</v>
      </c>
      <c r="G4070" s="6" t="str">
        <f>IFERROR(__xludf.DUMMYFUNCTION("GOOGLETRANSLATE(E4070,""fr"",""it"")"),"Mi piacciono i prodotti del mare più che la Turchia.")</f>
        <v>Mi piacciono i prodotti del mare più che la Turchia.</v>
      </c>
    </row>
    <row r="4071">
      <c r="A4071" s="4">
        <v>4069.0</v>
      </c>
      <c r="B4071" s="5" t="s">
        <v>12214</v>
      </c>
      <c r="C4071" s="4">
        <v>1.0</v>
      </c>
      <c r="D4071" s="5" t="s">
        <v>12215</v>
      </c>
      <c r="E4071" s="5" t="s">
        <v>12216</v>
      </c>
      <c r="F4071" s="6" t="str">
        <f>IFERROR(__xludf.DUMMYFUNCTION("GOOGLETRANSLATE(D4071,""en"",""it"")"),"Mi piace il salmone più del manzo.")</f>
        <v>Mi piace il salmone più del manzo.</v>
      </c>
      <c r="G4071" s="6" t="str">
        <f>IFERROR(__xludf.DUMMYFUNCTION("GOOGLETRANSLATE(E4071,""fr"",""it"")"),"Amo il salmone più del manzo.")</f>
        <v>Amo il salmone più del manzo.</v>
      </c>
    </row>
    <row r="4072">
      <c r="A4072" s="4">
        <v>4070.0</v>
      </c>
      <c r="B4072" s="5" t="s">
        <v>12217</v>
      </c>
      <c r="C4072" s="4">
        <v>1.0</v>
      </c>
      <c r="D4072" s="5" t="s">
        <v>12218</v>
      </c>
      <c r="E4072" s="5" t="s">
        <v>12219</v>
      </c>
      <c r="F4072" s="6" t="str">
        <f>IFERROR(__xludf.DUMMYFUNCTION("GOOGLETRANSLATE(D4072,""en"",""it"")"),"Mi piace il manzo più del salmone.")</f>
        <v>Mi piace il manzo più del salmone.</v>
      </c>
      <c r="G4072" s="6" t="str">
        <f>IFERROR(__xludf.DUMMYFUNCTION("GOOGLETRANSLATE(E4072,""fr"",""it"")"),"Amo il manzo più del salmone.")</f>
        <v>Amo il manzo più del salmone.</v>
      </c>
    </row>
    <row r="4073">
      <c r="A4073" s="4">
        <v>4071.0</v>
      </c>
      <c r="B4073" s="5" t="s">
        <v>12220</v>
      </c>
      <c r="C4073" s="4">
        <v>1.0</v>
      </c>
      <c r="D4073" s="5" t="s">
        <v>12221</v>
      </c>
      <c r="E4073" s="5" t="s">
        <v>12222</v>
      </c>
      <c r="F4073" s="6" t="str">
        <f>IFERROR(__xludf.DUMMYFUNCTION("GOOGLETRANSLATE(D4073,""en"",""it"")"),"Mi piacciono i frutti di mare più del manzo.")</f>
        <v>Mi piacciono i frutti di mare più del manzo.</v>
      </c>
      <c r="G4073" s="6" t="str">
        <f>IFERROR(__xludf.DUMMYFUNCTION("GOOGLETRANSLATE(E4073,""fr"",""it"")"),"Mi piacciono i prodotti del mare più del manzo.")</f>
        <v>Mi piacciono i prodotti del mare più del manzo.</v>
      </c>
    </row>
    <row r="4074">
      <c r="A4074" s="4">
        <v>4072.0</v>
      </c>
      <c r="B4074" s="5" t="s">
        <v>12223</v>
      </c>
      <c r="C4074" s="4">
        <v>1.0</v>
      </c>
      <c r="D4074" s="5" t="s">
        <v>12224</v>
      </c>
      <c r="E4074" s="5" t="s">
        <v>12225</v>
      </c>
      <c r="F4074" s="6" t="str">
        <f>IFERROR(__xludf.DUMMYFUNCTION("GOOGLETRANSLATE(D4074,""en"",""it"")"),"Mi piacciono i granchi più del pollo.")</f>
        <v>Mi piacciono i granchi più del pollo.</v>
      </c>
      <c r="G4074" s="6" t="str">
        <f>IFERROR(__xludf.DUMMYFUNCTION("GOOGLETRANSLATE(E4074,""fr"",""it"")"),"Mi piacciono i granchi più del pollo.")</f>
        <v>Mi piacciono i granchi più del pollo.</v>
      </c>
    </row>
    <row r="4075">
      <c r="A4075" s="4">
        <v>4073.0</v>
      </c>
      <c r="B4075" s="5" t="s">
        <v>12226</v>
      </c>
      <c r="C4075" s="4">
        <v>1.0</v>
      </c>
      <c r="D4075" s="5" t="s">
        <v>12227</v>
      </c>
      <c r="E4075" s="5" t="s">
        <v>12228</v>
      </c>
      <c r="F4075" s="6" t="str">
        <f>IFERROR(__xludf.DUMMYFUNCTION("GOOGLETRANSLATE(D4075,""en"",""it"")"),"Mi piace il pollo più dei granchi.")</f>
        <v>Mi piace il pollo più dei granchi.</v>
      </c>
      <c r="G4075" s="6" t="str">
        <f>IFERROR(__xludf.DUMMYFUNCTION("GOOGLETRANSLATE(E4075,""fr"",""it"")"),"Amo il pollo più dei granchi.")</f>
        <v>Amo il pollo più dei granchi.</v>
      </c>
    </row>
    <row r="4076">
      <c r="A4076" s="4">
        <v>4074.0</v>
      </c>
      <c r="B4076" s="5" t="s">
        <v>12229</v>
      </c>
      <c r="C4076" s="4">
        <v>0.0</v>
      </c>
      <c r="D4076" s="5" t="s">
        <v>12230</v>
      </c>
      <c r="E4076" s="5" t="s">
        <v>12231</v>
      </c>
      <c r="F4076" s="6" t="str">
        <f>IFERROR(__xludf.DUMMYFUNCTION("GOOGLETRANSLATE(D4076,""en"",""it"")"),"Mi piacciono i granchi più dei frutti di mare.")</f>
        <v>Mi piacciono i granchi più dei frutti di mare.</v>
      </c>
      <c r="G4076" s="6" t="str">
        <f>IFERROR(__xludf.DUMMYFUNCTION("GOOGLETRANSLATE(E4076,""fr"",""it"")"),"Mi piacciono i granchi più dei prodotti del mare.")</f>
        <v>Mi piacciono i granchi più dei prodotti del mare.</v>
      </c>
    </row>
    <row r="4077">
      <c r="A4077" s="4">
        <v>4075.0</v>
      </c>
      <c r="B4077" s="5" t="s">
        <v>12232</v>
      </c>
      <c r="C4077" s="4">
        <v>0.0</v>
      </c>
      <c r="D4077" s="5" t="s">
        <v>12233</v>
      </c>
      <c r="E4077" s="5" t="s">
        <v>12234</v>
      </c>
      <c r="F4077" s="6" t="str">
        <f>IFERROR(__xludf.DUMMYFUNCTION("GOOGLETRANSLATE(D4077,""en"",""it"")"),"Mi piacciono i frutti di mare più dei granchi.")</f>
        <v>Mi piacciono i frutti di mare più dei granchi.</v>
      </c>
      <c r="G4077" s="6" t="str">
        <f>IFERROR(__xludf.DUMMYFUNCTION("GOOGLETRANSLATE(E4077,""fr"",""it"")"),"Adoro i prodotti del mare più dei granchi.")</f>
        <v>Adoro i prodotti del mare più dei granchi.</v>
      </c>
    </row>
    <row r="4078">
      <c r="A4078" s="4">
        <v>4076.0</v>
      </c>
      <c r="B4078" s="5" t="s">
        <v>12235</v>
      </c>
      <c r="C4078" s="4">
        <v>1.0</v>
      </c>
      <c r="D4078" s="5" t="s">
        <v>12236</v>
      </c>
      <c r="E4078" s="5" t="s">
        <v>12237</v>
      </c>
      <c r="F4078" s="6" t="str">
        <f>IFERROR(__xludf.DUMMYFUNCTION("GOOGLETRANSLATE(D4078,""en"",""it"")"),"Mi piacciono i granchi più del vitello.")</f>
        <v>Mi piacciono i granchi più del vitello.</v>
      </c>
      <c r="G4078" s="6" t="str">
        <f>IFERROR(__xludf.DUMMYFUNCTION("GOOGLETRANSLATE(E4078,""fr"",""it"")"),"Mi piacciono i granchi più del vitello.")</f>
        <v>Mi piacciono i granchi più del vitello.</v>
      </c>
    </row>
    <row r="4079">
      <c r="A4079" s="4">
        <v>4077.0</v>
      </c>
      <c r="B4079" s="5" t="s">
        <v>12238</v>
      </c>
      <c r="C4079" s="4">
        <v>1.0</v>
      </c>
      <c r="D4079" s="5" t="s">
        <v>12239</v>
      </c>
      <c r="E4079" s="5" t="s">
        <v>12240</v>
      </c>
      <c r="F4079" s="6" t="str">
        <f>IFERROR(__xludf.DUMMYFUNCTION("GOOGLETRANSLATE(D4079,""en"",""it"")"),"Mi piace il vitello più dei granchi.")</f>
        <v>Mi piace il vitello più dei granchi.</v>
      </c>
      <c r="G4079" s="6" t="str">
        <f>IFERROR(__xludf.DUMMYFUNCTION("GOOGLETRANSLATE(E4079,""fr"",""it"")"),"Adoro il polpaccio più dei granchi.")</f>
        <v>Adoro il polpaccio più dei granchi.</v>
      </c>
    </row>
    <row r="4080">
      <c r="A4080" s="4">
        <v>4078.0</v>
      </c>
      <c r="B4080" s="5" t="s">
        <v>12241</v>
      </c>
      <c r="C4080" s="4">
        <v>1.0</v>
      </c>
      <c r="D4080" s="5" t="s">
        <v>12242</v>
      </c>
      <c r="E4080" s="5" t="s">
        <v>12243</v>
      </c>
      <c r="F4080" s="6" t="str">
        <f>IFERROR(__xludf.DUMMYFUNCTION("GOOGLETRANSLATE(D4080,""en"",""it"")"),"Mi piacciono i granchi più della Turchia.")</f>
        <v>Mi piacciono i granchi più della Turchia.</v>
      </c>
      <c r="G4080" s="6" t="str">
        <f>IFERROR(__xludf.DUMMYFUNCTION("GOOGLETRANSLATE(E4080,""fr"",""it"")"),"Mi piacciono i granchi più della Turchia.")</f>
        <v>Mi piacciono i granchi più della Turchia.</v>
      </c>
    </row>
    <row r="4081">
      <c r="A4081" s="4">
        <v>4079.0</v>
      </c>
      <c r="B4081" s="5" t="s">
        <v>12244</v>
      </c>
      <c r="C4081" s="4">
        <v>1.0</v>
      </c>
      <c r="D4081" s="5" t="s">
        <v>12245</v>
      </c>
      <c r="E4081" s="5" t="s">
        <v>12246</v>
      </c>
      <c r="F4081" s="6" t="str">
        <f>IFERROR(__xludf.DUMMYFUNCTION("GOOGLETRANSLATE(D4081,""en"",""it"")"),"Mi piace la tacchino più dei granchi.")</f>
        <v>Mi piace la tacchino più dei granchi.</v>
      </c>
      <c r="G4081" s="6" t="str">
        <f>IFERROR(__xludf.DUMMYFUNCTION("GOOGLETRANSLATE(E4081,""fr"",""it"")"),"Amo la Turchia più dei granchi.")</f>
        <v>Amo la Turchia più dei granchi.</v>
      </c>
    </row>
    <row r="4082">
      <c r="A4082" s="4">
        <v>4080.0</v>
      </c>
      <c r="B4082" s="5" t="s">
        <v>12247</v>
      </c>
      <c r="C4082" s="4">
        <v>1.0</v>
      </c>
      <c r="D4082" s="5" t="s">
        <v>12248</v>
      </c>
      <c r="E4082" s="5" t="s">
        <v>12249</v>
      </c>
      <c r="F4082" s="6" t="str">
        <f>IFERROR(__xludf.DUMMYFUNCTION("GOOGLETRANSLATE(D4082,""en"",""it"")"),"Mi piacciono i granchi più del manzo.")</f>
        <v>Mi piacciono i granchi più del manzo.</v>
      </c>
      <c r="G4082" s="6" t="str">
        <f>IFERROR(__xludf.DUMMYFUNCTION("GOOGLETRANSLATE(E4082,""fr"",""it"")"),"Mi piacciono i granchi più del manzo.")</f>
        <v>Mi piacciono i granchi più del manzo.</v>
      </c>
    </row>
    <row r="4083">
      <c r="A4083" s="4">
        <v>4081.0</v>
      </c>
      <c r="B4083" s="5" t="s">
        <v>12250</v>
      </c>
      <c r="C4083" s="4">
        <v>1.0</v>
      </c>
      <c r="D4083" s="5" t="s">
        <v>12251</v>
      </c>
      <c r="E4083" s="5" t="s">
        <v>12252</v>
      </c>
      <c r="F4083" s="6" t="str">
        <f>IFERROR(__xludf.DUMMYFUNCTION("GOOGLETRANSLATE(D4083,""en"",""it"")"),"Mi piace il manzo più dei granchi.")</f>
        <v>Mi piace il manzo più dei granchi.</v>
      </c>
      <c r="G4083" s="6" t="str">
        <f>IFERROR(__xludf.DUMMYFUNCTION("GOOGLETRANSLATE(E4083,""fr"",""it"")"),"Amo la carne più dei granchi.")</f>
        <v>Amo la carne più dei granchi.</v>
      </c>
    </row>
    <row r="4084">
      <c r="A4084" s="4">
        <v>4082.0</v>
      </c>
      <c r="B4084" s="5" t="s">
        <v>12253</v>
      </c>
      <c r="C4084" s="4">
        <v>1.0</v>
      </c>
      <c r="D4084" s="5" t="s">
        <v>12254</v>
      </c>
      <c r="E4084" s="5" t="s">
        <v>12255</v>
      </c>
      <c r="F4084" s="6" t="str">
        <f>IFERROR(__xludf.DUMMYFUNCTION("GOOGLETRANSLATE(D4084,""en"",""it"")"),"Mi piacciono le ostriche più del pollo.")</f>
        <v>Mi piacciono le ostriche più del pollo.</v>
      </c>
      <c r="G4084" s="6" t="str">
        <f>IFERROR(__xludf.DUMMYFUNCTION("GOOGLETRANSLATE(E4084,""fr"",""it"")"),"Adoro le ostriche più del pollo.")</f>
        <v>Adoro le ostriche più del pollo.</v>
      </c>
    </row>
    <row r="4085">
      <c r="A4085" s="4">
        <v>4083.0</v>
      </c>
      <c r="B4085" s="5" t="s">
        <v>12256</v>
      </c>
      <c r="C4085" s="4">
        <v>1.0</v>
      </c>
      <c r="D4085" s="5" t="s">
        <v>12257</v>
      </c>
      <c r="E4085" s="5" t="s">
        <v>12258</v>
      </c>
      <c r="F4085" s="6" t="str">
        <f>IFERROR(__xludf.DUMMYFUNCTION("GOOGLETRANSLATE(D4085,""en"",""it"")"),"Mi piace il pollo più delle ostriche.")</f>
        <v>Mi piace il pollo più delle ostriche.</v>
      </c>
      <c r="G4085" s="6" t="str">
        <f>IFERROR(__xludf.DUMMYFUNCTION("GOOGLETRANSLATE(E4085,""fr"",""it"")"),"Amo il pollo più delle ostriche.")</f>
        <v>Amo il pollo più delle ostriche.</v>
      </c>
    </row>
    <row r="4086">
      <c r="A4086" s="4">
        <v>4084.0</v>
      </c>
      <c r="B4086" s="5" t="s">
        <v>12259</v>
      </c>
      <c r="C4086" s="4">
        <v>0.0</v>
      </c>
      <c r="D4086" s="5" t="s">
        <v>12260</v>
      </c>
      <c r="E4086" s="5" t="s">
        <v>12261</v>
      </c>
      <c r="F4086" s="6" t="str">
        <f>IFERROR(__xludf.DUMMYFUNCTION("GOOGLETRANSLATE(D4086,""en"",""it"")"),"Mi piacciono le ostriche più del pesce.")</f>
        <v>Mi piacciono le ostriche più del pesce.</v>
      </c>
      <c r="G4086" s="6" t="str">
        <f>IFERROR(__xludf.DUMMYFUNCTION("GOOGLETRANSLATE(E4086,""fr"",""it"")"),"Mi piacciono le ostriche più dei prodotti del mare.")</f>
        <v>Mi piacciono le ostriche più dei prodotti del mare.</v>
      </c>
    </row>
    <row r="4087">
      <c r="A4087" s="4">
        <v>4085.0</v>
      </c>
      <c r="B4087" s="5" t="s">
        <v>12262</v>
      </c>
      <c r="C4087" s="4">
        <v>0.0</v>
      </c>
      <c r="D4087" s="5" t="s">
        <v>12263</v>
      </c>
      <c r="E4087" s="5" t="s">
        <v>12264</v>
      </c>
      <c r="F4087" s="6" t="str">
        <f>IFERROR(__xludf.DUMMYFUNCTION("GOOGLETRANSLATE(D4087,""en"",""it"")"),"Mi piacciono i frutti di mare più delle ostriche.")</f>
        <v>Mi piacciono i frutti di mare più delle ostriche.</v>
      </c>
      <c r="G4087" s="6" t="str">
        <f>IFERROR(__xludf.DUMMYFUNCTION("GOOGLETRANSLATE(E4087,""fr"",""it"")"),"Mi piacciono i prodotti del mare più delle ostriche.")</f>
        <v>Mi piacciono i prodotti del mare più delle ostriche.</v>
      </c>
    </row>
    <row r="4088">
      <c r="A4088" s="4">
        <v>4086.0</v>
      </c>
      <c r="B4088" s="5" t="s">
        <v>12265</v>
      </c>
      <c r="C4088" s="4">
        <v>1.0</v>
      </c>
      <c r="D4088" s="5" t="s">
        <v>12266</v>
      </c>
      <c r="E4088" s="5" t="s">
        <v>12267</v>
      </c>
      <c r="F4088" s="6" t="str">
        <f>IFERROR(__xludf.DUMMYFUNCTION("GOOGLETRANSLATE(D4088,""en"",""it"")"),"Mi piacciono le ostriche più del vitello.")</f>
        <v>Mi piacciono le ostriche più del vitello.</v>
      </c>
      <c r="G4088" s="6" t="str">
        <f>IFERROR(__xludf.DUMMYFUNCTION("GOOGLETRANSLATE(E4088,""fr"",""it"")"),"Adoro le ostriche più del vitello.")</f>
        <v>Adoro le ostriche più del vitello.</v>
      </c>
    </row>
    <row r="4089">
      <c r="A4089" s="4">
        <v>4087.0</v>
      </c>
      <c r="B4089" s="5" t="s">
        <v>12268</v>
      </c>
      <c r="C4089" s="4">
        <v>1.0</v>
      </c>
      <c r="D4089" s="5" t="s">
        <v>12269</v>
      </c>
      <c r="E4089" s="5" t="s">
        <v>12270</v>
      </c>
      <c r="F4089" s="6" t="str">
        <f>IFERROR(__xludf.DUMMYFUNCTION("GOOGLETRANSLATE(D4089,""en"",""it"")"),"Mi piace il vitello più delle ostriche.")</f>
        <v>Mi piace il vitello più delle ostriche.</v>
      </c>
      <c r="G4089" s="6" t="str">
        <f>IFERROR(__xludf.DUMMYFUNCTION("GOOGLETRANSLATE(E4089,""fr"",""it"")"),"Adoro il polpaccio più delle ostriche.")</f>
        <v>Adoro il polpaccio più delle ostriche.</v>
      </c>
    </row>
    <row r="4090">
      <c r="A4090" s="4">
        <v>4088.0</v>
      </c>
      <c r="B4090" s="5" t="s">
        <v>12271</v>
      </c>
      <c r="C4090" s="4">
        <v>1.0</v>
      </c>
      <c r="D4090" s="5" t="s">
        <v>12272</v>
      </c>
      <c r="E4090" s="5" t="s">
        <v>12273</v>
      </c>
      <c r="F4090" s="6" t="str">
        <f>IFERROR(__xludf.DUMMYFUNCTION("GOOGLETRANSLATE(D4090,""en"",""it"")"),"Mi piacciono le ostriche più della Turchia.")</f>
        <v>Mi piacciono le ostriche più della Turchia.</v>
      </c>
      <c r="G4090" s="6" t="str">
        <f>IFERROR(__xludf.DUMMYFUNCTION("GOOGLETRANSLATE(E4090,""fr"",""it"")"),"Mi piacciono le ostriche più della Turchia.")</f>
        <v>Mi piacciono le ostriche più della Turchia.</v>
      </c>
    </row>
    <row r="4091">
      <c r="A4091" s="4">
        <v>4089.0</v>
      </c>
      <c r="B4091" s="5" t="s">
        <v>12274</v>
      </c>
      <c r="C4091" s="4">
        <v>1.0</v>
      </c>
      <c r="D4091" s="5" t="s">
        <v>12275</v>
      </c>
      <c r="E4091" s="5" t="s">
        <v>12276</v>
      </c>
      <c r="F4091" s="6" t="str">
        <f>IFERROR(__xludf.DUMMYFUNCTION("GOOGLETRANSLATE(D4091,""en"",""it"")"),"Mi piace la Turchia più delle ostriche.")</f>
        <v>Mi piace la Turchia più delle ostriche.</v>
      </c>
      <c r="G4091" s="6" t="str">
        <f>IFERROR(__xludf.DUMMYFUNCTION("GOOGLETRANSLATE(E4091,""fr"",""it"")"),"Amo la Turchia più delle ostriche.")</f>
        <v>Amo la Turchia più delle ostriche.</v>
      </c>
    </row>
    <row r="4092">
      <c r="A4092" s="4">
        <v>4090.0</v>
      </c>
      <c r="B4092" s="5" t="s">
        <v>12277</v>
      </c>
      <c r="C4092" s="4">
        <v>1.0</v>
      </c>
      <c r="D4092" s="5" t="s">
        <v>12278</v>
      </c>
      <c r="E4092" s="5" t="s">
        <v>12279</v>
      </c>
      <c r="F4092" s="6" t="str">
        <f>IFERROR(__xludf.DUMMYFUNCTION("GOOGLETRANSLATE(D4092,""en"",""it"")"),"Mi piacciono le ostriche più del manzo.")</f>
        <v>Mi piacciono le ostriche più del manzo.</v>
      </c>
      <c r="G4092" s="6" t="str">
        <f>IFERROR(__xludf.DUMMYFUNCTION("GOOGLETRANSLATE(E4092,""fr"",""it"")"),"Adoro le ostriche più del manzo.")</f>
        <v>Adoro le ostriche più del manzo.</v>
      </c>
    </row>
    <row r="4093">
      <c r="A4093" s="4">
        <v>4091.0</v>
      </c>
      <c r="B4093" s="5" t="s">
        <v>12280</v>
      </c>
      <c r="C4093" s="4">
        <v>1.0</v>
      </c>
      <c r="D4093" s="5" t="s">
        <v>12281</v>
      </c>
      <c r="E4093" s="5" t="s">
        <v>12282</v>
      </c>
      <c r="F4093" s="6" t="str">
        <f>IFERROR(__xludf.DUMMYFUNCTION("GOOGLETRANSLATE(D4093,""en"",""it"")"),"Mi piace il manzo più delle ostriche.")</f>
        <v>Mi piace il manzo più delle ostriche.</v>
      </c>
      <c r="G4093" s="6" t="str">
        <f>IFERROR(__xludf.DUMMYFUNCTION("GOOGLETRANSLATE(E4093,""fr"",""it"")"),"Amo il manzo più delle ostriche.")</f>
        <v>Amo il manzo più delle ostriche.</v>
      </c>
    </row>
    <row r="4094">
      <c r="A4094" s="4">
        <v>4092.0</v>
      </c>
      <c r="B4094" s="5" t="s">
        <v>12283</v>
      </c>
      <c r="C4094" s="4">
        <v>0.0</v>
      </c>
      <c r="D4094" s="5" t="s">
        <v>12284</v>
      </c>
      <c r="E4094" s="5" t="s">
        <v>12285</v>
      </c>
      <c r="F4094" s="6" t="str">
        <f>IFERROR(__xludf.DUMMYFUNCTION("GOOGLETRANSLATE(D4094,""en"",""it"")"),"Mi piacciono gli anelli, tranne le borse.")</f>
        <v>Mi piacciono gli anelli, tranne le borse.</v>
      </c>
      <c r="G4094" s="6" t="str">
        <f>IFERROR(__xludf.DUMMYFUNCTION("GOOGLETRANSLATE(E4094,""fr"",""it"")"),"Amo gli anelli tranne le borse.")</f>
        <v>Amo gli anelli tranne le borse.</v>
      </c>
    </row>
    <row r="4095">
      <c r="A4095" s="4">
        <v>4093.0</v>
      </c>
      <c r="B4095" s="5" t="s">
        <v>12286</v>
      </c>
      <c r="C4095" s="4">
        <v>1.0</v>
      </c>
      <c r="D4095" s="5" t="s">
        <v>12287</v>
      </c>
      <c r="E4095" s="5" t="s">
        <v>12288</v>
      </c>
      <c r="F4095" s="6" t="str">
        <f>IFERROR(__xludf.DUMMYFUNCTION("GOOGLETRANSLATE(D4095,""en"",""it"")"),"Mi piace il caviale più del pollo.")</f>
        <v>Mi piace il caviale più del pollo.</v>
      </c>
      <c r="G4095" s="6" t="str">
        <f>IFERROR(__xludf.DUMMYFUNCTION("GOOGLETRANSLATE(E4095,""fr"",""it"")"),"Amo il caviale più del pollo.")</f>
        <v>Amo il caviale più del pollo.</v>
      </c>
    </row>
    <row r="4096">
      <c r="A4096" s="4">
        <v>4094.0</v>
      </c>
      <c r="B4096" s="5" t="s">
        <v>12289</v>
      </c>
      <c r="C4096" s="4">
        <v>1.0</v>
      </c>
      <c r="D4096" s="5" t="s">
        <v>12290</v>
      </c>
      <c r="E4096" s="5" t="s">
        <v>12291</v>
      </c>
      <c r="F4096" s="6" t="str">
        <f>IFERROR(__xludf.DUMMYFUNCTION("GOOGLETRANSLATE(D4096,""en"",""it"")"),"Mi piace il pollo più che il caviale.")</f>
        <v>Mi piace il pollo più che il caviale.</v>
      </c>
      <c r="G4096" s="6" t="str">
        <f>IFERROR(__xludf.DUMMYFUNCTION("GOOGLETRANSLATE(E4096,""fr"",""it"")"),"Amo il pollo più del caviale.")</f>
        <v>Amo il pollo più del caviale.</v>
      </c>
    </row>
    <row r="4097">
      <c r="A4097" s="4">
        <v>4095.0</v>
      </c>
      <c r="B4097" s="5" t="s">
        <v>12292</v>
      </c>
      <c r="C4097" s="4">
        <v>0.0</v>
      </c>
      <c r="D4097" s="5" t="s">
        <v>12293</v>
      </c>
      <c r="E4097" s="5" t="s">
        <v>12294</v>
      </c>
      <c r="F4097" s="6" t="str">
        <f>IFERROR(__xludf.DUMMYFUNCTION("GOOGLETRANSLATE(D4097,""en"",""it"")"),"Mi piace il caviale più del pesce.")</f>
        <v>Mi piace il caviale più del pesce.</v>
      </c>
      <c r="G4097" s="6" t="str">
        <f>IFERROR(__xludf.DUMMYFUNCTION("GOOGLETRANSLATE(E4097,""fr"",""it"")"),"Amo il caviale più dei prodotti del mare.")</f>
        <v>Amo il caviale più dei prodotti del mare.</v>
      </c>
    </row>
    <row r="4098">
      <c r="A4098" s="4">
        <v>4096.0</v>
      </c>
      <c r="B4098" s="5" t="s">
        <v>12295</v>
      </c>
      <c r="C4098" s="4">
        <v>0.0</v>
      </c>
      <c r="D4098" s="5" t="s">
        <v>12296</v>
      </c>
      <c r="E4098" s="5" t="s">
        <v>12297</v>
      </c>
      <c r="F4098" s="6" t="str">
        <f>IFERROR(__xludf.DUMMYFUNCTION("GOOGLETRANSLATE(D4098,""en"",""it"")"),"Mi piacciono i frutti di mare più del caviale.")</f>
        <v>Mi piacciono i frutti di mare più del caviale.</v>
      </c>
      <c r="G4098" s="6" t="str">
        <f>IFERROR(__xludf.DUMMYFUNCTION("GOOGLETRANSLATE(E4098,""fr"",""it"")"),"Mi piace il pesce più del caviale.")</f>
        <v>Mi piace il pesce più del caviale.</v>
      </c>
    </row>
    <row r="4099">
      <c r="A4099" s="4">
        <v>4097.0</v>
      </c>
      <c r="B4099" s="5" t="s">
        <v>12298</v>
      </c>
      <c r="C4099" s="4">
        <v>1.0</v>
      </c>
      <c r="D4099" s="5" t="s">
        <v>12299</v>
      </c>
      <c r="E4099" s="5" t="s">
        <v>12300</v>
      </c>
      <c r="F4099" s="6" t="str">
        <f>IFERROR(__xludf.DUMMYFUNCTION("GOOGLETRANSLATE(D4099,""en"",""it"")"),"Mi piace il caviale più del vitello.")</f>
        <v>Mi piace il caviale più del vitello.</v>
      </c>
      <c r="G4099" s="6" t="str">
        <f>IFERROR(__xludf.DUMMYFUNCTION("GOOGLETRANSLATE(E4099,""fr"",""it"")"),"Amo il caviale più del vitello.")</f>
        <v>Amo il caviale più del vitello.</v>
      </c>
    </row>
    <row r="4100">
      <c r="A4100" s="4">
        <v>4098.0</v>
      </c>
      <c r="B4100" s="5" t="s">
        <v>12301</v>
      </c>
      <c r="C4100" s="4">
        <v>1.0</v>
      </c>
      <c r="D4100" s="5" t="s">
        <v>12302</v>
      </c>
      <c r="E4100" s="5" t="s">
        <v>12303</v>
      </c>
      <c r="F4100" s="6" t="str">
        <f>IFERROR(__xludf.DUMMYFUNCTION("GOOGLETRANSLATE(D4100,""en"",""it"")"),"Mi piace il vitello più del caviale.")</f>
        <v>Mi piace il vitello più del caviale.</v>
      </c>
      <c r="G4100" s="6" t="str">
        <f>IFERROR(__xludf.DUMMYFUNCTION("GOOGLETRANSLATE(E4100,""fr"",""it"")"),"Adoro il polpaccio più del caviale.")</f>
        <v>Adoro il polpaccio più del caviale.</v>
      </c>
    </row>
    <row r="4101">
      <c r="A4101" s="4">
        <v>4099.0</v>
      </c>
      <c r="B4101" s="5" t="s">
        <v>12304</v>
      </c>
      <c r="C4101" s="4">
        <v>0.0</v>
      </c>
      <c r="D4101" s="5" t="s">
        <v>12305</v>
      </c>
      <c r="E4101" s="5" t="s">
        <v>12306</v>
      </c>
      <c r="F4101" s="6" t="str">
        <f>IFERROR(__xludf.DUMMYFUNCTION("GOOGLETRANSLATE(D4101,""en"",""it"")"),"Mi piacciono le borse, ad eccezione degli anelli.")</f>
        <v>Mi piacciono le borse, ad eccezione degli anelli.</v>
      </c>
      <c r="G4101" s="6" t="str">
        <f>IFERROR(__xludf.DUMMYFUNCTION("GOOGLETRANSLATE(E4101,""fr"",""it"")"),"Mi piacciono le borse, tranne gli anelli.")</f>
        <v>Mi piacciono le borse, tranne gli anelli.</v>
      </c>
    </row>
    <row r="4102">
      <c r="A4102" s="4">
        <v>4100.0</v>
      </c>
      <c r="B4102" s="5" t="s">
        <v>12307</v>
      </c>
      <c r="C4102" s="4">
        <v>1.0</v>
      </c>
      <c r="D4102" s="5" t="s">
        <v>12308</v>
      </c>
      <c r="E4102" s="5" t="s">
        <v>12309</v>
      </c>
      <c r="F4102" s="6" t="str">
        <f>IFERROR(__xludf.DUMMYFUNCTION("GOOGLETRANSLATE(D4102,""en"",""it"")"),"Mi piace il caviale più della Turchia.")</f>
        <v>Mi piace il caviale più della Turchia.</v>
      </c>
      <c r="G4102" s="6" t="str">
        <f>IFERROR(__xludf.DUMMYFUNCTION("GOOGLETRANSLATE(E4102,""fr"",""it"")"),"Amo il caviale più della Turchia.")</f>
        <v>Amo il caviale più della Turchia.</v>
      </c>
    </row>
    <row r="4103">
      <c r="A4103" s="4">
        <v>4101.0</v>
      </c>
      <c r="B4103" s="5" t="s">
        <v>12310</v>
      </c>
      <c r="C4103" s="4">
        <v>1.0</v>
      </c>
      <c r="D4103" s="5" t="s">
        <v>12311</v>
      </c>
      <c r="E4103" s="5" t="s">
        <v>12312</v>
      </c>
      <c r="F4103" s="6" t="str">
        <f>IFERROR(__xludf.DUMMYFUNCTION("GOOGLETRANSLATE(D4103,""en"",""it"")"),"Mi piace la Turchia più del caviale.")</f>
        <v>Mi piace la Turchia più del caviale.</v>
      </c>
      <c r="G4103" s="6" t="str">
        <f>IFERROR(__xludf.DUMMYFUNCTION("GOOGLETRANSLATE(E4103,""fr"",""it"")"),"Amo la Turchia più del caviale.")</f>
        <v>Amo la Turchia più del caviale.</v>
      </c>
    </row>
    <row r="4104">
      <c r="A4104" s="4">
        <v>4102.0</v>
      </c>
      <c r="B4104" s="5" t="s">
        <v>12313</v>
      </c>
      <c r="C4104" s="4">
        <v>1.0</v>
      </c>
      <c r="D4104" s="5" t="s">
        <v>12314</v>
      </c>
      <c r="E4104" s="5" t="s">
        <v>12315</v>
      </c>
      <c r="F4104" s="6" t="str">
        <f>IFERROR(__xludf.DUMMYFUNCTION("GOOGLETRANSLATE(D4104,""en"",""it"")"),"Mi piace il caviale più del manzo.")</f>
        <v>Mi piace il caviale più del manzo.</v>
      </c>
      <c r="G4104" s="6" t="str">
        <f>IFERROR(__xludf.DUMMYFUNCTION("GOOGLETRANSLATE(E4104,""fr"",""it"")"),"Amo il caviale più del manzo.")</f>
        <v>Amo il caviale più del manzo.</v>
      </c>
    </row>
    <row r="4105">
      <c r="A4105" s="4">
        <v>4103.0</v>
      </c>
      <c r="B4105" s="5" t="s">
        <v>12316</v>
      </c>
      <c r="C4105" s="4">
        <v>1.0</v>
      </c>
      <c r="D4105" s="5" t="s">
        <v>12317</v>
      </c>
      <c r="E4105" s="5" t="s">
        <v>12318</v>
      </c>
      <c r="F4105" s="6" t="str">
        <f>IFERROR(__xludf.DUMMYFUNCTION("GOOGLETRANSLATE(D4105,""en"",""it"")"),"Mi piace il manzo più del caviale.")</f>
        <v>Mi piace il manzo più del caviale.</v>
      </c>
      <c r="G4105" s="6" t="str">
        <f>IFERROR(__xludf.DUMMYFUNCTION("GOOGLETRANSLATE(E4105,""fr"",""it"")"),"Amo la carne più del caviale.")</f>
        <v>Amo la carne più del caviale.</v>
      </c>
    </row>
    <row r="4106">
      <c r="A4106" s="4">
        <v>4104.0</v>
      </c>
      <c r="B4106" s="5" t="s">
        <v>12319</v>
      </c>
      <c r="C4106" s="4">
        <v>0.0</v>
      </c>
      <c r="D4106" s="5" t="s">
        <v>12320</v>
      </c>
      <c r="E4106" s="5" t="s">
        <v>12321</v>
      </c>
      <c r="F4106" s="6" t="str">
        <f>IFERROR(__xludf.DUMMYFUNCTION("GOOGLETRANSLATE(D4106,""en"",""it"")"),"Mi piacciono gli anelli, tranne i gioielli.")</f>
        <v>Mi piacciono gli anelli, tranne i gioielli.</v>
      </c>
      <c r="G4106" s="6" t="str">
        <f>IFERROR(__xludf.DUMMYFUNCTION("GOOGLETRANSLATE(E4106,""fr"",""it"")"),"Amo gli anelli tranne i gioielli.")</f>
        <v>Amo gli anelli tranne i gioielli.</v>
      </c>
    </row>
    <row r="4107">
      <c r="A4107" s="4">
        <v>4105.0</v>
      </c>
      <c r="B4107" s="5" t="s">
        <v>12322</v>
      </c>
      <c r="C4107" s="4">
        <v>1.0</v>
      </c>
      <c r="D4107" s="5" t="s">
        <v>12323</v>
      </c>
      <c r="E4107" s="5" t="s">
        <v>12324</v>
      </c>
      <c r="F4107" s="6" t="str">
        <f>IFERROR(__xludf.DUMMYFUNCTION("GOOGLETRANSLATE(D4107,""en"",""it"")"),"Mi piacciono i gioielli, tranne gli anelli.")</f>
        <v>Mi piacciono i gioielli, tranne gli anelli.</v>
      </c>
      <c r="G4107" s="6" t="str">
        <f>IFERROR(__xludf.DUMMYFUNCTION("GOOGLETRANSLATE(E4107,""fr"",""it"")"),"Mi piacciono i gioielli, tranne gli anelli.")</f>
        <v>Mi piacciono i gioielli, tranne gli anelli.</v>
      </c>
    </row>
    <row r="4108">
      <c r="A4108" s="4">
        <v>4106.0</v>
      </c>
      <c r="B4108" s="5" t="s">
        <v>12325</v>
      </c>
      <c r="C4108" s="4">
        <v>0.0</v>
      </c>
      <c r="D4108" s="5" t="s">
        <v>12326</v>
      </c>
      <c r="E4108" s="5" t="s">
        <v>12327</v>
      </c>
      <c r="F4108" s="6" t="str">
        <f>IFERROR(__xludf.DUMMYFUNCTION("GOOGLETRANSLATE(D4108,""en"",""it"")"),"Mi piacciono gli anelli, tranne le sciarpe.")</f>
        <v>Mi piacciono gli anelli, tranne le sciarpe.</v>
      </c>
      <c r="G4108" s="6" t="str">
        <f>IFERROR(__xludf.DUMMYFUNCTION("GOOGLETRANSLATE(E4108,""fr"",""it"")"),"Amo gli anelli tranne sciarpe.")</f>
        <v>Amo gli anelli tranne sciarpe.</v>
      </c>
    </row>
    <row r="4109">
      <c r="A4109" s="4">
        <v>4107.0</v>
      </c>
      <c r="B4109" s="5" t="s">
        <v>12328</v>
      </c>
      <c r="C4109" s="4">
        <v>0.0</v>
      </c>
      <c r="D4109" s="5" t="s">
        <v>12329</v>
      </c>
      <c r="E4109" s="5" t="s">
        <v>12330</v>
      </c>
      <c r="F4109" s="6" t="str">
        <f>IFERROR(__xludf.DUMMYFUNCTION("GOOGLETRANSLATE(D4109,""en"",""it"")"),"Mi piacciono le sciarpe, eccetto gli anelli.")</f>
        <v>Mi piacciono le sciarpe, eccetto gli anelli.</v>
      </c>
      <c r="G4109" s="6" t="str">
        <f>IFERROR(__xludf.DUMMYFUNCTION("GOOGLETRANSLATE(E4109,""fr"",""it"")"),"Adoro le sciarpe tranne gli anelli.")</f>
        <v>Adoro le sciarpe tranne gli anelli.</v>
      </c>
    </row>
    <row r="4110">
      <c r="A4110" s="4">
        <v>4108.0</v>
      </c>
      <c r="B4110" s="5" t="s">
        <v>12331</v>
      </c>
      <c r="C4110" s="4">
        <v>0.0</v>
      </c>
      <c r="D4110" s="5" t="s">
        <v>12332</v>
      </c>
      <c r="E4110" s="5" t="s">
        <v>12333</v>
      </c>
      <c r="F4110" s="6" t="str">
        <f>IFERROR(__xludf.DUMMYFUNCTION("GOOGLETRANSLATE(D4110,""en"",""it"")"),"Mi piacciono gli anelli, tranne gli occhiali.")</f>
        <v>Mi piacciono gli anelli, tranne gli occhiali.</v>
      </c>
      <c r="G4110" s="6" t="str">
        <f>IFERROR(__xludf.DUMMYFUNCTION("GOOGLETRANSLATE(E4110,""fr"",""it"")"),"Mi piacciono gli anelli tranne gli occhiali.")</f>
        <v>Mi piacciono gli anelli tranne gli occhiali.</v>
      </c>
    </row>
    <row r="4111">
      <c r="A4111" s="4">
        <v>4109.0</v>
      </c>
      <c r="B4111" s="5" t="s">
        <v>12334</v>
      </c>
      <c r="C4111" s="4">
        <v>0.0</v>
      </c>
      <c r="D4111" s="5" t="s">
        <v>12335</v>
      </c>
      <c r="E4111" s="5" t="s">
        <v>12336</v>
      </c>
      <c r="F4111" s="6" t="str">
        <f>IFERROR(__xludf.DUMMYFUNCTION("GOOGLETRANSLATE(D4111,""en"",""it"")"),"Mi piacciono gli occhiali, tranne gli anelli.")</f>
        <v>Mi piacciono gli occhiali, tranne gli anelli.</v>
      </c>
      <c r="G4111" s="6" t="str">
        <f>IFERROR(__xludf.DUMMYFUNCTION("GOOGLETRANSLATE(E4111,""fr"",""it"")"),"Amo gli occhiali tranne gli anelli.")</f>
        <v>Amo gli occhiali tranne gli anelli.</v>
      </c>
    </row>
    <row r="4112">
      <c r="A4112" s="4">
        <v>4110.0</v>
      </c>
      <c r="B4112" s="5" t="s">
        <v>12337</v>
      </c>
      <c r="C4112" s="4">
        <v>0.0</v>
      </c>
      <c r="D4112" s="5" t="s">
        <v>12338</v>
      </c>
      <c r="E4112" s="5" t="s">
        <v>12339</v>
      </c>
      <c r="F4112" s="6" t="str">
        <f>IFERROR(__xludf.DUMMYFUNCTION("GOOGLETRANSLATE(D4112,""en"",""it"")"),"Mi piacciono gli anelli, tranne le scarpe.")</f>
        <v>Mi piacciono gli anelli, tranne le scarpe.</v>
      </c>
      <c r="G4112" s="6" t="str">
        <f>IFERROR(__xludf.DUMMYFUNCTION("GOOGLETRANSLATE(E4112,""fr"",""it"")"),"Amo gli anelli tranne le scarpe.")</f>
        <v>Amo gli anelli tranne le scarpe.</v>
      </c>
    </row>
    <row r="4113">
      <c r="A4113" s="4">
        <v>4111.0</v>
      </c>
      <c r="B4113" s="5" t="s">
        <v>12340</v>
      </c>
      <c r="C4113" s="4">
        <v>0.0</v>
      </c>
      <c r="D4113" s="5" t="s">
        <v>12341</v>
      </c>
      <c r="E4113" s="5" t="s">
        <v>12342</v>
      </c>
      <c r="F4113" s="6" t="str">
        <f>IFERROR(__xludf.DUMMYFUNCTION("GOOGLETRANSLATE(D4113,""en"",""it"")"),"Mi piacciono le scarpe, eccetto gli anelli.")</f>
        <v>Mi piacciono le scarpe, eccetto gli anelli.</v>
      </c>
      <c r="G4113" s="6" t="str">
        <f>IFERROR(__xludf.DUMMYFUNCTION("GOOGLETRANSLATE(E4113,""fr"",""it"")"),"Adoro le scarpe tranne gli anelli.")</f>
        <v>Adoro le scarpe tranne gli anelli.</v>
      </c>
    </row>
    <row r="4114">
      <c r="A4114" s="4">
        <v>4112.0</v>
      </c>
      <c r="B4114" s="5" t="s">
        <v>12343</v>
      </c>
      <c r="C4114" s="4">
        <v>1.0</v>
      </c>
      <c r="D4114" s="5" t="s">
        <v>12344</v>
      </c>
      <c r="E4114" s="5" t="s">
        <v>12345</v>
      </c>
      <c r="F4114" s="6" t="str">
        <f>IFERROR(__xludf.DUMMYFUNCTION("GOOGLETRANSLATE(D4114,""en"",""it"")"),"Mi piacciono i thriller più dei saggi.")</f>
        <v>Mi piacciono i thriller più dei saggi.</v>
      </c>
      <c r="G4114" s="6" t="str">
        <f>IFERROR(__xludf.DUMMYFUNCTION("GOOGLETRANSLATE(E4114,""fr"",""it"")"),"Mi piacciono i thriller più dei test.")</f>
        <v>Mi piacciono i thriller più dei test.</v>
      </c>
    </row>
    <row r="4115">
      <c r="A4115" s="4">
        <v>4113.0</v>
      </c>
      <c r="B4115" s="5" t="s">
        <v>12346</v>
      </c>
      <c r="C4115" s="4">
        <v>1.0</v>
      </c>
      <c r="D4115" s="5" t="s">
        <v>12347</v>
      </c>
      <c r="E4115" s="5" t="s">
        <v>12348</v>
      </c>
      <c r="F4115" s="6" t="str">
        <f>IFERROR(__xludf.DUMMYFUNCTION("GOOGLETRANSLATE(D4115,""en"",""it"")"),"Mi piacciono i sai più dei thriller.")</f>
        <v>Mi piacciono i sai più dei thriller.</v>
      </c>
      <c r="G4115" s="6" t="str">
        <f>IFERROR(__xludf.DUMMYFUNCTION("GOOGLETRANSLATE(E4115,""fr"",""it"")"),"Mi piacciono i test più dei thriller.")</f>
        <v>Mi piacciono i test più dei thriller.</v>
      </c>
    </row>
    <row r="4116">
      <c r="A4116" s="4">
        <v>4114.0</v>
      </c>
      <c r="B4116" s="5" t="s">
        <v>12349</v>
      </c>
      <c r="C4116" s="4">
        <v>0.0</v>
      </c>
      <c r="D4116" s="5" t="s">
        <v>12350</v>
      </c>
      <c r="E4116" s="5" t="s">
        <v>12351</v>
      </c>
      <c r="F4116" s="6" t="str">
        <f>IFERROR(__xludf.DUMMYFUNCTION("GOOGLETRANSLATE(D4116,""en"",""it"")"),"Mi piacciono i thriller più dei film.")</f>
        <v>Mi piacciono i thriller più dei film.</v>
      </c>
      <c r="G4116" s="6" t="str">
        <f>IFERROR(__xludf.DUMMYFUNCTION("GOOGLETRANSLATE(E4116,""fr"",""it"")"),"Mi piacciono i thriller più dei film.")</f>
        <v>Mi piacciono i thriller più dei film.</v>
      </c>
    </row>
    <row r="4117">
      <c r="A4117" s="4">
        <v>4115.0</v>
      </c>
      <c r="B4117" s="5" t="s">
        <v>12352</v>
      </c>
      <c r="C4117" s="4">
        <v>0.0</v>
      </c>
      <c r="D4117" s="5" t="s">
        <v>12353</v>
      </c>
      <c r="E4117" s="5" t="s">
        <v>12354</v>
      </c>
      <c r="F4117" s="6" t="str">
        <f>IFERROR(__xludf.DUMMYFUNCTION("GOOGLETRANSLATE(D4117,""en"",""it"")"),"Mi piacciono i film più dei thriller.")</f>
        <v>Mi piacciono i film più dei thriller.</v>
      </c>
      <c r="G4117" s="6" t="str">
        <f>IFERROR(__xludf.DUMMYFUNCTION("GOOGLETRANSLATE(E4117,""fr"",""it"")"),"Mi piacciono i film più dei thriller.")</f>
        <v>Mi piacciono i film più dei thriller.</v>
      </c>
    </row>
    <row r="4118">
      <c r="A4118" s="4">
        <v>4116.0</v>
      </c>
      <c r="B4118" s="5" t="s">
        <v>12355</v>
      </c>
      <c r="C4118" s="4">
        <v>1.0</v>
      </c>
      <c r="D4118" s="5" t="s">
        <v>12356</v>
      </c>
      <c r="E4118" s="5" t="s">
        <v>12357</v>
      </c>
      <c r="F4118" s="6" t="str">
        <f>IFERROR(__xludf.DUMMYFUNCTION("GOOGLETRANSLATE(D4118,""en"",""it"")"),"Mi piacciono i film più dei saggi.")</f>
        <v>Mi piacciono i film più dei saggi.</v>
      </c>
      <c r="G4118" s="6" t="str">
        <f>IFERROR(__xludf.DUMMYFUNCTION("GOOGLETRANSLATE(E4118,""fr"",""it"")"),"Mi piacciono i film più dei test.")</f>
        <v>Mi piacciono i film più dei test.</v>
      </c>
    </row>
    <row r="4119">
      <c r="A4119" s="4">
        <v>4117.0</v>
      </c>
      <c r="B4119" s="5" t="s">
        <v>12358</v>
      </c>
      <c r="C4119" s="4">
        <v>1.0</v>
      </c>
      <c r="D4119" s="5" t="s">
        <v>12359</v>
      </c>
      <c r="E4119" s="5" t="s">
        <v>12360</v>
      </c>
      <c r="F4119" s="6" t="str">
        <f>IFERROR(__xludf.DUMMYFUNCTION("GOOGLETRANSLATE(D4119,""en"",""it"")"),"Mi piacciono i thriller più dei libri di testo.")</f>
        <v>Mi piacciono i thriller più dei libri di testo.</v>
      </c>
      <c r="G4119" s="6" t="str">
        <f>IFERROR(__xludf.DUMMYFUNCTION("GOOGLETRANSLATE(E4119,""fr"",""it"")"),"Mi piacciono i thriller più dei libri di testo.")</f>
        <v>Mi piacciono i thriller più dei libri di testo.</v>
      </c>
    </row>
    <row r="4120">
      <c r="A4120" s="4">
        <v>4118.0</v>
      </c>
      <c r="B4120" s="5" t="s">
        <v>12361</v>
      </c>
      <c r="C4120" s="4">
        <v>1.0</v>
      </c>
      <c r="D4120" s="5" t="s">
        <v>12362</v>
      </c>
      <c r="E4120" s="5" t="s">
        <v>12363</v>
      </c>
      <c r="F4120" s="6" t="str">
        <f>IFERROR(__xludf.DUMMYFUNCTION("GOOGLETRANSLATE(D4120,""en"",""it"")"),"Mi piacciono i libri di testo più dei thriller.")</f>
        <v>Mi piacciono i libri di testo più dei thriller.</v>
      </c>
      <c r="G4120" s="6" t="str">
        <f>IFERROR(__xludf.DUMMYFUNCTION("GOOGLETRANSLATE(E4120,""fr"",""it"")"),"Mi piacciono i libri di testo scolastici più dei thriller.")</f>
        <v>Mi piacciono i libri di testo scolastici più dei thriller.</v>
      </c>
    </row>
    <row r="4121">
      <c r="A4121" s="4">
        <v>4119.0</v>
      </c>
      <c r="B4121" s="5" t="s">
        <v>12364</v>
      </c>
      <c r="C4121" s="4">
        <v>1.0</v>
      </c>
      <c r="D4121" s="5" t="s">
        <v>12365</v>
      </c>
      <c r="E4121" s="5" t="s">
        <v>12366</v>
      </c>
      <c r="F4121" s="6" t="str">
        <f>IFERROR(__xludf.DUMMYFUNCTION("GOOGLETRANSLATE(D4121,""en"",""it"")"),"Mi piacciono i film più dei libri di testo.")</f>
        <v>Mi piacciono i film più dei libri di testo.</v>
      </c>
      <c r="G4121" s="6" t="str">
        <f>IFERROR(__xludf.DUMMYFUNCTION("GOOGLETRANSLATE(E4121,""fr"",""it"")"),"Mi piacciono i film più dei libri di testo.")</f>
        <v>Mi piacciono i film più dei libri di testo.</v>
      </c>
    </row>
    <row r="4122">
      <c r="A4122" s="4">
        <v>4120.0</v>
      </c>
      <c r="B4122" s="5" t="s">
        <v>12367</v>
      </c>
      <c r="C4122" s="4">
        <v>1.0</v>
      </c>
      <c r="D4122" s="5" t="s">
        <v>12368</v>
      </c>
      <c r="E4122" s="5" t="s">
        <v>12369</v>
      </c>
      <c r="F4122" s="6" t="str">
        <f>IFERROR(__xludf.DUMMYFUNCTION("GOOGLETRANSLATE(D4122,""en"",""it"")"),"Mi piacciono i thriller più dei tavolini.")</f>
        <v>Mi piacciono i thriller più dei tavolini.</v>
      </c>
      <c r="G4122" s="6" t="str">
        <f>IFERROR(__xludf.DUMMYFUNCTION("GOOGLETRANSLATE(E4122,""fr"",""it"")"),"Mi piacciono i thriller più dei giochi da tavolo.")</f>
        <v>Mi piacciono i thriller più dei giochi da tavolo.</v>
      </c>
    </row>
    <row r="4123">
      <c r="A4123" s="4">
        <v>4121.0</v>
      </c>
      <c r="B4123" s="5" t="s">
        <v>12370</v>
      </c>
      <c r="C4123" s="4">
        <v>1.0</v>
      </c>
      <c r="D4123" s="5" t="s">
        <v>12371</v>
      </c>
      <c r="E4123" s="5" t="s">
        <v>12372</v>
      </c>
      <c r="F4123" s="6" t="str">
        <f>IFERROR(__xludf.DUMMYFUNCTION("GOOGLETRANSLATE(D4123,""en"",""it"")"),"Mi piacciono i boardgames più dei thriller.")</f>
        <v>Mi piacciono i boardgames più dei thriller.</v>
      </c>
      <c r="G4123" s="6" t="str">
        <f>IFERROR(__xludf.DUMMYFUNCTION("GOOGLETRANSLATE(E4123,""fr"",""it"")"),"Mi piacciono i giochi sociali più dei thriller.")</f>
        <v>Mi piacciono i giochi sociali più dei thriller.</v>
      </c>
    </row>
    <row r="4124">
      <c r="A4124" s="4">
        <v>4122.0</v>
      </c>
      <c r="B4124" s="5" t="s">
        <v>12373</v>
      </c>
      <c r="C4124" s="4">
        <v>1.0</v>
      </c>
      <c r="D4124" s="5" t="s">
        <v>12374</v>
      </c>
      <c r="E4124" s="5" t="s">
        <v>12375</v>
      </c>
      <c r="F4124" s="6" t="str">
        <f>IFERROR(__xludf.DUMMYFUNCTION("GOOGLETRANSLATE(D4124,""en"",""it"")"),"Mi piacciono i film più dei tavolini.")</f>
        <v>Mi piacciono i film più dei tavolini.</v>
      </c>
      <c r="G4124" s="6" t="str">
        <f>IFERROR(__xludf.DUMMYFUNCTION("GOOGLETRANSLATE(E4124,""fr"",""it"")"),"Mi piacciono i film più dei giochi da tavolo.")</f>
        <v>Mi piacciono i film più dei giochi da tavolo.</v>
      </c>
    </row>
    <row r="4125">
      <c r="A4125" s="4">
        <v>4123.0</v>
      </c>
      <c r="B4125" s="5" t="s">
        <v>12376</v>
      </c>
      <c r="C4125" s="4">
        <v>1.0</v>
      </c>
      <c r="D4125" s="5" t="s">
        <v>12377</v>
      </c>
      <c r="E4125" s="5" t="s">
        <v>12378</v>
      </c>
      <c r="F4125" s="6" t="str">
        <f>IFERROR(__xludf.DUMMYFUNCTION("GOOGLETRANSLATE(D4125,""en"",""it"")"),"Mi piacciono i thriller più dei videogiochi.")</f>
        <v>Mi piacciono i thriller più dei videogiochi.</v>
      </c>
      <c r="G4125" s="6" t="str">
        <f>IFERROR(__xludf.DUMMYFUNCTION("GOOGLETRANSLATE(E4125,""fr"",""it"")"),"Amo i thriller più dei videogiochi.")</f>
        <v>Amo i thriller più dei videogiochi.</v>
      </c>
    </row>
    <row r="4126">
      <c r="A4126" s="4">
        <v>4124.0</v>
      </c>
      <c r="B4126" s="5" t="s">
        <v>12379</v>
      </c>
      <c r="C4126" s="4">
        <v>1.0</v>
      </c>
      <c r="D4126" s="5" t="s">
        <v>12380</v>
      </c>
      <c r="E4126" s="5" t="s">
        <v>12381</v>
      </c>
      <c r="F4126" s="6" t="str">
        <f>IFERROR(__xludf.DUMMYFUNCTION("GOOGLETRANSLATE(D4126,""en"",""it"")"),"Mi piacciono i videogiochi più dei thriller.")</f>
        <v>Mi piacciono i videogiochi più dei thriller.</v>
      </c>
      <c r="G4126" s="6" t="str">
        <f>IFERROR(__xludf.DUMMYFUNCTION("GOOGLETRANSLATE(E4126,""fr"",""it"")"),"Mi piacciono i videogiochi più dei thriller.")</f>
        <v>Mi piacciono i videogiochi più dei thriller.</v>
      </c>
    </row>
    <row r="4127">
      <c r="A4127" s="4">
        <v>4125.0</v>
      </c>
      <c r="B4127" s="5" t="s">
        <v>12382</v>
      </c>
      <c r="C4127" s="4">
        <v>1.0</v>
      </c>
      <c r="D4127" s="5" t="s">
        <v>12383</v>
      </c>
      <c r="E4127" s="5" t="s">
        <v>12384</v>
      </c>
      <c r="F4127" s="6" t="str">
        <f>IFERROR(__xludf.DUMMYFUNCTION("GOOGLETRANSLATE(D4127,""en"",""it"")"),"Mi piacciono i film più dei videogiochi.")</f>
        <v>Mi piacciono i film più dei videogiochi.</v>
      </c>
      <c r="G4127" s="6" t="str">
        <f>IFERROR(__xludf.DUMMYFUNCTION("GOOGLETRANSLATE(E4127,""fr"",""it"")"),"Mi piacciono i film più dei videogiochi.")</f>
        <v>Mi piacciono i film più dei videogiochi.</v>
      </c>
    </row>
    <row r="4128">
      <c r="A4128" s="4">
        <v>4126.0</v>
      </c>
      <c r="B4128" s="5" t="s">
        <v>12385</v>
      </c>
      <c r="C4128" s="4">
        <v>1.0</v>
      </c>
      <c r="D4128" s="5" t="s">
        <v>12386</v>
      </c>
      <c r="E4128" s="5" t="s">
        <v>12387</v>
      </c>
      <c r="F4128" s="6" t="str">
        <f>IFERROR(__xludf.DUMMYFUNCTION("GOOGLETRANSLATE(D4128,""en"",""it"")"),"Mi piacciono gli occidentali più dei saggi.")</f>
        <v>Mi piacciono gli occidentali più dei saggi.</v>
      </c>
      <c r="G4128" s="6" t="str">
        <f>IFERROR(__xludf.DUMMYFUNCTION("GOOGLETRANSLATE(E4128,""fr"",""it"")"),"Mi piacciono gli occidentali più dei test.")</f>
        <v>Mi piacciono gli occidentali più dei test.</v>
      </c>
    </row>
    <row r="4129">
      <c r="A4129" s="4">
        <v>4127.0</v>
      </c>
      <c r="B4129" s="5" t="s">
        <v>12388</v>
      </c>
      <c r="C4129" s="4">
        <v>1.0</v>
      </c>
      <c r="D4129" s="5" t="s">
        <v>12389</v>
      </c>
      <c r="E4129" s="5" t="s">
        <v>12390</v>
      </c>
      <c r="F4129" s="6" t="str">
        <f>IFERROR(__xludf.DUMMYFUNCTION("GOOGLETRANSLATE(D4129,""en"",""it"")"),"Mi piacciono i saggi più dei western.")</f>
        <v>Mi piacciono i saggi più dei western.</v>
      </c>
      <c r="G4129" s="6" t="str">
        <f>IFERROR(__xludf.DUMMYFUNCTION("GOOGLETRANSLATE(E4129,""fr"",""it"")"),"Mi piacciono i test più dei western.")</f>
        <v>Mi piacciono i test più dei western.</v>
      </c>
    </row>
    <row r="4130">
      <c r="A4130" s="4">
        <v>4128.0</v>
      </c>
      <c r="B4130" s="5" t="s">
        <v>12391</v>
      </c>
      <c r="C4130" s="4">
        <v>0.0</v>
      </c>
      <c r="D4130" s="5" t="s">
        <v>12392</v>
      </c>
      <c r="E4130" s="5" t="s">
        <v>12393</v>
      </c>
      <c r="F4130" s="6" t="str">
        <f>IFERROR(__xludf.DUMMYFUNCTION("GOOGLETRANSLATE(D4130,""en"",""it"")"),"Mi piacciono gli occidentali più dei film.")</f>
        <v>Mi piacciono gli occidentali più dei film.</v>
      </c>
      <c r="G4130" s="6" t="str">
        <f>IFERROR(__xludf.DUMMYFUNCTION("GOOGLETRANSLATE(E4130,""fr"",""it"")"),"Mi piacciono gli occidentali più dei film.")</f>
        <v>Mi piacciono gli occidentali più dei film.</v>
      </c>
    </row>
    <row r="4131">
      <c r="A4131" s="4">
        <v>4129.0</v>
      </c>
      <c r="B4131" s="5" t="s">
        <v>12394</v>
      </c>
      <c r="C4131" s="4">
        <v>0.0</v>
      </c>
      <c r="D4131" s="5" t="s">
        <v>12395</v>
      </c>
      <c r="E4131" s="5" t="s">
        <v>12396</v>
      </c>
      <c r="F4131" s="6" t="str">
        <f>IFERROR(__xludf.DUMMYFUNCTION("GOOGLETRANSLATE(D4131,""en"",""it"")"),"Mi piacciono i film più dei western.")</f>
        <v>Mi piacciono i film più dei western.</v>
      </c>
      <c r="G4131" s="6" t="str">
        <f>IFERROR(__xludf.DUMMYFUNCTION("GOOGLETRANSLATE(E4131,""fr"",""it"")"),"Mi piacciono i film più dei western.")</f>
        <v>Mi piacciono i film più dei western.</v>
      </c>
    </row>
    <row r="4132">
      <c r="A4132" s="4">
        <v>4130.0</v>
      </c>
      <c r="B4132" s="5" t="s">
        <v>12397</v>
      </c>
      <c r="C4132" s="4">
        <v>1.0</v>
      </c>
      <c r="D4132" s="5" t="s">
        <v>12398</v>
      </c>
      <c r="E4132" s="5" t="s">
        <v>12399</v>
      </c>
      <c r="F4132" s="6" t="str">
        <f>IFERROR(__xludf.DUMMYFUNCTION("GOOGLETRANSLATE(D4132,""en"",""it"")"),"Mi piacciono gli occidentali più dei libri di testo.")</f>
        <v>Mi piacciono gli occidentali più dei libri di testo.</v>
      </c>
      <c r="G4132" s="6" t="str">
        <f>IFERROR(__xludf.DUMMYFUNCTION("GOOGLETRANSLATE(E4132,""fr"",""it"")"),"Mi piacciono gli occidentali più dei libri di testo.")</f>
        <v>Mi piacciono gli occidentali più dei libri di testo.</v>
      </c>
    </row>
    <row r="4133">
      <c r="A4133" s="4">
        <v>4131.0</v>
      </c>
      <c r="B4133" s="5" t="s">
        <v>12400</v>
      </c>
      <c r="C4133" s="4">
        <v>1.0</v>
      </c>
      <c r="D4133" s="5" t="s">
        <v>12401</v>
      </c>
      <c r="E4133" s="5" t="s">
        <v>12402</v>
      </c>
      <c r="F4133" s="6" t="str">
        <f>IFERROR(__xludf.DUMMYFUNCTION("GOOGLETRANSLATE(D4133,""en"",""it"")"),"Mi piacciono i libri di testo più dei western.")</f>
        <v>Mi piacciono i libri di testo più dei western.</v>
      </c>
      <c r="G4133" s="6" t="str">
        <f>IFERROR(__xludf.DUMMYFUNCTION("GOOGLETRANSLATE(E4133,""fr"",""it"")"),"Mi piacciono i libri di testo scolastici più dei western.")</f>
        <v>Mi piacciono i libri di testo scolastici più dei western.</v>
      </c>
    </row>
    <row r="4134">
      <c r="A4134" s="4">
        <v>4132.0</v>
      </c>
      <c r="B4134" s="5" t="s">
        <v>12403</v>
      </c>
      <c r="C4134" s="4">
        <v>1.0</v>
      </c>
      <c r="D4134" s="5" t="s">
        <v>12404</v>
      </c>
      <c r="E4134" s="5" t="s">
        <v>12405</v>
      </c>
      <c r="F4134" s="6" t="str">
        <f>IFERROR(__xludf.DUMMYFUNCTION("GOOGLETRANSLATE(D4134,""en"",""it"")"),"Mi piacciono gli occidentali più dei tavolini.")</f>
        <v>Mi piacciono gli occidentali più dei tavolini.</v>
      </c>
      <c r="G4134" s="6" t="str">
        <f>IFERROR(__xludf.DUMMYFUNCTION("GOOGLETRANSLATE(E4134,""fr"",""it"")"),"Mi piacciono i western più dei giochi da tavolo.")</f>
        <v>Mi piacciono i western più dei giochi da tavolo.</v>
      </c>
    </row>
    <row r="4135">
      <c r="A4135" s="4">
        <v>4133.0</v>
      </c>
      <c r="B4135" s="5" t="s">
        <v>12406</v>
      </c>
      <c r="C4135" s="4">
        <v>1.0</v>
      </c>
      <c r="D4135" s="5" t="s">
        <v>12407</v>
      </c>
      <c r="E4135" s="5" t="s">
        <v>12408</v>
      </c>
      <c r="F4135" s="6" t="str">
        <f>IFERROR(__xludf.DUMMYFUNCTION("GOOGLETRANSLATE(D4135,""en"",""it"")"),"Mi piacciono i boardgames più dei western.")</f>
        <v>Mi piacciono i boardgames più dei western.</v>
      </c>
      <c r="G4135" s="6" t="str">
        <f>IFERROR(__xludf.DUMMYFUNCTION("GOOGLETRANSLATE(E4135,""fr"",""it"")"),"Mi piacciono i giochi da tavolo più dei western.")</f>
        <v>Mi piacciono i giochi da tavolo più dei western.</v>
      </c>
    </row>
    <row r="4136">
      <c r="A4136" s="4">
        <v>4134.0</v>
      </c>
      <c r="B4136" s="5" t="s">
        <v>12409</v>
      </c>
      <c r="C4136" s="4">
        <v>1.0</v>
      </c>
      <c r="D4136" s="5" t="s">
        <v>12410</v>
      </c>
      <c r="E4136" s="5" t="s">
        <v>12411</v>
      </c>
      <c r="F4136" s="6" t="str">
        <f>IFERROR(__xludf.DUMMYFUNCTION("GOOGLETRANSLATE(D4136,""en"",""it"")"),"Mi piacciono gli occidentali più dei videogiochi.")</f>
        <v>Mi piacciono gli occidentali più dei videogiochi.</v>
      </c>
      <c r="G4136" s="6" t="str">
        <f>IFERROR(__xludf.DUMMYFUNCTION("GOOGLETRANSLATE(E4136,""fr"",""it"")"),"Mi piacciono gli occidentali più dei videogiochi.")</f>
        <v>Mi piacciono gli occidentali più dei videogiochi.</v>
      </c>
    </row>
    <row r="4137">
      <c r="A4137" s="4">
        <v>4135.0</v>
      </c>
      <c r="B4137" s="5" t="s">
        <v>12412</v>
      </c>
      <c r="C4137" s="4">
        <v>1.0</v>
      </c>
      <c r="D4137" s="5" t="s">
        <v>12413</v>
      </c>
      <c r="E4137" s="5" t="s">
        <v>12414</v>
      </c>
      <c r="F4137" s="6" t="str">
        <f>IFERROR(__xludf.DUMMYFUNCTION("GOOGLETRANSLATE(D4137,""en"",""it"")"),"Mi piacciono i videogiochi più dei western.")</f>
        <v>Mi piacciono i videogiochi più dei western.</v>
      </c>
      <c r="G4137" s="6" t="str">
        <f>IFERROR(__xludf.DUMMYFUNCTION("GOOGLETRANSLATE(E4137,""fr"",""it"")"),"Mi piacciono i videogiochi più dei western.")</f>
        <v>Mi piacciono i videogiochi più dei western.</v>
      </c>
    </row>
    <row r="4138">
      <c r="A4138" s="4">
        <v>4136.0</v>
      </c>
      <c r="B4138" s="5" t="s">
        <v>12415</v>
      </c>
      <c r="C4138" s="4">
        <v>0.0</v>
      </c>
      <c r="D4138" s="5" t="s">
        <v>12416</v>
      </c>
      <c r="E4138" s="5" t="s">
        <v>12417</v>
      </c>
      <c r="F4138" s="6" t="str">
        <f>IFERROR(__xludf.DUMMYFUNCTION("GOOGLETRANSLATE(D4138,""en"",""it"")"),"Mi piacciono i gatti, tranne le giraffe.")</f>
        <v>Mi piacciono i gatti, tranne le giraffe.</v>
      </c>
      <c r="G4138" s="6" t="str">
        <f>IFERROR(__xludf.DUMMYFUNCTION("GOOGLETRANSLATE(E4138,""fr"",""it"")"),"Mi piacciono i gatti, tranne le giraffe.")</f>
        <v>Mi piacciono i gatti, tranne le giraffe.</v>
      </c>
    </row>
    <row r="4139">
      <c r="A4139" s="4">
        <v>4137.0</v>
      </c>
      <c r="B4139" s="5" t="s">
        <v>12418</v>
      </c>
      <c r="C4139" s="4">
        <v>0.0</v>
      </c>
      <c r="D4139" s="5" t="s">
        <v>12419</v>
      </c>
      <c r="E4139" s="5" t="s">
        <v>12420</v>
      </c>
      <c r="F4139" s="6" t="str">
        <f>IFERROR(__xludf.DUMMYFUNCTION("GOOGLETRANSLATE(D4139,""en"",""it"")"),"Mi piacciono le giraffe, tranne i gatti.")</f>
        <v>Mi piacciono le giraffe, tranne i gatti.</v>
      </c>
      <c r="G4139" s="6" t="str">
        <f>IFERROR(__xludf.DUMMYFUNCTION("GOOGLETRANSLATE(E4139,""fr"",""it"")"),"Amo le giraffe, tranne i gatti.")</f>
        <v>Amo le giraffe, tranne i gatti.</v>
      </c>
    </row>
    <row r="4140">
      <c r="A4140" s="4">
        <v>4138.0</v>
      </c>
      <c r="B4140" s="5" t="s">
        <v>12421</v>
      </c>
      <c r="C4140" s="4">
        <v>0.0</v>
      </c>
      <c r="D4140" s="5" t="s">
        <v>12422</v>
      </c>
      <c r="E4140" s="5" t="s">
        <v>12423</v>
      </c>
      <c r="F4140" s="6" t="str">
        <f>IFERROR(__xludf.DUMMYFUNCTION("GOOGLETRANSLATE(D4140,""en"",""it"")"),"Mi piacciono i gatti, tranne gli animali domestici.")</f>
        <v>Mi piacciono i gatti, tranne gli animali domestici.</v>
      </c>
      <c r="G4140" s="6" t="str">
        <f>IFERROR(__xludf.DUMMYFUNCTION("GOOGLETRANSLATE(E4140,""fr"",""it"")"),"Mi piacciono i gatti tranne animali domestici.")</f>
        <v>Mi piacciono i gatti tranne animali domestici.</v>
      </c>
    </row>
    <row r="4141">
      <c r="A4141" s="4">
        <v>4139.0</v>
      </c>
      <c r="B4141" s="5" t="s">
        <v>12424</v>
      </c>
      <c r="C4141" s="4">
        <v>1.0</v>
      </c>
      <c r="D4141" s="5" t="s">
        <v>12425</v>
      </c>
      <c r="E4141" s="5" t="s">
        <v>12426</v>
      </c>
      <c r="F4141" s="6" t="str">
        <f>IFERROR(__xludf.DUMMYFUNCTION("GOOGLETRANSLATE(D4141,""en"",""it"")"),"Mi piacciono le commedie più dei saggi.")</f>
        <v>Mi piacciono le commedie più dei saggi.</v>
      </c>
      <c r="G4141" s="6" t="str">
        <f>IFERROR(__xludf.DUMMYFUNCTION("GOOGLETRANSLATE(E4141,""fr"",""it"")"),"Mi piacciono le commedie più dei test.")</f>
        <v>Mi piacciono le commedie più dei test.</v>
      </c>
    </row>
    <row r="4142">
      <c r="A4142" s="4">
        <v>4140.0</v>
      </c>
      <c r="B4142" s="5" t="s">
        <v>12427</v>
      </c>
      <c r="C4142" s="4">
        <v>1.0</v>
      </c>
      <c r="D4142" s="5" t="s">
        <v>12428</v>
      </c>
      <c r="E4142" s="5" t="s">
        <v>12429</v>
      </c>
      <c r="F4142" s="6" t="str">
        <f>IFERROR(__xludf.DUMMYFUNCTION("GOOGLETRANSLATE(D4142,""en"",""it"")"),"Mi piacciono i saggi più delle commedie.")</f>
        <v>Mi piacciono i saggi più delle commedie.</v>
      </c>
      <c r="G4142" s="6" t="str">
        <f>IFERROR(__xludf.DUMMYFUNCTION("GOOGLETRANSLATE(E4142,""fr"",""it"")"),"Mi piacciono i test più delle commedie.")</f>
        <v>Mi piacciono i test più delle commedie.</v>
      </c>
    </row>
    <row r="4143">
      <c r="A4143" s="4">
        <v>4141.0</v>
      </c>
      <c r="B4143" s="5" t="s">
        <v>12430</v>
      </c>
      <c r="C4143" s="4">
        <v>0.0</v>
      </c>
      <c r="D4143" s="5" t="s">
        <v>12431</v>
      </c>
      <c r="E4143" s="5" t="s">
        <v>12432</v>
      </c>
      <c r="F4143" s="6" t="str">
        <f>IFERROR(__xludf.DUMMYFUNCTION("GOOGLETRANSLATE(D4143,""en"",""it"")"),"Mi piacciono le commedie più dei film.")</f>
        <v>Mi piacciono le commedie più dei film.</v>
      </c>
      <c r="G4143" s="6" t="str">
        <f>IFERROR(__xludf.DUMMYFUNCTION("GOOGLETRANSLATE(E4143,""fr"",""it"")"),"Amo le commedie più dei film.")</f>
        <v>Amo le commedie più dei film.</v>
      </c>
    </row>
    <row r="4144">
      <c r="A4144" s="4">
        <v>4142.0</v>
      </c>
      <c r="B4144" s="5" t="s">
        <v>12433</v>
      </c>
      <c r="C4144" s="4">
        <v>0.0</v>
      </c>
      <c r="D4144" s="5" t="s">
        <v>12434</v>
      </c>
      <c r="E4144" s="5" t="s">
        <v>12435</v>
      </c>
      <c r="F4144" s="6" t="str">
        <f>IFERROR(__xludf.DUMMYFUNCTION("GOOGLETRANSLATE(D4144,""en"",""it"")"),"Mi piacciono i film più delle commedie.")</f>
        <v>Mi piacciono i film più delle commedie.</v>
      </c>
      <c r="G4144" s="6" t="str">
        <f>IFERROR(__xludf.DUMMYFUNCTION("GOOGLETRANSLATE(E4144,""fr"",""it"")"),"Mi piacciono i film più delle commedie.")</f>
        <v>Mi piacciono i film più delle commedie.</v>
      </c>
    </row>
    <row r="4145">
      <c r="A4145" s="4">
        <v>4143.0</v>
      </c>
      <c r="B4145" s="5" t="s">
        <v>12436</v>
      </c>
      <c r="C4145" s="4">
        <v>1.0</v>
      </c>
      <c r="D4145" s="5" t="s">
        <v>12437</v>
      </c>
      <c r="E4145" s="5" t="s">
        <v>12438</v>
      </c>
      <c r="F4145" s="6" t="str">
        <f>IFERROR(__xludf.DUMMYFUNCTION("GOOGLETRANSLATE(D4145,""en"",""it"")"),"Mi piacciono le commedie più dei libri di testo.")</f>
        <v>Mi piacciono le commedie più dei libri di testo.</v>
      </c>
      <c r="G4145" s="6" t="str">
        <f>IFERROR(__xludf.DUMMYFUNCTION("GOOGLETRANSLATE(E4145,""fr"",""it"")"),"Amo le commedie più dei libri di testo.")</f>
        <v>Amo le commedie più dei libri di testo.</v>
      </c>
    </row>
    <row r="4146">
      <c r="A4146" s="4">
        <v>4144.0</v>
      </c>
      <c r="B4146" s="5" t="s">
        <v>12439</v>
      </c>
      <c r="C4146" s="4">
        <v>1.0</v>
      </c>
      <c r="D4146" s="5" t="s">
        <v>12440</v>
      </c>
      <c r="E4146" s="5" t="s">
        <v>12441</v>
      </c>
      <c r="F4146" s="6" t="str">
        <f>IFERROR(__xludf.DUMMYFUNCTION("GOOGLETRANSLATE(D4146,""en"",""it"")"),"Mi piacciono i libri di testo più delle commedie.")</f>
        <v>Mi piacciono i libri di testo più delle commedie.</v>
      </c>
      <c r="G4146" s="6" t="str">
        <f>IFERROR(__xludf.DUMMYFUNCTION("GOOGLETRANSLATE(E4146,""fr"",""it"")"),"Mi piacciono i libri di testo più delle commedie.")</f>
        <v>Mi piacciono i libri di testo più delle commedie.</v>
      </c>
    </row>
    <row r="4147">
      <c r="A4147" s="4">
        <v>4145.0</v>
      </c>
      <c r="B4147" s="5" t="s">
        <v>12442</v>
      </c>
      <c r="C4147" s="4">
        <v>1.0</v>
      </c>
      <c r="D4147" s="5" t="s">
        <v>12443</v>
      </c>
      <c r="E4147" s="5" t="s">
        <v>12444</v>
      </c>
      <c r="F4147" s="6" t="str">
        <f>IFERROR(__xludf.DUMMYFUNCTION("GOOGLETRANSLATE(D4147,""en"",""it"")"),"Mi piacciono gli animali domestici, tranne i gatti.")</f>
        <v>Mi piacciono gli animali domestici, tranne i gatti.</v>
      </c>
      <c r="G4147" s="6" t="str">
        <f>IFERROR(__xludf.DUMMYFUNCTION("GOOGLETRANSLATE(E4147,""fr"",""it"")"),"Amo gli animali domestici tranne i gatti.")</f>
        <v>Amo gli animali domestici tranne i gatti.</v>
      </c>
    </row>
    <row r="4148">
      <c r="A4148" s="4">
        <v>4146.0</v>
      </c>
      <c r="B4148" s="5" t="s">
        <v>12445</v>
      </c>
      <c r="C4148" s="4">
        <v>1.0</v>
      </c>
      <c r="D4148" s="5" t="s">
        <v>12446</v>
      </c>
      <c r="E4148" s="5" t="s">
        <v>12447</v>
      </c>
      <c r="F4148" s="6" t="str">
        <f>IFERROR(__xludf.DUMMYFUNCTION("GOOGLETRANSLATE(D4148,""en"",""it"")"),"Mi piacciono le commedie più dei tavolini.")</f>
        <v>Mi piacciono le commedie più dei tavolini.</v>
      </c>
      <c r="G4148" s="6" t="str">
        <f>IFERROR(__xludf.DUMMYFUNCTION("GOOGLETRANSLATE(E4148,""fr"",""it"")"),"Amo le commedie più dei giochi da tavolo.")</f>
        <v>Amo le commedie più dei giochi da tavolo.</v>
      </c>
    </row>
    <row r="4149">
      <c r="A4149" s="4">
        <v>4147.0</v>
      </c>
      <c r="B4149" s="5" t="s">
        <v>12448</v>
      </c>
      <c r="C4149" s="4">
        <v>1.0</v>
      </c>
      <c r="D4149" s="5" t="s">
        <v>12449</v>
      </c>
      <c r="E4149" s="5" t="s">
        <v>12450</v>
      </c>
      <c r="F4149" s="6" t="str">
        <f>IFERROR(__xludf.DUMMYFUNCTION("GOOGLETRANSLATE(D4149,""en"",""it"")"),"Mi piacciono i boardgames più delle commedie.")</f>
        <v>Mi piacciono i boardgames più delle commedie.</v>
      </c>
      <c r="G4149" s="6" t="str">
        <f>IFERROR(__xludf.DUMMYFUNCTION("GOOGLETRANSLATE(E4149,""fr"",""it"")"),"Mi piacciono i giochi sociali più delle commedie.")</f>
        <v>Mi piacciono i giochi sociali più delle commedie.</v>
      </c>
    </row>
    <row r="4150">
      <c r="A4150" s="4">
        <v>4148.0</v>
      </c>
      <c r="B4150" s="5" t="s">
        <v>12451</v>
      </c>
      <c r="C4150" s="4">
        <v>1.0</v>
      </c>
      <c r="D4150" s="5" t="s">
        <v>12452</v>
      </c>
      <c r="E4150" s="5" t="s">
        <v>12453</v>
      </c>
      <c r="F4150" s="6" t="str">
        <f>IFERROR(__xludf.DUMMYFUNCTION("GOOGLETRANSLATE(D4150,""en"",""it"")"),"Mi piacciono le commedie più dei videogiochi.")</f>
        <v>Mi piacciono le commedie più dei videogiochi.</v>
      </c>
      <c r="G4150" s="6" t="str">
        <f>IFERROR(__xludf.DUMMYFUNCTION("GOOGLETRANSLATE(E4150,""fr"",""it"")"),"Mi piacciono le commedie più dei videogiochi.")</f>
        <v>Mi piacciono le commedie più dei videogiochi.</v>
      </c>
    </row>
    <row r="4151">
      <c r="A4151" s="4">
        <v>4149.0</v>
      </c>
      <c r="B4151" s="5" t="s">
        <v>12454</v>
      </c>
      <c r="C4151" s="4">
        <v>1.0</v>
      </c>
      <c r="D4151" s="5" t="s">
        <v>12455</v>
      </c>
      <c r="E4151" s="5" t="s">
        <v>12456</v>
      </c>
      <c r="F4151" s="6" t="str">
        <f>IFERROR(__xludf.DUMMYFUNCTION("GOOGLETRANSLATE(D4151,""en"",""it"")"),"Mi piacciono i videogiochi più delle commedie.")</f>
        <v>Mi piacciono i videogiochi più delle commedie.</v>
      </c>
      <c r="G4151" s="6" t="str">
        <f>IFERROR(__xludf.DUMMYFUNCTION("GOOGLETRANSLATE(E4151,""fr"",""it"")"),"Mi piacciono i videogiochi più delle commedie.")</f>
        <v>Mi piacciono i videogiochi più delle commedie.</v>
      </c>
    </row>
    <row r="4152">
      <c r="A4152" s="4">
        <v>4150.0</v>
      </c>
      <c r="B4152" s="5" t="s">
        <v>12457</v>
      </c>
      <c r="C4152" s="4">
        <v>0.0</v>
      </c>
      <c r="D4152" s="5" t="s">
        <v>12458</v>
      </c>
      <c r="E4152" s="5" t="s">
        <v>12459</v>
      </c>
      <c r="F4152" s="6" t="str">
        <f>IFERROR(__xludf.DUMMYFUNCTION("GOOGLETRANSLATE(D4152,""en"",""it"")"),"Mi piacciono gli animali domestici, tranne le giraffe.")</f>
        <v>Mi piacciono gli animali domestici, tranne le giraffe.</v>
      </c>
      <c r="G4152" s="6" t="str">
        <f>IFERROR(__xludf.DUMMYFUNCTION("GOOGLETRANSLATE(E4152,""fr"",""it"")"),"Amo gli animali domestici, tranne le giraffe.")</f>
        <v>Amo gli animali domestici, tranne le giraffe.</v>
      </c>
    </row>
    <row r="4153">
      <c r="A4153" s="4">
        <v>4151.0</v>
      </c>
      <c r="B4153" s="5" t="s">
        <v>12460</v>
      </c>
      <c r="C4153" s="4">
        <v>0.0</v>
      </c>
      <c r="D4153" s="5" t="s">
        <v>12461</v>
      </c>
      <c r="E4153" s="5" t="s">
        <v>12462</v>
      </c>
      <c r="F4153" s="6" t="str">
        <f>IFERROR(__xludf.DUMMYFUNCTION("GOOGLETRANSLATE(D4153,""en"",""it"")"),"Mi piacciono i gatti, tranne gli orsi.")</f>
        <v>Mi piacciono i gatti, tranne gli orsi.</v>
      </c>
      <c r="G4153" s="6" t="str">
        <f>IFERROR(__xludf.DUMMYFUNCTION("GOOGLETRANSLATE(E4153,""fr"",""it"")"),"Mi piacciono i gatti, tranne gli orsi.")</f>
        <v>Mi piacciono i gatti, tranne gli orsi.</v>
      </c>
    </row>
    <row r="4154">
      <c r="A4154" s="4">
        <v>4152.0</v>
      </c>
      <c r="B4154" s="5" t="s">
        <v>12463</v>
      </c>
      <c r="C4154" s="4">
        <v>0.0</v>
      </c>
      <c r="D4154" s="5" t="s">
        <v>12464</v>
      </c>
      <c r="E4154" s="5" t="s">
        <v>12465</v>
      </c>
      <c r="F4154" s="6" t="str">
        <f>IFERROR(__xludf.DUMMYFUNCTION("GOOGLETRANSLATE(D4154,""en"",""it"")"),"Mi piacciono gli orsi, tranne i gatti.")</f>
        <v>Mi piacciono gli orsi, tranne i gatti.</v>
      </c>
      <c r="G4154" s="6" t="str">
        <f>IFERROR(__xludf.DUMMYFUNCTION("GOOGLETRANSLATE(E4154,""fr"",""it"")"),"Amo gli orsi tranne i gatti.")</f>
        <v>Amo gli orsi tranne i gatti.</v>
      </c>
    </row>
    <row r="4155">
      <c r="A4155" s="4">
        <v>4153.0</v>
      </c>
      <c r="B4155" s="5" t="s">
        <v>12466</v>
      </c>
      <c r="C4155" s="4">
        <v>1.0</v>
      </c>
      <c r="D4155" s="5" t="s">
        <v>12467</v>
      </c>
      <c r="E4155" s="5" t="s">
        <v>12468</v>
      </c>
      <c r="F4155" s="6" t="str">
        <f>IFERROR(__xludf.DUMMYFUNCTION("GOOGLETRANSLATE(D4155,""en"",""it"")"),"Mi piacciono i documentari più dei saggi.")</f>
        <v>Mi piacciono i documentari più dei saggi.</v>
      </c>
      <c r="G4155" s="6" t="str">
        <f>IFERROR(__xludf.DUMMYFUNCTION("GOOGLETRANSLATE(E4155,""fr"",""it"")"),"Mi piacciono i documentari più dei test.")</f>
        <v>Mi piacciono i documentari più dei test.</v>
      </c>
    </row>
    <row r="4156">
      <c r="A4156" s="4">
        <v>4154.0</v>
      </c>
      <c r="B4156" s="5" t="s">
        <v>12469</v>
      </c>
      <c r="C4156" s="4">
        <v>1.0</v>
      </c>
      <c r="D4156" s="5" t="s">
        <v>12470</v>
      </c>
      <c r="E4156" s="5" t="s">
        <v>12471</v>
      </c>
      <c r="F4156" s="6" t="str">
        <f>IFERROR(__xludf.DUMMYFUNCTION("GOOGLETRANSLATE(D4156,""en"",""it"")"),"Mi piacciono i saggi più dei documentari.")</f>
        <v>Mi piacciono i saggi più dei documentari.</v>
      </c>
      <c r="G4156" s="6" t="str">
        <f>IFERROR(__xludf.DUMMYFUNCTION("GOOGLETRANSLATE(E4156,""fr"",""it"")"),"Mi piacciono i test più dei documentari.")</f>
        <v>Mi piacciono i test più dei documentari.</v>
      </c>
    </row>
    <row r="4157">
      <c r="A4157" s="4">
        <v>4155.0</v>
      </c>
      <c r="B4157" s="5" t="s">
        <v>12472</v>
      </c>
      <c r="C4157" s="4">
        <v>0.0</v>
      </c>
      <c r="D4157" s="5" t="s">
        <v>12473</v>
      </c>
      <c r="E4157" s="5" t="s">
        <v>12474</v>
      </c>
      <c r="F4157" s="6" t="str">
        <f>IFERROR(__xludf.DUMMYFUNCTION("GOOGLETRANSLATE(D4157,""en"",""it"")"),"Mi piacciono i documentari più dei film.")</f>
        <v>Mi piacciono i documentari più dei film.</v>
      </c>
      <c r="G4157" s="6" t="str">
        <f>IFERROR(__xludf.DUMMYFUNCTION("GOOGLETRANSLATE(E4157,""fr"",""it"")"),"Mi piacciono i documentari più dei film.")</f>
        <v>Mi piacciono i documentari più dei film.</v>
      </c>
    </row>
    <row r="4158">
      <c r="A4158" s="4">
        <v>4156.0</v>
      </c>
      <c r="B4158" s="5" t="s">
        <v>12475</v>
      </c>
      <c r="C4158" s="4">
        <v>0.0</v>
      </c>
      <c r="D4158" s="5" t="s">
        <v>12476</v>
      </c>
      <c r="E4158" s="5" t="s">
        <v>12477</v>
      </c>
      <c r="F4158" s="6" t="str">
        <f>IFERROR(__xludf.DUMMYFUNCTION("GOOGLETRANSLATE(D4158,""en"",""it"")"),"Mi piacciono i film più dei documentari.")</f>
        <v>Mi piacciono i film più dei documentari.</v>
      </c>
      <c r="G4158" s="6" t="str">
        <f>IFERROR(__xludf.DUMMYFUNCTION("GOOGLETRANSLATE(E4158,""fr"",""it"")"),"Mi piacciono i film più dei documentari.")</f>
        <v>Mi piacciono i film più dei documentari.</v>
      </c>
    </row>
    <row r="4159">
      <c r="A4159" s="4">
        <v>4157.0</v>
      </c>
      <c r="B4159" s="5" t="s">
        <v>12478</v>
      </c>
      <c r="C4159" s="4">
        <v>1.0</v>
      </c>
      <c r="D4159" s="5" t="s">
        <v>12479</v>
      </c>
      <c r="E4159" s="5" t="s">
        <v>12480</v>
      </c>
      <c r="F4159" s="6" t="str">
        <f>IFERROR(__xludf.DUMMYFUNCTION("GOOGLETRANSLATE(D4159,""en"",""it"")"),"Mi piacciono i documentari più dei libri di testo.")</f>
        <v>Mi piacciono i documentari più dei libri di testo.</v>
      </c>
      <c r="G4159" s="6" t="str">
        <f>IFERROR(__xludf.DUMMYFUNCTION("GOOGLETRANSLATE(E4159,""fr"",""it"")"),"Mi piacciono i documentari più dei libri di testo.")</f>
        <v>Mi piacciono i documentari più dei libri di testo.</v>
      </c>
    </row>
    <row r="4160">
      <c r="A4160" s="4">
        <v>4158.0</v>
      </c>
      <c r="B4160" s="5" t="s">
        <v>12481</v>
      </c>
      <c r="C4160" s="4">
        <v>1.0</v>
      </c>
      <c r="D4160" s="5" t="s">
        <v>12482</v>
      </c>
      <c r="E4160" s="5" t="s">
        <v>12483</v>
      </c>
      <c r="F4160" s="6" t="str">
        <f>IFERROR(__xludf.DUMMYFUNCTION("GOOGLETRANSLATE(D4160,""en"",""it"")"),"Mi piacciono i libri di testo più dei documentari.")</f>
        <v>Mi piacciono i libri di testo più dei documentari.</v>
      </c>
      <c r="G4160" s="6" t="str">
        <f>IFERROR(__xludf.DUMMYFUNCTION("GOOGLETRANSLATE(E4160,""fr"",""it"")"),"Mi piacciono i libri di testo più dei documentari.")</f>
        <v>Mi piacciono i libri di testo più dei documentari.</v>
      </c>
    </row>
    <row r="4161">
      <c r="A4161" s="4">
        <v>4159.0</v>
      </c>
      <c r="B4161" s="5" t="s">
        <v>12484</v>
      </c>
      <c r="C4161" s="4">
        <v>0.0</v>
      </c>
      <c r="D4161" s="5" t="s">
        <v>12485</v>
      </c>
      <c r="E4161" s="5" t="s">
        <v>12486</v>
      </c>
      <c r="F4161" s="6" t="str">
        <f>IFERROR(__xludf.DUMMYFUNCTION("GOOGLETRANSLATE(D4161,""en"",""it"")"),"Mi piacciono gli animali domestici, tranne gli orsi.")</f>
        <v>Mi piacciono gli animali domestici, tranne gli orsi.</v>
      </c>
      <c r="G4161" s="6" t="str">
        <f>IFERROR(__xludf.DUMMYFUNCTION("GOOGLETRANSLATE(E4161,""fr"",""it"")"),"Mi piacciono gli animali domestici, tranne gli orsi.")</f>
        <v>Mi piacciono gli animali domestici, tranne gli orsi.</v>
      </c>
    </row>
    <row r="4162">
      <c r="A4162" s="4">
        <v>4160.0</v>
      </c>
      <c r="B4162" s="5" t="s">
        <v>12487</v>
      </c>
      <c r="C4162" s="4">
        <v>1.0</v>
      </c>
      <c r="D4162" s="5" t="s">
        <v>12488</v>
      </c>
      <c r="E4162" s="5" t="s">
        <v>12489</v>
      </c>
      <c r="F4162" s="6" t="str">
        <f>IFERROR(__xludf.DUMMYFUNCTION("GOOGLETRANSLATE(D4162,""en"",""it"")"),"Mi piacciono i documentari più dei tavolini.")</f>
        <v>Mi piacciono i documentari più dei tavolini.</v>
      </c>
      <c r="G4162" s="6" t="str">
        <f>IFERROR(__xludf.DUMMYFUNCTION("GOOGLETRANSLATE(E4162,""fr"",""it"")"),"Mi piacciono i documentari più dei giochi da tavolo.")</f>
        <v>Mi piacciono i documentari più dei giochi da tavolo.</v>
      </c>
    </row>
    <row r="4163">
      <c r="A4163" s="4">
        <v>4161.0</v>
      </c>
      <c r="B4163" s="5" t="s">
        <v>12490</v>
      </c>
      <c r="C4163" s="4">
        <v>1.0</v>
      </c>
      <c r="D4163" s="5" t="s">
        <v>12491</v>
      </c>
      <c r="E4163" s="5" t="s">
        <v>12492</v>
      </c>
      <c r="F4163" s="6" t="str">
        <f>IFERROR(__xludf.DUMMYFUNCTION("GOOGLETRANSLATE(D4163,""en"",""it"")"),"Mi piacciono i boardgames più dei documentari.")</f>
        <v>Mi piacciono i boardgames più dei documentari.</v>
      </c>
      <c r="G4163" s="6" t="str">
        <f>IFERROR(__xludf.DUMMYFUNCTION("GOOGLETRANSLATE(E4163,""fr"",""it"")"),"Mi piacciono i giochi da tavolo più dei documentari.")</f>
        <v>Mi piacciono i giochi da tavolo più dei documentari.</v>
      </c>
    </row>
    <row r="4164">
      <c r="A4164" s="4">
        <v>4162.0</v>
      </c>
      <c r="B4164" s="5" t="s">
        <v>12493</v>
      </c>
      <c r="C4164" s="4">
        <v>1.0</v>
      </c>
      <c r="D4164" s="5" t="s">
        <v>12494</v>
      </c>
      <c r="E4164" s="5" t="s">
        <v>12495</v>
      </c>
      <c r="F4164" s="6" t="str">
        <f>IFERROR(__xludf.DUMMYFUNCTION("GOOGLETRANSLATE(D4164,""en"",""it"")"),"Mi piacciono i documentari più dei videogiochi.")</f>
        <v>Mi piacciono i documentari più dei videogiochi.</v>
      </c>
      <c r="G4164" s="6" t="str">
        <f>IFERROR(__xludf.DUMMYFUNCTION("GOOGLETRANSLATE(E4164,""fr"",""it"")"),"Mi piacciono i documentari più dei videogiochi.")</f>
        <v>Mi piacciono i documentari più dei videogiochi.</v>
      </c>
    </row>
    <row r="4165">
      <c r="A4165" s="4">
        <v>4163.0</v>
      </c>
      <c r="B4165" s="5" t="s">
        <v>12496</v>
      </c>
      <c r="C4165" s="4">
        <v>1.0</v>
      </c>
      <c r="D4165" s="5" t="s">
        <v>12497</v>
      </c>
      <c r="E4165" s="5" t="s">
        <v>12498</v>
      </c>
      <c r="F4165" s="6" t="str">
        <f>IFERROR(__xludf.DUMMYFUNCTION("GOOGLETRANSLATE(D4165,""en"",""it"")"),"Mi piacciono i videogiochi più dei documentari.")</f>
        <v>Mi piacciono i videogiochi più dei documentari.</v>
      </c>
      <c r="G4165" s="6" t="str">
        <f>IFERROR(__xludf.DUMMYFUNCTION("GOOGLETRANSLATE(E4165,""fr"",""it"")"),"Mi piacciono i videogiochi più dei documentari.")</f>
        <v>Mi piacciono i videogiochi più dei documentari.</v>
      </c>
    </row>
    <row r="4166">
      <c r="A4166" s="4">
        <v>4164.0</v>
      </c>
      <c r="B4166" s="5" t="s">
        <v>12499</v>
      </c>
      <c r="C4166" s="4">
        <v>0.0</v>
      </c>
      <c r="D4166" s="5" t="s">
        <v>12500</v>
      </c>
      <c r="E4166" s="5" t="s">
        <v>12501</v>
      </c>
      <c r="F4166" s="6" t="str">
        <f>IFERROR(__xludf.DUMMYFUNCTION("GOOGLETRANSLATE(D4166,""en"",""it"")"),"Mi piacciono i gatti, tranne meduse.")</f>
        <v>Mi piacciono i gatti, tranne meduse.</v>
      </c>
      <c r="G4166" s="6" t="str">
        <f>IFERROR(__xludf.DUMMYFUNCTION("GOOGLETRANSLATE(E4166,""fr"",""it"")"),"Mi piacciono i gatti, tranne la medusa.")</f>
        <v>Mi piacciono i gatti, tranne la medusa.</v>
      </c>
    </row>
    <row r="4167">
      <c r="A4167" s="4">
        <v>4165.0</v>
      </c>
      <c r="B4167" s="5" t="s">
        <v>12502</v>
      </c>
      <c r="C4167" s="4">
        <v>0.0</v>
      </c>
      <c r="D4167" s="5" t="s">
        <v>12503</v>
      </c>
      <c r="E4167" s="5" t="s">
        <v>12504</v>
      </c>
      <c r="F4167" s="6" t="str">
        <f>IFERROR(__xludf.DUMMYFUNCTION("GOOGLETRANSLATE(D4167,""en"",""it"")"),"Mi piacciono le meduse, tranne i gatti.")</f>
        <v>Mi piacciono le meduse, tranne i gatti.</v>
      </c>
      <c r="G4167" s="6" t="str">
        <f>IFERROR(__xludf.DUMMYFUNCTION("GOOGLETRANSLATE(E4167,""fr"",""it"")"),"Adoro meduse tranne i gatti.")</f>
        <v>Adoro meduse tranne i gatti.</v>
      </c>
    </row>
    <row r="4168">
      <c r="A4168" s="4">
        <v>4166.0</v>
      </c>
      <c r="B4168" s="5" t="s">
        <v>12505</v>
      </c>
      <c r="C4168" s="4">
        <v>0.0</v>
      </c>
      <c r="D4168" s="5" t="s">
        <v>12506</v>
      </c>
      <c r="E4168" s="5" t="s">
        <v>12507</v>
      </c>
      <c r="F4168" s="6" t="str">
        <f>IFERROR(__xludf.DUMMYFUNCTION("GOOGLETRANSLATE(D4168,""en"",""it"")"),"Mi piacciono gli animali domestici, tranne le meduse.")</f>
        <v>Mi piacciono gli animali domestici, tranne le meduse.</v>
      </c>
      <c r="G4168" s="6" t="str">
        <f>IFERROR(__xludf.DUMMYFUNCTION("GOOGLETRANSLATE(E4168,""fr"",""it"")"),"Amo gli animali domestici, tranne la medusa.")</f>
        <v>Amo gli animali domestici, tranne la medusa.</v>
      </c>
    </row>
    <row r="4169">
      <c r="A4169" s="4">
        <v>4167.0</v>
      </c>
      <c r="B4169" s="5" t="s">
        <v>12508</v>
      </c>
      <c r="C4169" s="4">
        <v>1.0</v>
      </c>
      <c r="D4169" s="5" t="s">
        <v>12509</v>
      </c>
      <c r="E4169" s="5" t="s">
        <v>12510</v>
      </c>
      <c r="F4169" s="6" t="str">
        <f>IFERROR(__xludf.DUMMYFUNCTION("GOOGLETRANSLATE(D4169,""en"",""it"")"),"Mi piacciono i braccialetti più delle borse.")</f>
        <v>Mi piacciono i braccialetti più delle borse.</v>
      </c>
      <c r="G4169" s="6" t="str">
        <f>IFERROR(__xludf.DUMMYFUNCTION("GOOGLETRANSLATE(E4169,""fr"",""it"")"),"Mi piacciono i braccialetti più delle borse.")</f>
        <v>Mi piacciono i braccialetti più delle borse.</v>
      </c>
    </row>
    <row r="4170">
      <c r="A4170" s="4">
        <v>4168.0</v>
      </c>
      <c r="B4170" s="5" t="s">
        <v>12511</v>
      </c>
      <c r="C4170" s="4">
        <v>1.0</v>
      </c>
      <c r="D4170" s="5" t="s">
        <v>12512</v>
      </c>
      <c r="E4170" s="5" t="s">
        <v>12513</v>
      </c>
      <c r="F4170" s="6" t="str">
        <f>IFERROR(__xludf.DUMMYFUNCTION("GOOGLETRANSLATE(D4170,""en"",""it"")"),"Mi piacciono le borse più dei braccialetti.")</f>
        <v>Mi piacciono le borse più dei braccialetti.</v>
      </c>
      <c r="G4170" s="6" t="str">
        <f>IFERROR(__xludf.DUMMYFUNCTION("GOOGLETRANSLATE(E4170,""fr"",""it"")"),"Mi piacciono le borse più dei braccialetti.")</f>
        <v>Mi piacciono le borse più dei braccialetti.</v>
      </c>
    </row>
    <row r="4171">
      <c r="A4171" s="4">
        <v>4169.0</v>
      </c>
      <c r="B4171" s="5" t="s">
        <v>12514</v>
      </c>
      <c r="C4171" s="4">
        <v>0.0</v>
      </c>
      <c r="D4171" s="5" t="s">
        <v>12515</v>
      </c>
      <c r="E4171" s="5" t="s">
        <v>12516</v>
      </c>
      <c r="F4171" s="6" t="str">
        <f>IFERROR(__xludf.DUMMYFUNCTION("GOOGLETRANSLATE(D4171,""en"",""it"")"),"Mi piacciono i braccialetti più dei gioielli.")</f>
        <v>Mi piacciono i braccialetti più dei gioielli.</v>
      </c>
      <c r="G4171" s="6" t="str">
        <f>IFERROR(__xludf.DUMMYFUNCTION("GOOGLETRANSLATE(E4171,""fr"",""it"")"),"Mi piacciono i braccialetti più dei gioielli.")</f>
        <v>Mi piacciono i braccialetti più dei gioielli.</v>
      </c>
    </row>
    <row r="4172">
      <c r="A4172" s="4">
        <v>4170.0</v>
      </c>
      <c r="B4172" s="5" t="s">
        <v>12517</v>
      </c>
      <c r="C4172" s="4">
        <v>0.0</v>
      </c>
      <c r="D4172" s="5" t="s">
        <v>12518</v>
      </c>
      <c r="E4172" s="5" t="s">
        <v>12519</v>
      </c>
      <c r="F4172" s="6" t="str">
        <f>IFERROR(__xludf.DUMMYFUNCTION("GOOGLETRANSLATE(D4172,""en"",""it"")"),"Mi piacciono i gioielli più dei braccialetti.")</f>
        <v>Mi piacciono i gioielli più dei braccialetti.</v>
      </c>
      <c r="G4172" s="6" t="str">
        <f>IFERROR(__xludf.DUMMYFUNCTION("GOOGLETRANSLATE(E4172,""fr"",""it"")"),"Mi piacciono i gioielli più dei braccialetti.")</f>
        <v>Mi piacciono i gioielli più dei braccialetti.</v>
      </c>
    </row>
    <row r="4173">
      <c r="A4173" s="4">
        <v>4171.0</v>
      </c>
      <c r="B4173" s="5" t="s">
        <v>12520</v>
      </c>
      <c r="C4173" s="4">
        <v>1.0</v>
      </c>
      <c r="D4173" s="5" t="s">
        <v>12521</v>
      </c>
      <c r="E4173" s="5" t="s">
        <v>12522</v>
      </c>
      <c r="F4173" s="6" t="str">
        <f>IFERROR(__xludf.DUMMYFUNCTION("GOOGLETRANSLATE(D4173,""en"",""it"")"),"Mi piacciono i gioielli più delle borse.")</f>
        <v>Mi piacciono i gioielli più delle borse.</v>
      </c>
      <c r="G4173" s="6" t="str">
        <f>IFERROR(__xludf.DUMMYFUNCTION("GOOGLETRANSLATE(E4173,""fr"",""it"")"),"Mi piacciono i gioielli più delle borse.")</f>
        <v>Mi piacciono i gioielli più delle borse.</v>
      </c>
    </row>
    <row r="4174">
      <c r="A4174" s="4">
        <v>4172.0</v>
      </c>
      <c r="B4174" s="5" t="s">
        <v>12523</v>
      </c>
      <c r="C4174" s="4">
        <v>1.0</v>
      </c>
      <c r="D4174" s="5" t="s">
        <v>12524</v>
      </c>
      <c r="E4174" s="5" t="s">
        <v>12525</v>
      </c>
      <c r="F4174" s="6" t="str">
        <f>IFERROR(__xludf.DUMMYFUNCTION("GOOGLETRANSLATE(D4174,""en"",""it"")"),"Mi piacciono i braccialetti più delle sciarpe.")</f>
        <v>Mi piacciono i braccialetti più delle sciarpe.</v>
      </c>
      <c r="G4174" s="6" t="str">
        <f>IFERROR(__xludf.DUMMYFUNCTION("GOOGLETRANSLATE(E4174,""fr"",""it"")"),"Mi piacciono i braccialetti più che sciarpe.")</f>
        <v>Mi piacciono i braccialetti più che sciarpe.</v>
      </c>
    </row>
    <row r="4175">
      <c r="A4175" s="4">
        <v>4173.0</v>
      </c>
      <c r="B4175" s="5" t="s">
        <v>12526</v>
      </c>
      <c r="C4175" s="4">
        <v>1.0</v>
      </c>
      <c r="D4175" s="5" t="s">
        <v>12527</v>
      </c>
      <c r="E4175" s="5" t="s">
        <v>12528</v>
      </c>
      <c r="F4175" s="6" t="str">
        <f>IFERROR(__xludf.DUMMYFUNCTION("GOOGLETRANSLATE(D4175,""en"",""it"")"),"Mi piacciono le sciarpe più dei braccialetti.")</f>
        <v>Mi piacciono le sciarpe più dei braccialetti.</v>
      </c>
      <c r="G4175" s="6" t="str">
        <f>IFERROR(__xludf.DUMMYFUNCTION("GOOGLETRANSLATE(E4175,""fr"",""it"")"),"Mi piacciono le sciarpe più dei braccialetti.")</f>
        <v>Mi piacciono le sciarpe più dei braccialetti.</v>
      </c>
    </row>
    <row r="4176">
      <c r="A4176" s="4">
        <v>4174.0</v>
      </c>
      <c r="B4176" s="5" t="s">
        <v>12529</v>
      </c>
      <c r="C4176" s="4">
        <v>0.0</v>
      </c>
      <c r="D4176" s="5" t="s">
        <v>12530</v>
      </c>
      <c r="E4176" s="5" t="s">
        <v>12531</v>
      </c>
      <c r="F4176" s="6" t="str">
        <f>IFERROR(__xludf.DUMMYFUNCTION("GOOGLETRANSLATE(D4176,""en"",""it"")"),"Mi piacciono i gatti, tranne le balene.")</f>
        <v>Mi piacciono i gatti, tranne le balene.</v>
      </c>
      <c r="G4176" s="6" t="str">
        <f>IFERROR(__xludf.DUMMYFUNCTION("GOOGLETRANSLATE(E4176,""fr"",""it"")"),"Mi piacciono i gatti tranne le balene.")</f>
        <v>Mi piacciono i gatti tranne le balene.</v>
      </c>
    </row>
    <row r="4177">
      <c r="A4177" s="4">
        <v>4175.0</v>
      </c>
      <c r="B4177" s="5" t="s">
        <v>12532</v>
      </c>
      <c r="C4177" s="4">
        <v>1.0</v>
      </c>
      <c r="D4177" s="5" t="s">
        <v>12533</v>
      </c>
      <c r="E4177" s="5" t="s">
        <v>12534</v>
      </c>
      <c r="F4177" s="6" t="str">
        <f>IFERROR(__xludf.DUMMYFUNCTION("GOOGLETRANSLATE(D4177,""en"",""it"")"),"Mi piacciono i gioielli più delle sciarpe.")</f>
        <v>Mi piacciono i gioielli più delle sciarpe.</v>
      </c>
      <c r="G4177" s="6" t="str">
        <f>IFERROR(__xludf.DUMMYFUNCTION("GOOGLETRANSLATE(E4177,""fr"",""it"")"),"Mi piacciono i gioielli più che sciarpe.")</f>
        <v>Mi piacciono i gioielli più che sciarpe.</v>
      </c>
    </row>
    <row r="4178">
      <c r="A4178" s="4">
        <v>4176.0</v>
      </c>
      <c r="B4178" s="5" t="s">
        <v>12535</v>
      </c>
      <c r="C4178" s="4">
        <v>1.0</v>
      </c>
      <c r="D4178" s="5" t="s">
        <v>12536</v>
      </c>
      <c r="E4178" s="5" t="s">
        <v>12537</v>
      </c>
      <c r="F4178" s="6" t="str">
        <f>IFERROR(__xludf.DUMMYFUNCTION("GOOGLETRANSLATE(D4178,""en"",""it"")"),"Mi piacciono i braccialetti più che gli occhiali.")</f>
        <v>Mi piacciono i braccialetti più che gli occhiali.</v>
      </c>
      <c r="G4178" s="6" t="str">
        <f>IFERROR(__xludf.DUMMYFUNCTION("GOOGLETRANSLATE(E4178,""fr"",""it"")"),"Mi piacciono i braccialetti più che gli occhiali.")</f>
        <v>Mi piacciono i braccialetti più che gli occhiali.</v>
      </c>
    </row>
    <row r="4179">
      <c r="A4179" s="4">
        <v>4177.0</v>
      </c>
      <c r="B4179" s="5" t="s">
        <v>12538</v>
      </c>
      <c r="C4179" s="4">
        <v>1.0</v>
      </c>
      <c r="D4179" s="5" t="s">
        <v>12539</v>
      </c>
      <c r="E4179" s="5" t="s">
        <v>12540</v>
      </c>
      <c r="F4179" s="6" t="str">
        <f>IFERROR(__xludf.DUMMYFUNCTION("GOOGLETRANSLATE(D4179,""en"",""it"")"),"Mi piacciono gli occhiali più dei braccialetti.")</f>
        <v>Mi piacciono gli occhiali più dei braccialetti.</v>
      </c>
      <c r="G4179" s="6" t="str">
        <f>IFERROR(__xludf.DUMMYFUNCTION("GOOGLETRANSLATE(E4179,""fr"",""it"")"),"Mi piacciono gli occhiali più dei braccialetti.")</f>
        <v>Mi piacciono gli occhiali più dei braccialetti.</v>
      </c>
    </row>
    <row r="4180">
      <c r="A4180" s="4">
        <v>4178.0</v>
      </c>
      <c r="B4180" s="5" t="s">
        <v>12541</v>
      </c>
      <c r="C4180" s="4">
        <v>1.0</v>
      </c>
      <c r="D4180" s="5" t="s">
        <v>12542</v>
      </c>
      <c r="E4180" s="5" t="s">
        <v>12543</v>
      </c>
      <c r="F4180" s="6" t="str">
        <f>IFERROR(__xludf.DUMMYFUNCTION("GOOGLETRANSLATE(D4180,""en"",""it"")"),"Mi piacciono i gioielli più che gli occhiali.")</f>
        <v>Mi piacciono i gioielli più che gli occhiali.</v>
      </c>
      <c r="G4180" s="6" t="str">
        <f>IFERROR(__xludf.DUMMYFUNCTION("GOOGLETRANSLATE(E4180,""fr"",""it"")"),"Mi piacciono i gioielli più che gli occhiali.")</f>
        <v>Mi piacciono i gioielli più che gli occhiali.</v>
      </c>
    </row>
    <row r="4181">
      <c r="A4181" s="4">
        <v>4179.0</v>
      </c>
      <c r="B4181" s="5" t="s">
        <v>12544</v>
      </c>
      <c r="C4181" s="4">
        <v>1.0</v>
      </c>
      <c r="D4181" s="5" t="s">
        <v>12545</v>
      </c>
      <c r="E4181" s="5" t="s">
        <v>12546</v>
      </c>
      <c r="F4181" s="6" t="str">
        <f>IFERROR(__xludf.DUMMYFUNCTION("GOOGLETRANSLATE(D4181,""en"",""it"")"),"Mi piacciono i braccialetti più delle scarpe.")</f>
        <v>Mi piacciono i braccialetti più delle scarpe.</v>
      </c>
      <c r="G4181" s="6" t="str">
        <f>IFERROR(__xludf.DUMMYFUNCTION("GOOGLETRANSLATE(E4181,""fr"",""it"")"),"Mi piacciono i braccialetti più delle scarpe.")</f>
        <v>Mi piacciono i braccialetti più delle scarpe.</v>
      </c>
    </row>
    <row r="4182">
      <c r="A4182" s="4">
        <v>4180.0</v>
      </c>
      <c r="B4182" s="5" t="s">
        <v>12547</v>
      </c>
      <c r="C4182" s="4">
        <v>1.0</v>
      </c>
      <c r="D4182" s="5" t="s">
        <v>12548</v>
      </c>
      <c r="E4182" s="5" t="s">
        <v>12549</v>
      </c>
      <c r="F4182" s="6" t="str">
        <f>IFERROR(__xludf.DUMMYFUNCTION("GOOGLETRANSLATE(D4182,""en"",""it"")"),"Mi piacciono le scarpe più dei braccialetti.")</f>
        <v>Mi piacciono le scarpe più dei braccialetti.</v>
      </c>
      <c r="G4182" s="6" t="str">
        <f>IFERROR(__xludf.DUMMYFUNCTION("GOOGLETRANSLATE(E4182,""fr"",""it"")"),"Mi piacciono le scarpe più dei braccialetti.")</f>
        <v>Mi piacciono le scarpe più dei braccialetti.</v>
      </c>
    </row>
    <row r="4183">
      <c r="A4183" s="4">
        <v>4181.0</v>
      </c>
      <c r="B4183" s="5" t="s">
        <v>12550</v>
      </c>
      <c r="C4183" s="4">
        <v>0.0</v>
      </c>
      <c r="D4183" s="5" t="s">
        <v>12551</v>
      </c>
      <c r="E4183" s="5" t="s">
        <v>12552</v>
      </c>
      <c r="F4183" s="6" t="str">
        <f>IFERROR(__xludf.DUMMYFUNCTION("GOOGLETRANSLATE(D4183,""en"",""it"")"),"Mi piacciono le balene, tranne i gatti.")</f>
        <v>Mi piacciono le balene, tranne i gatti.</v>
      </c>
      <c r="G4183" s="6" t="str">
        <f>IFERROR(__xludf.DUMMYFUNCTION("GOOGLETRANSLATE(E4183,""fr"",""it"")"),"Amo le balene tranne i gatti.")</f>
        <v>Amo le balene tranne i gatti.</v>
      </c>
    </row>
    <row r="4184">
      <c r="A4184" s="4">
        <v>4182.0</v>
      </c>
      <c r="B4184" s="5" t="s">
        <v>12553</v>
      </c>
      <c r="C4184" s="4">
        <v>1.0</v>
      </c>
      <c r="D4184" s="5" t="s">
        <v>12554</v>
      </c>
      <c r="E4184" s="5" t="s">
        <v>12555</v>
      </c>
      <c r="F4184" s="6" t="str">
        <f>IFERROR(__xludf.DUMMYFUNCTION("GOOGLETRANSLATE(D4184,""en"",""it"")"),"Mi piacciono i gioielli più delle scarpe.")</f>
        <v>Mi piacciono i gioielli più delle scarpe.</v>
      </c>
      <c r="G4184" s="6" t="str">
        <f>IFERROR(__xludf.DUMMYFUNCTION("GOOGLETRANSLATE(E4184,""fr"",""it"")"),"Mi piacciono i gioielli più delle scarpe.")</f>
        <v>Mi piacciono i gioielli più delle scarpe.</v>
      </c>
    </row>
    <row r="4185">
      <c r="A4185" s="4">
        <v>4183.0</v>
      </c>
      <c r="B4185" s="5" t="s">
        <v>12556</v>
      </c>
      <c r="C4185" s="4">
        <v>0.0</v>
      </c>
      <c r="D4185" s="5" t="s">
        <v>12557</v>
      </c>
      <c r="E4185" s="5" t="s">
        <v>12558</v>
      </c>
      <c r="F4185" s="6" t="str">
        <f>IFERROR(__xludf.DUMMYFUNCTION("GOOGLETRANSLATE(D4185,""en"",""it"")"),"Mi piacciono gli animali domestici, tranne le balene.")</f>
        <v>Mi piacciono gli animali domestici, tranne le balene.</v>
      </c>
      <c r="G4185" s="6" t="str">
        <f>IFERROR(__xludf.DUMMYFUNCTION("GOOGLETRANSLATE(E4185,""fr"",""it"")"),"Mi piacciono gli animali domestici, tranne le balene.")</f>
        <v>Mi piacciono gli animali domestici, tranne le balene.</v>
      </c>
    </row>
    <row r="4186">
      <c r="A4186" s="4">
        <v>4184.0</v>
      </c>
      <c r="B4186" s="5" t="s">
        <v>12559</v>
      </c>
      <c r="C4186" s="4">
        <v>1.0</v>
      </c>
      <c r="D4186" s="5" t="s">
        <v>12560</v>
      </c>
      <c r="E4186" s="5" t="s">
        <v>12561</v>
      </c>
      <c r="F4186" s="6" t="str">
        <f>IFERROR(__xludf.DUMMYFUNCTION("GOOGLETRANSLATE(D4186,""en"",""it"")"),"Mi piacciono le collane più delle borse.")</f>
        <v>Mi piacciono le collane più delle borse.</v>
      </c>
      <c r="G4186" s="6" t="str">
        <f>IFERROR(__xludf.DUMMYFUNCTION("GOOGLETRANSLATE(E4186,""fr"",""it"")"),"Mi piacciono le collane più delle borse.")</f>
        <v>Mi piacciono le collane più delle borse.</v>
      </c>
    </row>
    <row r="4187">
      <c r="A4187" s="4">
        <v>4185.0</v>
      </c>
      <c r="B4187" s="5" t="s">
        <v>12562</v>
      </c>
      <c r="C4187" s="4">
        <v>1.0</v>
      </c>
      <c r="D4187" s="5" t="s">
        <v>12563</v>
      </c>
      <c r="E4187" s="5" t="s">
        <v>12564</v>
      </c>
      <c r="F4187" s="6" t="str">
        <f>IFERROR(__xludf.DUMMYFUNCTION("GOOGLETRANSLATE(D4187,""en"",""it"")"),"Mi piacciono le borse più delle collane.")</f>
        <v>Mi piacciono le borse più delle collane.</v>
      </c>
      <c r="G4187" s="6" t="str">
        <f>IFERROR(__xludf.DUMMYFUNCTION("GOOGLETRANSLATE(E4187,""fr"",""it"")"),"Mi piacciono le borse più delle collane.")</f>
        <v>Mi piacciono le borse più delle collane.</v>
      </c>
    </row>
    <row r="4188">
      <c r="A4188" s="4">
        <v>4186.0</v>
      </c>
      <c r="B4188" s="5" t="s">
        <v>12565</v>
      </c>
      <c r="C4188" s="4">
        <v>0.0</v>
      </c>
      <c r="D4188" s="5" t="s">
        <v>12566</v>
      </c>
      <c r="E4188" s="5" t="s">
        <v>12567</v>
      </c>
      <c r="F4188" s="6" t="str">
        <f>IFERROR(__xludf.DUMMYFUNCTION("GOOGLETRANSLATE(D4188,""en"",""it"")"),"Mi piacciono le collane più dei gioielli.")</f>
        <v>Mi piacciono le collane più dei gioielli.</v>
      </c>
      <c r="G4188" s="6" t="str">
        <f>IFERROR(__xludf.DUMMYFUNCTION("GOOGLETRANSLATE(E4188,""fr"",""it"")"),"Mi piacciono le collane più dei gioielli.")</f>
        <v>Mi piacciono le collane più dei gioielli.</v>
      </c>
    </row>
    <row r="4189">
      <c r="A4189" s="4">
        <v>4187.0</v>
      </c>
      <c r="B4189" s="5" t="s">
        <v>12568</v>
      </c>
      <c r="C4189" s="4">
        <v>0.0</v>
      </c>
      <c r="D4189" s="5" t="s">
        <v>12569</v>
      </c>
      <c r="E4189" s="5" t="s">
        <v>12570</v>
      </c>
      <c r="F4189" s="6" t="str">
        <f>IFERROR(__xludf.DUMMYFUNCTION("GOOGLETRANSLATE(D4189,""en"",""it"")"),"Mi piacciono i gioielli più delle collane.")</f>
        <v>Mi piacciono i gioielli più delle collane.</v>
      </c>
      <c r="G4189" s="6" t="str">
        <f>IFERROR(__xludf.DUMMYFUNCTION("GOOGLETRANSLATE(E4189,""fr"",""it"")"),"Mi piacciono i gioielli più delle collane.")</f>
        <v>Mi piacciono i gioielli più delle collane.</v>
      </c>
    </row>
    <row r="4190">
      <c r="A4190" s="4">
        <v>4188.0</v>
      </c>
      <c r="B4190" s="5" t="s">
        <v>12571</v>
      </c>
      <c r="C4190" s="4">
        <v>1.0</v>
      </c>
      <c r="D4190" s="5" t="s">
        <v>12572</v>
      </c>
      <c r="E4190" s="5" t="s">
        <v>12573</v>
      </c>
      <c r="F4190" s="6" t="str">
        <f>IFERROR(__xludf.DUMMYFUNCTION("GOOGLETRANSLATE(D4190,""en"",""it"")"),"Mi piacciono le collane più delle sciarpe.")</f>
        <v>Mi piacciono le collane più delle sciarpe.</v>
      </c>
      <c r="G4190" s="6" t="str">
        <f>IFERROR(__xludf.DUMMYFUNCTION("GOOGLETRANSLATE(E4190,""fr"",""it"")"),"Mi piacciono le collane più che sciarpe.")</f>
        <v>Mi piacciono le collane più che sciarpe.</v>
      </c>
    </row>
    <row r="4191">
      <c r="A4191" s="4">
        <v>4189.0</v>
      </c>
      <c r="B4191" s="5" t="s">
        <v>12574</v>
      </c>
      <c r="C4191" s="4">
        <v>1.0</v>
      </c>
      <c r="D4191" s="5" t="s">
        <v>12575</v>
      </c>
      <c r="E4191" s="5" t="s">
        <v>12576</v>
      </c>
      <c r="F4191" s="6" t="str">
        <f>IFERROR(__xludf.DUMMYFUNCTION("GOOGLETRANSLATE(D4191,""en"",""it"")"),"Mi piacciono le sciarpe più delle collane.")</f>
        <v>Mi piacciono le sciarpe più delle collane.</v>
      </c>
      <c r="G4191" s="6" t="str">
        <f>IFERROR(__xludf.DUMMYFUNCTION("GOOGLETRANSLATE(E4191,""fr"",""it"")"),"Mi piacciono le sciarpe più delle collane.")</f>
        <v>Mi piacciono le sciarpe più delle collane.</v>
      </c>
    </row>
    <row r="4192">
      <c r="A4192" s="4">
        <v>4190.0</v>
      </c>
      <c r="B4192" s="5" t="s">
        <v>12577</v>
      </c>
      <c r="C4192" s="4">
        <v>1.0</v>
      </c>
      <c r="D4192" s="5" t="s">
        <v>12578</v>
      </c>
      <c r="E4192" s="5" t="s">
        <v>12579</v>
      </c>
      <c r="F4192" s="6" t="str">
        <f>IFERROR(__xludf.DUMMYFUNCTION("GOOGLETRANSLATE(D4192,""en"",""it"")"),"Mi piacciono le collane più degli occhiali.")</f>
        <v>Mi piacciono le collane più degli occhiali.</v>
      </c>
      <c r="G4192" s="6" t="str">
        <f>IFERROR(__xludf.DUMMYFUNCTION("GOOGLETRANSLATE(E4192,""fr"",""it"")"),"Mi piacciono le collane più degli occhiali.")</f>
        <v>Mi piacciono le collane più degli occhiali.</v>
      </c>
    </row>
    <row r="4193">
      <c r="A4193" s="4">
        <v>4191.0</v>
      </c>
      <c r="B4193" s="5" t="s">
        <v>12580</v>
      </c>
      <c r="C4193" s="4">
        <v>1.0</v>
      </c>
      <c r="D4193" s="5" t="s">
        <v>12581</v>
      </c>
      <c r="E4193" s="5" t="s">
        <v>12582</v>
      </c>
      <c r="F4193" s="6" t="str">
        <f>IFERROR(__xludf.DUMMYFUNCTION("GOOGLETRANSLATE(D4193,""en"",""it"")"),"Mi piacciono gli occhiali più delle collane.")</f>
        <v>Mi piacciono gli occhiali più delle collane.</v>
      </c>
      <c r="G4193" s="6" t="str">
        <f>IFERROR(__xludf.DUMMYFUNCTION("GOOGLETRANSLATE(E4193,""fr"",""it"")"),"Mi piacciono gli occhiali più delle collane.")</f>
        <v>Mi piacciono gli occhiali più delle collane.</v>
      </c>
    </row>
    <row r="4194">
      <c r="A4194" s="4">
        <v>4192.0</v>
      </c>
      <c r="B4194" s="5" t="s">
        <v>12583</v>
      </c>
      <c r="C4194" s="4">
        <v>1.0</v>
      </c>
      <c r="D4194" s="5" t="s">
        <v>12584</v>
      </c>
      <c r="E4194" s="5" t="s">
        <v>12585</v>
      </c>
      <c r="F4194" s="6" t="str">
        <f>IFERROR(__xludf.DUMMYFUNCTION("GOOGLETRANSLATE(D4194,""en"",""it"")"),"Mi piacciono le collane più delle scarpe.")</f>
        <v>Mi piacciono le collane più delle scarpe.</v>
      </c>
      <c r="G4194" s="6" t="str">
        <f>IFERROR(__xludf.DUMMYFUNCTION("GOOGLETRANSLATE(E4194,""fr"",""it"")"),"Mi piacciono le collane più delle scarpe.")</f>
        <v>Mi piacciono le collane più delle scarpe.</v>
      </c>
    </row>
    <row r="4195">
      <c r="A4195" s="4">
        <v>4193.0</v>
      </c>
      <c r="B4195" s="5" t="s">
        <v>12586</v>
      </c>
      <c r="C4195" s="4">
        <v>1.0</v>
      </c>
      <c r="D4195" s="5" t="s">
        <v>12587</v>
      </c>
      <c r="E4195" s="5" t="s">
        <v>12588</v>
      </c>
      <c r="F4195" s="6" t="str">
        <f>IFERROR(__xludf.DUMMYFUNCTION("GOOGLETRANSLATE(D4195,""en"",""it"")"),"Mi piacciono le scarpe più delle collane.")</f>
        <v>Mi piacciono le scarpe più delle collane.</v>
      </c>
      <c r="G4195" s="6" t="str">
        <f>IFERROR(__xludf.DUMMYFUNCTION("GOOGLETRANSLATE(E4195,""fr"",""it"")"),"Mi piacciono le scarpe più delle collane.")</f>
        <v>Mi piacciono le scarpe più delle collane.</v>
      </c>
    </row>
    <row r="4196">
      <c r="A4196" s="4">
        <v>4194.0</v>
      </c>
      <c r="B4196" s="5" t="s">
        <v>12589</v>
      </c>
      <c r="C4196" s="4">
        <v>1.0</v>
      </c>
      <c r="D4196" s="5" t="s">
        <v>12590</v>
      </c>
      <c r="E4196" s="5" t="s">
        <v>12591</v>
      </c>
      <c r="F4196" s="6" t="str">
        <f>IFERROR(__xludf.DUMMYFUNCTION("GOOGLETRANSLATE(D4196,""en"",""it"")"),"Mi piacciono gli orecchini più delle borse.")</f>
        <v>Mi piacciono gli orecchini più delle borse.</v>
      </c>
      <c r="G4196" s="6" t="str">
        <f>IFERROR(__xludf.DUMMYFUNCTION("GOOGLETRANSLATE(E4196,""fr"",""it"")"),"Mi piacciono gli orecchini più delle borse.")</f>
        <v>Mi piacciono gli orecchini più delle borse.</v>
      </c>
    </row>
    <row r="4197">
      <c r="A4197" s="4">
        <v>4195.0</v>
      </c>
      <c r="B4197" s="5" t="s">
        <v>12592</v>
      </c>
      <c r="C4197" s="4">
        <v>1.0</v>
      </c>
      <c r="D4197" s="5" t="s">
        <v>12593</v>
      </c>
      <c r="E4197" s="5" t="s">
        <v>12594</v>
      </c>
      <c r="F4197" s="6" t="str">
        <f>IFERROR(__xludf.DUMMYFUNCTION("GOOGLETRANSLATE(D4197,""en"",""it"")"),"Mi piacciono le borse più degli orecchini.")</f>
        <v>Mi piacciono le borse più degli orecchini.</v>
      </c>
      <c r="G4197" s="6" t="str">
        <f>IFERROR(__xludf.DUMMYFUNCTION("GOOGLETRANSLATE(E4197,""fr"",""it"")"),"Mi piacciono le borse più degli orecchini.")</f>
        <v>Mi piacciono le borse più degli orecchini.</v>
      </c>
    </row>
    <row r="4198">
      <c r="A4198" s="4">
        <v>4196.0</v>
      </c>
      <c r="B4198" s="5" t="s">
        <v>12595</v>
      </c>
      <c r="C4198" s="4">
        <v>0.0</v>
      </c>
      <c r="D4198" s="5" t="s">
        <v>12596</v>
      </c>
      <c r="E4198" s="5" t="s">
        <v>12597</v>
      </c>
      <c r="F4198" s="6" t="str">
        <f>IFERROR(__xludf.DUMMYFUNCTION("GOOGLETRANSLATE(D4198,""en"",""it"")"),"Mi piacciono gli orecchini più dei gioielli.")</f>
        <v>Mi piacciono gli orecchini più dei gioielli.</v>
      </c>
      <c r="G4198" s="6" t="str">
        <f>IFERROR(__xludf.DUMMYFUNCTION("GOOGLETRANSLATE(E4198,""fr"",""it"")"),"Mi piacciono gli orecchini più dei gioielli.")</f>
        <v>Mi piacciono gli orecchini più dei gioielli.</v>
      </c>
    </row>
    <row r="4199">
      <c r="A4199" s="4">
        <v>4197.0</v>
      </c>
      <c r="B4199" s="5" t="s">
        <v>12598</v>
      </c>
      <c r="C4199" s="4">
        <v>0.0</v>
      </c>
      <c r="D4199" s="5" t="s">
        <v>12599</v>
      </c>
      <c r="E4199" s="5" t="s">
        <v>12600</v>
      </c>
      <c r="F4199" s="6" t="str">
        <f>IFERROR(__xludf.DUMMYFUNCTION("GOOGLETRANSLATE(D4199,""en"",""it"")"),"Mi piacciono i gioielli più degli orecchini.")</f>
        <v>Mi piacciono i gioielli più degli orecchini.</v>
      </c>
      <c r="G4199" s="6" t="str">
        <f>IFERROR(__xludf.DUMMYFUNCTION("GOOGLETRANSLATE(E4199,""fr"",""it"")"),"Mi piacciono i gioielli più degli orecchini.")</f>
        <v>Mi piacciono i gioielli più degli orecchini.</v>
      </c>
    </row>
    <row r="4200">
      <c r="A4200" s="4">
        <v>4198.0</v>
      </c>
      <c r="B4200" s="5" t="s">
        <v>12601</v>
      </c>
      <c r="C4200" s="4">
        <v>1.0</v>
      </c>
      <c r="D4200" s="5" t="s">
        <v>12602</v>
      </c>
      <c r="E4200" s="5" t="s">
        <v>12603</v>
      </c>
      <c r="F4200" s="6" t="str">
        <f>IFERROR(__xludf.DUMMYFUNCTION("GOOGLETRANSLATE(D4200,""en"",""it"")"),"Mi piacciono gli orecchini più delle sciarpe.")</f>
        <v>Mi piacciono gli orecchini più delle sciarpe.</v>
      </c>
      <c r="G4200" s="6" t="str">
        <f>IFERROR(__xludf.DUMMYFUNCTION("GOOGLETRANSLATE(E4200,""fr"",""it"")"),"Mi piacciono gli orecchini più che sciarpe.")</f>
        <v>Mi piacciono gli orecchini più che sciarpe.</v>
      </c>
    </row>
    <row r="4201">
      <c r="A4201" s="4">
        <v>4199.0</v>
      </c>
      <c r="B4201" s="5" t="s">
        <v>12604</v>
      </c>
      <c r="C4201" s="4">
        <v>1.0</v>
      </c>
      <c r="D4201" s="5" t="s">
        <v>12605</v>
      </c>
      <c r="E4201" s="5" t="s">
        <v>12606</v>
      </c>
      <c r="F4201" s="6" t="str">
        <f>IFERROR(__xludf.DUMMYFUNCTION("GOOGLETRANSLATE(D4201,""en"",""it"")"),"Mi piacciono le sciarpe più degli orecchini.")</f>
        <v>Mi piacciono le sciarpe più degli orecchini.</v>
      </c>
      <c r="G4201" s="6" t="str">
        <f>IFERROR(__xludf.DUMMYFUNCTION("GOOGLETRANSLATE(E4201,""fr"",""it"")"),"Mi piacciono le sciarpe più degli orecchini.")</f>
        <v>Mi piacciono le sciarpe più degli orecchini.</v>
      </c>
    </row>
    <row r="4202">
      <c r="A4202" s="4">
        <v>4200.0</v>
      </c>
      <c r="B4202" s="5" t="s">
        <v>12607</v>
      </c>
      <c r="C4202" s="4">
        <v>1.0</v>
      </c>
      <c r="D4202" s="5" t="s">
        <v>12608</v>
      </c>
      <c r="E4202" s="5" t="s">
        <v>12609</v>
      </c>
      <c r="F4202" s="6" t="str">
        <f>IFERROR(__xludf.DUMMYFUNCTION("GOOGLETRANSLATE(D4202,""en"",""it"")"),"Mi piacciono gli orecchini più che gli occhiali.")</f>
        <v>Mi piacciono gli orecchini più che gli occhiali.</v>
      </c>
      <c r="G4202" s="6" t="str">
        <f>IFERROR(__xludf.DUMMYFUNCTION("GOOGLETRANSLATE(E4202,""fr"",""it"")"),"Mi piacciono gli orecchini più che gli occhiali.")</f>
        <v>Mi piacciono gli orecchini più che gli occhiali.</v>
      </c>
    </row>
    <row r="4203">
      <c r="A4203" s="4">
        <v>4201.0</v>
      </c>
      <c r="B4203" s="5" t="s">
        <v>12610</v>
      </c>
      <c r="C4203" s="4">
        <v>1.0</v>
      </c>
      <c r="D4203" s="5" t="s">
        <v>12611</v>
      </c>
      <c r="E4203" s="5" t="s">
        <v>12612</v>
      </c>
      <c r="F4203" s="6" t="str">
        <f>IFERROR(__xludf.DUMMYFUNCTION("GOOGLETRANSLATE(D4203,""en"",""it"")"),"Mi piacciono gli occhiali più degli orecchini.")</f>
        <v>Mi piacciono gli occhiali più degli orecchini.</v>
      </c>
      <c r="G4203" s="6" t="str">
        <f>IFERROR(__xludf.DUMMYFUNCTION("GOOGLETRANSLATE(E4203,""fr"",""it"")"),"Mi piacciono gli occhiali più degli orecchini.")</f>
        <v>Mi piacciono gli occhiali più degli orecchini.</v>
      </c>
    </row>
    <row r="4204">
      <c r="A4204" s="4">
        <v>4202.0</v>
      </c>
      <c r="B4204" s="5" t="s">
        <v>12613</v>
      </c>
      <c r="C4204" s="4">
        <v>1.0</v>
      </c>
      <c r="D4204" s="5" t="s">
        <v>12614</v>
      </c>
      <c r="E4204" s="5" t="s">
        <v>12615</v>
      </c>
      <c r="F4204" s="6" t="str">
        <f>IFERROR(__xludf.DUMMYFUNCTION("GOOGLETRANSLATE(D4204,""en"",""it"")"),"Mi piacciono gli orecchini più delle scarpe.")</f>
        <v>Mi piacciono gli orecchini più delle scarpe.</v>
      </c>
      <c r="G4204" s="6" t="str">
        <f>IFERROR(__xludf.DUMMYFUNCTION("GOOGLETRANSLATE(E4204,""fr"",""it"")"),"Mi piacciono gli orecchini più delle scarpe.")</f>
        <v>Mi piacciono gli orecchini più delle scarpe.</v>
      </c>
    </row>
    <row r="4205">
      <c r="A4205" s="4">
        <v>4203.0</v>
      </c>
      <c r="B4205" s="5" t="s">
        <v>12616</v>
      </c>
      <c r="C4205" s="4">
        <v>1.0</v>
      </c>
      <c r="D4205" s="5" t="s">
        <v>12617</v>
      </c>
      <c r="E4205" s="5" t="s">
        <v>12618</v>
      </c>
      <c r="F4205" s="6" t="str">
        <f>IFERROR(__xludf.DUMMYFUNCTION("GOOGLETRANSLATE(D4205,""en"",""it"")"),"Mi piacciono le scarpe più degli orecchini.")</f>
        <v>Mi piacciono le scarpe più degli orecchini.</v>
      </c>
      <c r="G4205" s="6" t="str">
        <f>IFERROR(__xludf.DUMMYFUNCTION("GOOGLETRANSLATE(E4205,""fr"",""it"")"),"Mi piacciono le scarpe più degli orecchini.")</f>
        <v>Mi piacciono le scarpe più degli orecchini.</v>
      </c>
    </row>
    <row r="4206">
      <c r="A4206" s="4">
        <v>4204.0</v>
      </c>
      <c r="B4206" s="5" t="s">
        <v>12619</v>
      </c>
      <c r="C4206" s="4">
        <v>1.0</v>
      </c>
      <c r="D4206" s="5" t="s">
        <v>12620</v>
      </c>
      <c r="E4206" s="5" t="s">
        <v>12621</v>
      </c>
      <c r="F4206" s="6" t="str">
        <f>IFERROR(__xludf.DUMMYFUNCTION("GOOGLETRANSLATE(D4206,""en"",""it"")"),"Mi piacciono gli anelli più delle borse.")</f>
        <v>Mi piacciono gli anelli più delle borse.</v>
      </c>
      <c r="G4206" s="6" t="str">
        <f>IFERROR(__xludf.DUMMYFUNCTION("GOOGLETRANSLATE(E4206,""fr"",""it"")"),"Amo gli anelli più delle borse.")</f>
        <v>Amo gli anelli più delle borse.</v>
      </c>
    </row>
    <row r="4207">
      <c r="A4207" s="4">
        <v>4205.0</v>
      </c>
      <c r="B4207" s="5" t="s">
        <v>12622</v>
      </c>
      <c r="C4207" s="4">
        <v>1.0</v>
      </c>
      <c r="D4207" s="5" t="s">
        <v>12623</v>
      </c>
      <c r="E4207" s="5" t="s">
        <v>12624</v>
      </c>
      <c r="F4207" s="6" t="str">
        <f>IFERROR(__xludf.DUMMYFUNCTION("GOOGLETRANSLATE(D4207,""en"",""it"")"),"Mi piacciono le borse più degli anelli.")</f>
        <v>Mi piacciono le borse più degli anelli.</v>
      </c>
      <c r="G4207" s="6" t="str">
        <f>IFERROR(__xludf.DUMMYFUNCTION("GOOGLETRANSLATE(E4207,""fr"",""it"")"),"Amo le borse più degli anelli.")</f>
        <v>Amo le borse più degli anelli.</v>
      </c>
    </row>
    <row r="4208">
      <c r="A4208" s="4">
        <v>4206.0</v>
      </c>
      <c r="B4208" s="5" t="s">
        <v>12625</v>
      </c>
      <c r="C4208" s="4">
        <v>0.0</v>
      </c>
      <c r="D4208" s="5" t="s">
        <v>12626</v>
      </c>
      <c r="E4208" s="5" t="s">
        <v>12627</v>
      </c>
      <c r="F4208" s="6" t="str">
        <f>IFERROR(__xludf.DUMMYFUNCTION("GOOGLETRANSLATE(D4208,""en"",""it"")"),"Mi piacciono gli anelli più dei gioielli.")</f>
        <v>Mi piacciono gli anelli più dei gioielli.</v>
      </c>
      <c r="G4208" s="6" t="str">
        <f>IFERROR(__xludf.DUMMYFUNCTION("GOOGLETRANSLATE(E4208,""fr"",""it"")"),"Amo gli anelli più dei gioielli.")</f>
        <v>Amo gli anelli più dei gioielli.</v>
      </c>
    </row>
    <row r="4209">
      <c r="A4209" s="4">
        <v>4207.0</v>
      </c>
      <c r="B4209" s="5" t="s">
        <v>12628</v>
      </c>
      <c r="C4209" s="4">
        <v>0.0</v>
      </c>
      <c r="D4209" s="5" t="s">
        <v>12629</v>
      </c>
      <c r="E4209" s="5" t="s">
        <v>12630</v>
      </c>
      <c r="F4209" s="6" t="str">
        <f>IFERROR(__xludf.DUMMYFUNCTION("GOOGLETRANSLATE(D4209,""en"",""it"")"),"Mi piacciono i gioielli più degli anelli.")</f>
        <v>Mi piacciono i gioielli più degli anelli.</v>
      </c>
      <c r="G4209" s="6" t="str">
        <f>IFERROR(__xludf.DUMMYFUNCTION("GOOGLETRANSLATE(E4209,""fr"",""it"")"),"Mi piacciono i gioielli più degli anelli.")</f>
        <v>Mi piacciono i gioielli più degli anelli.</v>
      </c>
    </row>
    <row r="4210">
      <c r="A4210" s="4">
        <v>4208.0</v>
      </c>
      <c r="B4210" s="5" t="s">
        <v>12631</v>
      </c>
      <c r="C4210" s="4">
        <v>1.0</v>
      </c>
      <c r="D4210" s="5" t="s">
        <v>12632</v>
      </c>
      <c r="E4210" s="5" t="s">
        <v>12633</v>
      </c>
      <c r="F4210" s="6" t="str">
        <f>IFERROR(__xludf.DUMMYFUNCTION("GOOGLETRANSLATE(D4210,""en"",""it"")"),"Mi piacciono gli anelli più delle sciarpe.")</f>
        <v>Mi piacciono gli anelli più delle sciarpe.</v>
      </c>
      <c r="G4210" s="6" t="str">
        <f>IFERROR(__xludf.DUMMYFUNCTION("GOOGLETRANSLATE(E4210,""fr"",""it"")"),"Adoro gli anelli più delle sciarpe.")</f>
        <v>Adoro gli anelli più delle sciarpe.</v>
      </c>
    </row>
    <row r="4211">
      <c r="A4211" s="4">
        <v>4209.0</v>
      </c>
      <c r="B4211" s="5" t="s">
        <v>12634</v>
      </c>
      <c r="C4211" s="4">
        <v>1.0</v>
      </c>
      <c r="D4211" s="5" t="s">
        <v>12635</v>
      </c>
      <c r="E4211" s="5" t="s">
        <v>12636</v>
      </c>
      <c r="F4211" s="6" t="str">
        <f>IFERROR(__xludf.DUMMYFUNCTION("GOOGLETRANSLATE(D4211,""en"",""it"")"),"Mi piacciono le sciarpe più degli anelli.")</f>
        <v>Mi piacciono le sciarpe più degli anelli.</v>
      </c>
      <c r="G4211" s="6" t="str">
        <f>IFERROR(__xludf.DUMMYFUNCTION("GOOGLETRANSLATE(E4211,""fr"",""it"")"),"Adoro le sciarpe più degli anelli.")</f>
        <v>Adoro le sciarpe più degli anelli.</v>
      </c>
    </row>
    <row r="4212">
      <c r="A4212" s="4">
        <v>4210.0</v>
      </c>
      <c r="B4212" s="5" t="s">
        <v>12637</v>
      </c>
      <c r="C4212" s="4">
        <v>1.0</v>
      </c>
      <c r="D4212" s="5" t="s">
        <v>12638</v>
      </c>
      <c r="E4212" s="5" t="s">
        <v>12639</v>
      </c>
      <c r="F4212" s="6" t="str">
        <f>IFERROR(__xludf.DUMMYFUNCTION("GOOGLETRANSLATE(D4212,""en"",""it"")"),"Mi piacciono gli anelli più degli occhiali.")</f>
        <v>Mi piacciono gli anelli più degli occhiali.</v>
      </c>
      <c r="G4212" s="6" t="str">
        <f>IFERROR(__xludf.DUMMYFUNCTION("GOOGLETRANSLATE(E4212,""fr"",""it"")"),"Amo gli anelli più degli occhiali.")</f>
        <v>Amo gli anelli più degli occhiali.</v>
      </c>
    </row>
    <row r="4213">
      <c r="A4213" s="4">
        <v>4211.0</v>
      </c>
      <c r="B4213" s="5" t="s">
        <v>12640</v>
      </c>
      <c r="C4213" s="4">
        <v>1.0</v>
      </c>
      <c r="D4213" s="5" t="s">
        <v>12641</v>
      </c>
      <c r="E4213" s="5" t="s">
        <v>12642</v>
      </c>
      <c r="F4213" s="6" t="str">
        <f>IFERROR(__xludf.DUMMYFUNCTION("GOOGLETRANSLATE(D4213,""en"",""it"")"),"Mi piacciono gli occhiali più degli anelli.")</f>
        <v>Mi piacciono gli occhiali più degli anelli.</v>
      </c>
      <c r="G4213" s="6" t="str">
        <f>IFERROR(__xludf.DUMMYFUNCTION("GOOGLETRANSLATE(E4213,""fr"",""it"")"),"Mi piacciono gli occhiali più degli anelli.")</f>
        <v>Mi piacciono gli occhiali più degli anelli.</v>
      </c>
    </row>
    <row r="4214">
      <c r="A4214" s="4">
        <v>4212.0</v>
      </c>
      <c r="B4214" s="5" t="s">
        <v>12643</v>
      </c>
      <c r="C4214" s="4">
        <v>1.0</v>
      </c>
      <c r="D4214" s="5" t="s">
        <v>12644</v>
      </c>
      <c r="E4214" s="5" t="s">
        <v>12645</v>
      </c>
      <c r="F4214" s="6" t="str">
        <f>IFERROR(__xludf.DUMMYFUNCTION("GOOGLETRANSLATE(D4214,""en"",""it"")"),"Mi piacciono gli anelli più delle scarpe.")</f>
        <v>Mi piacciono gli anelli più delle scarpe.</v>
      </c>
      <c r="G4214" s="6" t="str">
        <f>IFERROR(__xludf.DUMMYFUNCTION("GOOGLETRANSLATE(E4214,""fr"",""it"")"),"Amo gli anelli più delle scarpe.")</f>
        <v>Amo gli anelli più delle scarpe.</v>
      </c>
    </row>
    <row r="4215">
      <c r="A4215" s="4">
        <v>4213.0</v>
      </c>
      <c r="B4215" s="5" t="s">
        <v>12646</v>
      </c>
      <c r="C4215" s="4">
        <v>1.0</v>
      </c>
      <c r="D4215" s="5" t="s">
        <v>12647</v>
      </c>
      <c r="E4215" s="5" t="s">
        <v>12648</v>
      </c>
      <c r="F4215" s="6" t="str">
        <f>IFERROR(__xludf.DUMMYFUNCTION("GOOGLETRANSLATE(D4215,""en"",""it"")"),"Mi piacciono le scarpe più degli anelli.")</f>
        <v>Mi piacciono le scarpe più degli anelli.</v>
      </c>
      <c r="G4215" s="6" t="str">
        <f>IFERROR(__xludf.DUMMYFUNCTION("GOOGLETRANSLATE(E4215,""fr"",""it"")"),"Adoro le scarpe più degli anelli.")</f>
        <v>Adoro le scarpe più degli anelli.</v>
      </c>
    </row>
    <row r="4216">
      <c r="A4216" s="4">
        <v>4214.0</v>
      </c>
      <c r="B4216" s="5" t="s">
        <v>12649</v>
      </c>
      <c r="C4216" s="4">
        <v>1.0</v>
      </c>
      <c r="D4216" s="5" t="s">
        <v>12650</v>
      </c>
      <c r="E4216" s="5" t="s">
        <v>12651</v>
      </c>
      <c r="F4216" s="6" t="str">
        <f>IFERROR(__xludf.DUMMYFUNCTION("GOOGLETRANSLATE(D4216,""en"",""it"")"),"Mi piacciono i gatti più delle giraffe.")</f>
        <v>Mi piacciono i gatti più delle giraffe.</v>
      </c>
      <c r="G4216" s="6" t="str">
        <f>IFERROR(__xludf.DUMMYFUNCTION("GOOGLETRANSLATE(E4216,""fr"",""it"")"),"Mi piacciono i gatti più delle giraffe.")</f>
        <v>Mi piacciono i gatti più delle giraffe.</v>
      </c>
    </row>
    <row r="4217">
      <c r="A4217" s="4">
        <v>4215.0</v>
      </c>
      <c r="B4217" s="5" t="s">
        <v>12652</v>
      </c>
      <c r="C4217" s="4">
        <v>1.0</v>
      </c>
      <c r="D4217" s="5" t="s">
        <v>12653</v>
      </c>
      <c r="E4217" s="5" t="s">
        <v>12654</v>
      </c>
      <c r="F4217" s="6" t="str">
        <f>IFERROR(__xludf.DUMMYFUNCTION("GOOGLETRANSLATE(D4217,""en"",""it"")"),"Mi piacciono le giraffe più dei gatti.")</f>
        <v>Mi piacciono le giraffe più dei gatti.</v>
      </c>
      <c r="G4217" s="6" t="str">
        <f>IFERROR(__xludf.DUMMYFUNCTION("GOOGLETRANSLATE(E4217,""fr"",""it"")"),"Mi piacciono le giraffe più dei gatti.")</f>
        <v>Mi piacciono le giraffe più dei gatti.</v>
      </c>
    </row>
    <row r="4218">
      <c r="A4218" s="4">
        <v>4216.0</v>
      </c>
      <c r="B4218" s="5" t="s">
        <v>12655</v>
      </c>
      <c r="C4218" s="4">
        <v>0.0</v>
      </c>
      <c r="D4218" s="5" t="s">
        <v>12656</v>
      </c>
      <c r="E4218" s="5" t="s">
        <v>12657</v>
      </c>
      <c r="F4218" s="6" t="str">
        <f>IFERROR(__xludf.DUMMYFUNCTION("GOOGLETRANSLATE(D4218,""en"",""it"")"),"Mi piacciono i gatti più di animali domestici.")</f>
        <v>Mi piacciono i gatti più di animali domestici.</v>
      </c>
      <c r="G4218" s="6" t="str">
        <f>IFERROR(__xludf.DUMMYFUNCTION("GOOGLETRANSLATE(E4218,""fr"",""it"")"),"Mi piacciono i gatti più di animali domestici.")</f>
        <v>Mi piacciono i gatti più di animali domestici.</v>
      </c>
    </row>
    <row r="4219">
      <c r="A4219" s="4">
        <v>4217.0</v>
      </c>
      <c r="B4219" s="5" t="s">
        <v>12658</v>
      </c>
      <c r="C4219" s="4">
        <v>0.0</v>
      </c>
      <c r="D4219" s="5" t="s">
        <v>12659</v>
      </c>
      <c r="E4219" s="5" t="s">
        <v>12660</v>
      </c>
      <c r="F4219" s="6" t="str">
        <f>IFERROR(__xludf.DUMMYFUNCTION("GOOGLETRANSLATE(D4219,""en"",""it"")"),"Mi piacciono gli animali domestici più dei gatti.")</f>
        <v>Mi piacciono gli animali domestici più dei gatti.</v>
      </c>
      <c r="G4219" s="6" t="str">
        <f>IFERROR(__xludf.DUMMYFUNCTION("GOOGLETRANSLATE(E4219,""fr"",""it"")"),"Mi piacciono gli animali domestici più dei gatti.")</f>
        <v>Mi piacciono gli animali domestici più dei gatti.</v>
      </c>
    </row>
    <row r="4220">
      <c r="A4220" s="4">
        <v>4218.0</v>
      </c>
      <c r="B4220" s="5" t="s">
        <v>12661</v>
      </c>
      <c r="C4220" s="4">
        <v>1.0</v>
      </c>
      <c r="D4220" s="5" t="s">
        <v>12662</v>
      </c>
      <c r="E4220" s="5" t="s">
        <v>12663</v>
      </c>
      <c r="F4220" s="6" t="str">
        <f>IFERROR(__xludf.DUMMYFUNCTION("GOOGLETRANSLATE(D4220,""en"",""it"")"),"Mi piacciono gli animali domestici più delle giraffe.")</f>
        <v>Mi piacciono gli animali domestici più delle giraffe.</v>
      </c>
      <c r="G4220" s="6" t="str">
        <f>IFERROR(__xludf.DUMMYFUNCTION("GOOGLETRANSLATE(E4220,""fr"",""it"")"),"Amo gli animali domestici più delle giraffe.")</f>
        <v>Amo gli animali domestici più delle giraffe.</v>
      </c>
    </row>
    <row r="4221">
      <c r="A4221" s="4">
        <v>4219.0</v>
      </c>
      <c r="B4221" s="5" t="s">
        <v>12664</v>
      </c>
      <c r="C4221" s="4">
        <v>1.0</v>
      </c>
      <c r="D4221" s="5" t="s">
        <v>12665</v>
      </c>
      <c r="E4221" s="5" t="s">
        <v>12666</v>
      </c>
      <c r="F4221" s="6" t="str">
        <f>IFERROR(__xludf.DUMMYFUNCTION("GOOGLETRANSLATE(D4221,""en"",""it"")"),"Mi piacciono i gatti più degli orsi.")</f>
        <v>Mi piacciono i gatti più degli orsi.</v>
      </c>
      <c r="G4221" s="6" t="str">
        <f>IFERROR(__xludf.DUMMYFUNCTION("GOOGLETRANSLATE(E4221,""fr"",""it"")"),"Mi piacciono i gatti più degli orsi.")</f>
        <v>Mi piacciono i gatti più degli orsi.</v>
      </c>
    </row>
    <row r="4222">
      <c r="A4222" s="4">
        <v>4220.0</v>
      </c>
      <c r="B4222" s="5" t="s">
        <v>12667</v>
      </c>
      <c r="C4222" s="4">
        <v>1.0</v>
      </c>
      <c r="D4222" s="5" t="s">
        <v>12668</v>
      </c>
      <c r="E4222" s="5" t="s">
        <v>12669</v>
      </c>
      <c r="F4222" s="6" t="str">
        <f>IFERROR(__xludf.DUMMYFUNCTION("GOOGLETRANSLATE(D4222,""en"",""it"")"),"Mi piacciono gli orsi più dei gatti.")</f>
        <v>Mi piacciono gli orsi più dei gatti.</v>
      </c>
      <c r="G4222" s="6" t="str">
        <f>IFERROR(__xludf.DUMMYFUNCTION("GOOGLETRANSLATE(E4222,""fr"",""it"")"),"Amo gli orsi più dei gatti.")</f>
        <v>Amo gli orsi più dei gatti.</v>
      </c>
    </row>
    <row r="4223">
      <c r="A4223" s="4">
        <v>4221.0</v>
      </c>
      <c r="B4223" s="5" t="s">
        <v>12670</v>
      </c>
      <c r="C4223" s="4">
        <v>1.0</v>
      </c>
      <c r="D4223" s="5" t="s">
        <v>12671</v>
      </c>
      <c r="E4223" s="5" t="s">
        <v>12672</v>
      </c>
      <c r="F4223" s="6" t="str">
        <f>IFERROR(__xludf.DUMMYFUNCTION("GOOGLETRANSLATE(D4223,""en"",""it"")"),"Mi piacciono gli animali domestici più degli orsi.")</f>
        <v>Mi piacciono gli animali domestici più degli orsi.</v>
      </c>
      <c r="G4223" s="6" t="str">
        <f>IFERROR(__xludf.DUMMYFUNCTION("GOOGLETRANSLATE(E4223,""fr"",""it"")"),"Amo gli animali domestici più degli orsi.")</f>
        <v>Amo gli animali domestici più degli orsi.</v>
      </c>
    </row>
    <row r="4224">
      <c r="A4224" s="4">
        <v>4222.0</v>
      </c>
      <c r="B4224" s="5" t="s">
        <v>12673</v>
      </c>
      <c r="C4224" s="4">
        <v>1.0</v>
      </c>
      <c r="D4224" s="5" t="s">
        <v>12674</v>
      </c>
      <c r="E4224" s="5" t="s">
        <v>12675</v>
      </c>
      <c r="F4224" s="6" t="str">
        <f>IFERROR(__xludf.DUMMYFUNCTION("GOOGLETRANSLATE(D4224,""en"",""it"")"),"Mi piacciono i gatti più della medusa.")</f>
        <v>Mi piacciono i gatti più della medusa.</v>
      </c>
      <c r="G4224" s="6" t="str">
        <f>IFERROR(__xludf.DUMMYFUNCTION("GOOGLETRANSLATE(E4224,""fr"",""it"")"),"Mi piacciono i gatti più della medusa.")</f>
        <v>Mi piacciono i gatti più della medusa.</v>
      </c>
    </row>
    <row r="4225">
      <c r="A4225" s="4">
        <v>4223.0</v>
      </c>
      <c r="B4225" s="5" t="s">
        <v>12676</v>
      </c>
      <c r="C4225" s="4">
        <v>1.0</v>
      </c>
      <c r="D4225" s="5" t="s">
        <v>12677</v>
      </c>
      <c r="E4225" s="5" t="s">
        <v>12678</v>
      </c>
      <c r="F4225" s="6" t="str">
        <f>IFERROR(__xludf.DUMMYFUNCTION("GOOGLETRANSLATE(D4225,""en"",""it"")"),"Mi piacciono le meduse più dei gatti.")</f>
        <v>Mi piacciono le meduse più dei gatti.</v>
      </c>
      <c r="G4225" s="6" t="str">
        <f>IFERROR(__xludf.DUMMYFUNCTION("GOOGLETRANSLATE(E4225,""fr"",""it"")"),"Amo le meduse più dei gatti.")</f>
        <v>Amo le meduse più dei gatti.</v>
      </c>
    </row>
    <row r="4226">
      <c r="A4226" s="4">
        <v>4224.0</v>
      </c>
      <c r="B4226" s="5" t="s">
        <v>12679</v>
      </c>
      <c r="C4226" s="4">
        <v>1.0</v>
      </c>
      <c r="D4226" s="5" t="s">
        <v>12680</v>
      </c>
      <c r="E4226" s="5" t="s">
        <v>12681</v>
      </c>
      <c r="F4226" s="6" t="str">
        <f>IFERROR(__xludf.DUMMYFUNCTION("GOOGLETRANSLATE(D4226,""en"",""it"")"),"Mi piacciono gli animali domestici più della medusa.")</f>
        <v>Mi piacciono gli animali domestici più della medusa.</v>
      </c>
      <c r="G4226" s="6" t="str">
        <f>IFERROR(__xludf.DUMMYFUNCTION("GOOGLETRANSLATE(E4226,""fr"",""it"")"),"Amo gli animali domestici più della medusa.")</f>
        <v>Amo gli animali domestici più della medusa.</v>
      </c>
    </row>
    <row r="4227">
      <c r="A4227" s="4">
        <v>4225.0</v>
      </c>
      <c r="B4227" s="5" t="s">
        <v>12682</v>
      </c>
      <c r="C4227" s="4">
        <v>1.0</v>
      </c>
      <c r="D4227" s="5" t="s">
        <v>12683</v>
      </c>
      <c r="E4227" s="5" t="s">
        <v>12684</v>
      </c>
      <c r="F4227" s="6" t="str">
        <f>IFERROR(__xludf.DUMMYFUNCTION("GOOGLETRANSLATE(D4227,""en"",""it"")"),"Mi piacciono i gatti più delle balene.")</f>
        <v>Mi piacciono i gatti più delle balene.</v>
      </c>
      <c r="G4227" s="6" t="str">
        <f>IFERROR(__xludf.DUMMYFUNCTION("GOOGLETRANSLATE(E4227,""fr"",""it"")"),"Mi piacciono i gatti più delle balene.")</f>
        <v>Mi piacciono i gatti più delle balene.</v>
      </c>
    </row>
    <row r="4228">
      <c r="A4228" s="4">
        <v>4226.0</v>
      </c>
      <c r="B4228" s="5" t="s">
        <v>12685</v>
      </c>
      <c r="C4228" s="4">
        <v>1.0</v>
      </c>
      <c r="D4228" s="5" t="s">
        <v>12686</v>
      </c>
      <c r="E4228" s="5" t="s">
        <v>12687</v>
      </c>
      <c r="F4228" s="6" t="str">
        <f>IFERROR(__xludf.DUMMYFUNCTION("GOOGLETRANSLATE(D4228,""en"",""it"")"),"Mi piacciono le balene più dei gatti.")</f>
        <v>Mi piacciono le balene più dei gatti.</v>
      </c>
      <c r="G4228" s="6" t="str">
        <f>IFERROR(__xludf.DUMMYFUNCTION("GOOGLETRANSLATE(E4228,""fr"",""it"")"),"Amo le balene più dei gatti.")</f>
        <v>Amo le balene più dei gatti.</v>
      </c>
    </row>
    <row r="4229">
      <c r="A4229" s="4">
        <v>4227.0</v>
      </c>
      <c r="B4229" s="5" t="s">
        <v>12688</v>
      </c>
      <c r="C4229" s="4">
        <v>0.0</v>
      </c>
      <c r="D4229" s="5" t="s">
        <v>12689</v>
      </c>
      <c r="E4229" s="5" t="s">
        <v>12690</v>
      </c>
      <c r="F4229" s="6" t="str">
        <f>IFERROR(__xludf.DUMMYFUNCTION("GOOGLETRANSLATE(D4229,""en"",""it"")"),"Mi piacciono i cani, tranne le giraffe.")</f>
        <v>Mi piacciono i cani, tranne le giraffe.</v>
      </c>
      <c r="G4229" s="6" t="str">
        <f>IFERROR(__xludf.DUMMYFUNCTION("GOOGLETRANSLATE(E4229,""fr"",""it"")"),"Mi piacciono i cani, tranne le giraffe.")</f>
        <v>Mi piacciono i cani, tranne le giraffe.</v>
      </c>
    </row>
    <row r="4230">
      <c r="A4230" s="4">
        <v>4228.0</v>
      </c>
      <c r="B4230" s="5" t="s">
        <v>12691</v>
      </c>
      <c r="C4230" s="4">
        <v>1.0</v>
      </c>
      <c r="D4230" s="5" t="s">
        <v>12692</v>
      </c>
      <c r="E4230" s="5" t="s">
        <v>12693</v>
      </c>
      <c r="F4230" s="6" t="str">
        <f>IFERROR(__xludf.DUMMYFUNCTION("GOOGLETRANSLATE(D4230,""en"",""it"")"),"Mi piacciono gli animali domestici più delle balene.")</f>
        <v>Mi piacciono gli animali domestici più delle balene.</v>
      </c>
      <c r="G4230" s="6" t="str">
        <f>IFERROR(__xludf.DUMMYFUNCTION("GOOGLETRANSLATE(E4230,""fr"",""it"")"),"Amo gli animali domestici più delle balene.")</f>
        <v>Amo gli animali domestici più delle balene.</v>
      </c>
    </row>
    <row r="4231">
      <c r="A4231" s="4">
        <v>4229.0</v>
      </c>
      <c r="B4231" s="5" t="s">
        <v>12694</v>
      </c>
      <c r="C4231" s="4">
        <v>0.0</v>
      </c>
      <c r="D4231" s="5" t="s">
        <v>12695</v>
      </c>
      <c r="E4231" s="5" t="s">
        <v>12696</v>
      </c>
      <c r="F4231" s="6" t="str">
        <f>IFERROR(__xludf.DUMMYFUNCTION("GOOGLETRANSLATE(D4231,""en"",""it"")"),"Mi piacciono le giraffe, tranne i cani.")</f>
        <v>Mi piacciono le giraffe, tranne i cani.</v>
      </c>
      <c r="G4231" s="6" t="str">
        <f>IFERROR(__xludf.DUMMYFUNCTION("GOOGLETRANSLATE(E4231,""fr"",""it"")"),"Amo le giraffe, tranne i cani.")</f>
        <v>Amo le giraffe, tranne i cani.</v>
      </c>
    </row>
    <row r="4232">
      <c r="A4232" s="4">
        <v>4230.0</v>
      </c>
      <c r="B4232" s="5" t="s">
        <v>12697</v>
      </c>
      <c r="C4232" s="4">
        <v>0.0</v>
      </c>
      <c r="D4232" s="5" t="s">
        <v>12698</v>
      </c>
      <c r="E4232" s="5" t="s">
        <v>12699</v>
      </c>
      <c r="F4232" s="6" t="str">
        <f>IFERROR(__xludf.DUMMYFUNCTION("GOOGLETRANSLATE(D4232,""en"",""it"")"),"Mi piacciono i cani, tranne gli animali domestici.")</f>
        <v>Mi piacciono i cani, tranne gli animali domestici.</v>
      </c>
      <c r="G4232" s="6" t="str">
        <f>IFERROR(__xludf.DUMMYFUNCTION("GOOGLETRANSLATE(E4232,""fr"",""it"")"),"Mi piacciono i cani, tranne gli animali domestici.")</f>
        <v>Mi piacciono i cani, tranne gli animali domestici.</v>
      </c>
    </row>
    <row r="4233">
      <c r="A4233" s="4">
        <v>4231.0</v>
      </c>
      <c r="B4233" s="5" t="s">
        <v>12700</v>
      </c>
      <c r="C4233" s="4">
        <v>1.0</v>
      </c>
      <c r="D4233" s="5" t="s">
        <v>12701</v>
      </c>
      <c r="E4233" s="5" t="s">
        <v>12702</v>
      </c>
      <c r="F4233" s="6" t="str">
        <f>IFERROR(__xludf.DUMMYFUNCTION("GOOGLETRANSLATE(D4233,""en"",""it"")"),"Mi piacciono gli animali domestici, tranne i cani.")</f>
        <v>Mi piacciono gli animali domestici, tranne i cani.</v>
      </c>
      <c r="G4233" s="6" t="str">
        <f>IFERROR(__xludf.DUMMYFUNCTION("GOOGLETRANSLATE(E4233,""fr"",""it"")"),"Amo gli animali domestici, tranne i cani.")</f>
        <v>Amo gli animali domestici, tranne i cani.</v>
      </c>
    </row>
    <row r="4234">
      <c r="A4234" s="4">
        <v>4232.0</v>
      </c>
      <c r="B4234" s="5" t="s">
        <v>12703</v>
      </c>
      <c r="C4234" s="4">
        <v>1.0</v>
      </c>
      <c r="D4234" s="5" t="s">
        <v>12704</v>
      </c>
      <c r="E4234" s="5" t="s">
        <v>12705</v>
      </c>
      <c r="F4234" s="6" t="str">
        <f>IFERROR(__xludf.DUMMYFUNCTION("GOOGLETRANSLATE(D4234,""en"",""it"")"),"Mi piacciono i cani più delle giraffe.")</f>
        <v>Mi piacciono i cani più delle giraffe.</v>
      </c>
      <c r="G4234" s="6" t="str">
        <f>IFERROR(__xludf.DUMMYFUNCTION("GOOGLETRANSLATE(E4234,""fr"",""it"")"),"Mi piacciono i cani più delle giraffe.")</f>
        <v>Mi piacciono i cani più delle giraffe.</v>
      </c>
    </row>
    <row r="4235">
      <c r="A4235" s="4">
        <v>4233.0</v>
      </c>
      <c r="B4235" s="5" t="s">
        <v>12706</v>
      </c>
      <c r="C4235" s="4">
        <v>1.0</v>
      </c>
      <c r="D4235" s="5" t="s">
        <v>12707</v>
      </c>
      <c r="E4235" s="5" t="s">
        <v>12708</v>
      </c>
      <c r="F4235" s="6" t="str">
        <f>IFERROR(__xludf.DUMMYFUNCTION("GOOGLETRANSLATE(D4235,""en"",""it"")"),"Mi piacciono le giraffe più dei cani.")</f>
        <v>Mi piacciono le giraffe più dei cani.</v>
      </c>
      <c r="G4235" s="6" t="str">
        <f>IFERROR(__xludf.DUMMYFUNCTION("GOOGLETRANSLATE(E4235,""fr"",""it"")"),"Mi piacciono le giraffe più dei cani.")</f>
        <v>Mi piacciono le giraffe più dei cani.</v>
      </c>
    </row>
    <row r="4236">
      <c r="A4236" s="4">
        <v>4234.0</v>
      </c>
      <c r="B4236" s="5" t="s">
        <v>12709</v>
      </c>
      <c r="C4236" s="4">
        <v>0.0</v>
      </c>
      <c r="D4236" s="5" t="s">
        <v>12710</v>
      </c>
      <c r="E4236" s="5" t="s">
        <v>12711</v>
      </c>
      <c r="F4236" s="6" t="str">
        <f>IFERROR(__xludf.DUMMYFUNCTION("GOOGLETRANSLATE(D4236,""en"",""it"")"),"Mi piacciono i cani più di animali domestici.")</f>
        <v>Mi piacciono i cani più di animali domestici.</v>
      </c>
      <c r="G4236" s="6" t="str">
        <f>IFERROR(__xludf.DUMMYFUNCTION("GOOGLETRANSLATE(E4236,""fr"",""it"")"),"Mi piacciono i cani più di animali domestici.")</f>
        <v>Mi piacciono i cani più di animali domestici.</v>
      </c>
    </row>
    <row r="4237">
      <c r="A4237" s="4">
        <v>4235.0</v>
      </c>
      <c r="B4237" s="5" t="s">
        <v>12712</v>
      </c>
      <c r="C4237" s="4">
        <v>0.0</v>
      </c>
      <c r="D4237" s="5" t="s">
        <v>12713</v>
      </c>
      <c r="E4237" s="5" t="s">
        <v>12714</v>
      </c>
      <c r="F4237" s="6" t="str">
        <f>IFERROR(__xludf.DUMMYFUNCTION("GOOGLETRANSLATE(D4237,""en"",""it"")"),"Mi piacciono gli animali domestici più dei cani.")</f>
        <v>Mi piacciono gli animali domestici più dei cani.</v>
      </c>
      <c r="G4237" s="6" t="str">
        <f>IFERROR(__xludf.DUMMYFUNCTION("GOOGLETRANSLATE(E4237,""fr"",""it"")"),"Amo gli animali domestici più dei cani.")</f>
        <v>Amo gli animali domestici più dei cani.</v>
      </c>
    </row>
    <row r="4238">
      <c r="A4238" s="4">
        <v>4236.0</v>
      </c>
      <c r="B4238" s="5" t="s">
        <v>12715</v>
      </c>
      <c r="C4238" s="4">
        <v>1.0</v>
      </c>
      <c r="D4238" s="5" t="s">
        <v>12716</v>
      </c>
      <c r="E4238" s="5" t="s">
        <v>12717</v>
      </c>
      <c r="F4238" s="6" t="str">
        <f>IFERROR(__xludf.DUMMYFUNCTION("GOOGLETRANSLATE(D4238,""en"",""it"")"),"Mi piacciono i cani più degli orsi.")</f>
        <v>Mi piacciono i cani più degli orsi.</v>
      </c>
      <c r="G4238" s="6" t="str">
        <f>IFERROR(__xludf.DUMMYFUNCTION("GOOGLETRANSLATE(E4238,""fr"",""it"")"),"Mi piacciono i cani più degli orsi.")</f>
        <v>Mi piacciono i cani più degli orsi.</v>
      </c>
    </row>
    <row r="4239">
      <c r="A4239" s="4">
        <v>4237.0</v>
      </c>
      <c r="B4239" s="5" t="s">
        <v>12718</v>
      </c>
      <c r="C4239" s="4">
        <v>1.0</v>
      </c>
      <c r="D4239" s="5" t="s">
        <v>12719</v>
      </c>
      <c r="E4239" s="5" t="s">
        <v>12720</v>
      </c>
      <c r="F4239" s="6" t="str">
        <f>IFERROR(__xludf.DUMMYFUNCTION("GOOGLETRANSLATE(D4239,""en"",""it"")"),"Mi piacciono gli orsi più dei cani.")</f>
        <v>Mi piacciono gli orsi più dei cani.</v>
      </c>
      <c r="G4239" s="6" t="str">
        <f>IFERROR(__xludf.DUMMYFUNCTION("GOOGLETRANSLATE(E4239,""fr"",""it"")"),"Amo gli orsi più dei cani.")</f>
        <v>Amo gli orsi più dei cani.</v>
      </c>
    </row>
    <row r="4240">
      <c r="A4240" s="4">
        <v>4238.0</v>
      </c>
      <c r="B4240" s="5" t="s">
        <v>12721</v>
      </c>
      <c r="C4240" s="4">
        <v>0.0</v>
      </c>
      <c r="D4240" s="5" t="s">
        <v>12722</v>
      </c>
      <c r="E4240" s="5" t="s">
        <v>12723</v>
      </c>
      <c r="F4240" s="6" t="str">
        <f>IFERROR(__xludf.DUMMYFUNCTION("GOOGLETRANSLATE(D4240,""en"",""it"")"),"Mi piacciono i cani, tranne gli orsi.")</f>
        <v>Mi piacciono i cani, tranne gli orsi.</v>
      </c>
      <c r="G4240" s="6" t="str">
        <f>IFERROR(__xludf.DUMMYFUNCTION("GOOGLETRANSLATE(E4240,""fr"",""it"")"),"Mi piacciono i cani, tranne gli orsi.")</f>
        <v>Mi piacciono i cani, tranne gli orsi.</v>
      </c>
    </row>
    <row r="4241">
      <c r="A4241" s="4">
        <v>4239.0</v>
      </c>
      <c r="B4241" s="5" t="s">
        <v>12724</v>
      </c>
      <c r="C4241" s="4">
        <v>1.0</v>
      </c>
      <c r="D4241" s="5" t="s">
        <v>12725</v>
      </c>
      <c r="E4241" s="5" t="s">
        <v>12726</v>
      </c>
      <c r="F4241" s="6" t="str">
        <f>IFERROR(__xludf.DUMMYFUNCTION("GOOGLETRANSLATE(D4241,""en"",""it"")"),"Mi piacciono i cani più della medusa.")</f>
        <v>Mi piacciono i cani più della medusa.</v>
      </c>
      <c r="G4241" s="6" t="str">
        <f>IFERROR(__xludf.DUMMYFUNCTION("GOOGLETRANSLATE(E4241,""fr"",""it"")"),"Mi piacciono i cani più della medusa.")</f>
        <v>Mi piacciono i cani più della medusa.</v>
      </c>
    </row>
    <row r="4242">
      <c r="A4242" s="4">
        <v>4240.0</v>
      </c>
      <c r="B4242" s="5" t="s">
        <v>12727</v>
      </c>
      <c r="C4242" s="4">
        <v>1.0</v>
      </c>
      <c r="D4242" s="5" t="s">
        <v>12728</v>
      </c>
      <c r="E4242" s="5" t="s">
        <v>12729</v>
      </c>
      <c r="F4242" s="6" t="str">
        <f>IFERROR(__xludf.DUMMYFUNCTION("GOOGLETRANSLATE(D4242,""en"",""it"")"),"Mi piacciono le meduse più dei cani.")</f>
        <v>Mi piacciono le meduse più dei cani.</v>
      </c>
      <c r="G4242" s="6" t="str">
        <f>IFERROR(__xludf.DUMMYFUNCTION("GOOGLETRANSLATE(E4242,""fr"",""it"")"),"Amo le meduse più dei cani.")</f>
        <v>Amo le meduse più dei cani.</v>
      </c>
    </row>
    <row r="4243">
      <c r="A4243" s="4">
        <v>4241.0</v>
      </c>
      <c r="B4243" s="5" t="s">
        <v>12730</v>
      </c>
      <c r="C4243" s="4">
        <v>1.0</v>
      </c>
      <c r="D4243" s="5" t="s">
        <v>12731</v>
      </c>
      <c r="E4243" s="5" t="s">
        <v>12732</v>
      </c>
      <c r="F4243" s="6" t="str">
        <f>IFERROR(__xludf.DUMMYFUNCTION("GOOGLETRANSLATE(D4243,""en"",""it"")"),"Mi piacciono i cani più delle balene.")</f>
        <v>Mi piacciono i cani più delle balene.</v>
      </c>
      <c r="G4243" s="6" t="str">
        <f>IFERROR(__xludf.DUMMYFUNCTION("GOOGLETRANSLATE(E4243,""fr"",""it"")"),"Mi piacciono i cani più delle balene.")</f>
        <v>Mi piacciono i cani più delle balene.</v>
      </c>
    </row>
    <row r="4244">
      <c r="A4244" s="4">
        <v>4242.0</v>
      </c>
      <c r="B4244" s="5" t="s">
        <v>12733</v>
      </c>
      <c r="C4244" s="4">
        <v>1.0</v>
      </c>
      <c r="D4244" s="5" t="s">
        <v>12734</v>
      </c>
      <c r="E4244" s="5" t="s">
        <v>12735</v>
      </c>
      <c r="F4244" s="6" t="str">
        <f>IFERROR(__xludf.DUMMYFUNCTION("GOOGLETRANSLATE(D4244,""en"",""it"")"),"Mi piacciono le balene più dei cani.")</f>
        <v>Mi piacciono le balene più dei cani.</v>
      </c>
      <c r="G4244" s="6" t="str">
        <f>IFERROR(__xludf.DUMMYFUNCTION("GOOGLETRANSLATE(E4244,""fr"",""it"")"),"Mi piacciono le balene più dei cani.")</f>
        <v>Mi piacciono le balene più dei cani.</v>
      </c>
    </row>
    <row r="4245">
      <c r="A4245" s="4">
        <v>4243.0</v>
      </c>
      <c r="B4245" s="5" t="s">
        <v>12736</v>
      </c>
      <c r="C4245" s="4">
        <v>0.0</v>
      </c>
      <c r="D4245" s="5" t="s">
        <v>12737</v>
      </c>
      <c r="E4245" s="5" t="s">
        <v>12738</v>
      </c>
      <c r="F4245" s="6" t="str">
        <f>IFERROR(__xludf.DUMMYFUNCTION("GOOGLETRANSLATE(D4245,""en"",""it"")"),"Mi piacciono gli orsi, tranne i cani.")</f>
        <v>Mi piacciono gli orsi, tranne i cani.</v>
      </c>
      <c r="G4245" s="6" t="str">
        <f>IFERROR(__xludf.DUMMYFUNCTION("GOOGLETRANSLATE(E4245,""fr"",""it"")"),"Amo gli orsi tranne i cani.")</f>
        <v>Amo gli orsi tranne i cani.</v>
      </c>
    </row>
    <row r="4246">
      <c r="A4246" s="4">
        <v>4244.0</v>
      </c>
      <c r="B4246" s="5" t="s">
        <v>12739</v>
      </c>
      <c r="C4246" s="4">
        <v>0.0</v>
      </c>
      <c r="D4246" s="5" t="s">
        <v>12740</v>
      </c>
      <c r="E4246" s="5" t="s">
        <v>12741</v>
      </c>
      <c r="F4246" s="6" t="str">
        <f>IFERROR(__xludf.DUMMYFUNCTION("GOOGLETRANSLATE(D4246,""en"",""it"")"),"Mi piacciono i cani, tranne le meduse.")</f>
        <v>Mi piacciono i cani, tranne le meduse.</v>
      </c>
      <c r="G4246" s="6" t="str">
        <f>IFERROR(__xludf.DUMMYFUNCTION("GOOGLETRANSLATE(E4246,""fr"",""it"")"),"Mi piacciono i cani, tranne la medusa.")</f>
        <v>Mi piacciono i cani, tranne la medusa.</v>
      </c>
    </row>
    <row r="4247">
      <c r="A4247" s="4">
        <v>4245.0</v>
      </c>
      <c r="B4247" s="5" t="s">
        <v>12742</v>
      </c>
      <c r="C4247" s="4">
        <v>1.0</v>
      </c>
      <c r="D4247" s="5" t="s">
        <v>12743</v>
      </c>
      <c r="E4247" s="5" t="s">
        <v>12744</v>
      </c>
      <c r="F4247" s="6" t="str">
        <f>IFERROR(__xludf.DUMMYFUNCTION("GOOGLETRANSLATE(D4247,""en"",""it"")"),"Mi piacciono i conigli più delle giraffe.")</f>
        <v>Mi piacciono i conigli più delle giraffe.</v>
      </c>
      <c r="G4247" s="6" t="str">
        <f>IFERROR(__xludf.DUMMYFUNCTION("GOOGLETRANSLATE(E4247,""fr"",""it"")"),"Amo i conigli più delle giraffe.")</f>
        <v>Amo i conigli più delle giraffe.</v>
      </c>
    </row>
    <row r="4248">
      <c r="A4248" s="4">
        <v>4246.0</v>
      </c>
      <c r="B4248" s="5" t="s">
        <v>12745</v>
      </c>
      <c r="C4248" s="4">
        <v>1.0</v>
      </c>
      <c r="D4248" s="5" t="s">
        <v>12746</v>
      </c>
      <c r="E4248" s="5" t="s">
        <v>12747</v>
      </c>
      <c r="F4248" s="6" t="str">
        <f>IFERROR(__xludf.DUMMYFUNCTION("GOOGLETRANSLATE(D4248,""en"",""it"")"),"Mi piacciono le giraffe più dei conigli.")</f>
        <v>Mi piacciono le giraffe più dei conigli.</v>
      </c>
      <c r="G4248" s="6" t="str">
        <f>IFERROR(__xludf.DUMMYFUNCTION("GOOGLETRANSLATE(E4248,""fr"",""it"")"),"Amo le giraffe più dei conigli.")</f>
        <v>Amo le giraffe più dei conigli.</v>
      </c>
    </row>
    <row r="4249">
      <c r="A4249" s="4">
        <v>4247.0</v>
      </c>
      <c r="B4249" s="5" t="s">
        <v>12748</v>
      </c>
      <c r="C4249" s="4">
        <v>0.0</v>
      </c>
      <c r="D4249" s="5" t="s">
        <v>12749</v>
      </c>
      <c r="E4249" s="5" t="s">
        <v>12750</v>
      </c>
      <c r="F4249" s="6" t="str">
        <f>IFERROR(__xludf.DUMMYFUNCTION("GOOGLETRANSLATE(D4249,""en"",""it"")"),"Mi piacciono i conigli più di animali domestici.")</f>
        <v>Mi piacciono i conigli più di animali domestici.</v>
      </c>
      <c r="G4249" s="6" t="str">
        <f>IFERROR(__xludf.DUMMYFUNCTION("GOOGLETRANSLATE(E4249,""fr"",""it"")"),"Amo i conigli più di animali domestici.")</f>
        <v>Amo i conigli più di animali domestici.</v>
      </c>
    </row>
    <row r="4250">
      <c r="A4250" s="4">
        <v>4248.0</v>
      </c>
      <c r="B4250" s="5" t="s">
        <v>12751</v>
      </c>
      <c r="C4250" s="4">
        <v>0.0</v>
      </c>
      <c r="D4250" s="5" t="s">
        <v>12752</v>
      </c>
      <c r="E4250" s="5" t="s">
        <v>12753</v>
      </c>
      <c r="F4250" s="6" t="str">
        <f>IFERROR(__xludf.DUMMYFUNCTION("GOOGLETRANSLATE(D4250,""en"",""it"")"),"Mi piacciono gli animali domestici più dei conigli.")</f>
        <v>Mi piacciono gli animali domestici più dei conigli.</v>
      </c>
      <c r="G4250" s="6" t="str">
        <f>IFERROR(__xludf.DUMMYFUNCTION("GOOGLETRANSLATE(E4250,""fr"",""it"")"),"Amo gli animali domestici più dei conigli.")</f>
        <v>Amo gli animali domestici più dei conigli.</v>
      </c>
    </row>
    <row r="4251">
      <c r="A4251" s="4">
        <v>4249.0</v>
      </c>
      <c r="B4251" s="5" t="s">
        <v>12754</v>
      </c>
      <c r="C4251" s="4">
        <v>1.0</v>
      </c>
      <c r="D4251" s="5" t="s">
        <v>12755</v>
      </c>
      <c r="E4251" s="5" t="s">
        <v>12756</v>
      </c>
      <c r="F4251" s="6" t="str">
        <f>IFERROR(__xludf.DUMMYFUNCTION("GOOGLETRANSLATE(D4251,""en"",""it"")"),"Mi piacciono i conigli più degli orsi.")</f>
        <v>Mi piacciono i conigli più degli orsi.</v>
      </c>
      <c r="G4251" s="6" t="str">
        <f>IFERROR(__xludf.DUMMYFUNCTION("GOOGLETRANSLATE(E4251,""fr"",""it"")"),"Amo i conigli più degli orsi.")</f>
        <v>Amo i conigli più degli orsi.</v>
      </c>
    </row>
    <row r="4252">
      <c r="A4252" s="4">
        <v>4250.0</v>
      </c>
      <c r="B4252" s="5" t="s">
        <v>12757</v>
      </c>
      <c r="C4252" s="4">
        <v>1.0</v>
      </c>
      <c r="D4252" s="5" t="s">
        <v>12758</v>
      </c>
      <c r="E4252" s="5" t="s">
        <v>12759</v>
      </c>
      <c r="F4252" s="6" t="str">
        <f>IFERROR(__xludf.DUMMYFUNCTION("GOOGLETRANSLATE(D4252,""en"",""it"")"),"Mi piacciono gli orsi più dei conigli.")</f>
        <v>Mi piacciono gli orsi più dei conigli.</v>
      </c>
      <c r="G4252" s="6" t="str">
        <f>IFERROR(__xludf.DUMMYFUNCTION("GOOGLETRANSLATE(E4252,""fr"",""it"")"),"Amo gli orsi più dei conigli.")</f>
        <v>Amo gli orsi più dei conigli.</v>
      </c>
    </row>
    <row r="4253">
      <c r="A4253" s="4">
        <v>4251.0</v>
      </c>
      <c r="B4253" s="5" t="s">
        <v>12760</v>
      </c>
      <c r="C4253" s="4">
        <v>0.0</v>
      </c>
      <c r="D4253" s="5" t="s">
        <v>12761</v>
      </c>
      <c r="E4253" s="5" t="s">
        <v>12762</v>
      </c>
      <c r="F4253" s="6" t="str">
        <f>IFERROR(__xludf.DUMMYFUNCTION("GOOGLETRANSLATE(D4253,""en"",""it"")"),"Mi piacciono le meduse, tranne i cani.")</f>
        <v>Mi piacciono le meduse, tranne i cani.</v>
      </c>
      <c r="G4253" s="6" t="str">
        <f>IFERROR(__xludf.DUMMYFUNCTION("GOOGLETRANSLATE(E4253,""fr"",""it"")"),"Amo medoni tranne i cani.")</f>
        <v>Amo medoni tranne i cani.</v>
      </c>
    </row>
    <row r="4254">
      <c r="A4254" s="4">
        <v>4252.0</v>
      </c>
      <c r="B4254" s="5" t="s">
        <v>12763</v>
      </c>
      <c r="C4254" s="4">
        <v>1.0</v>
      </c>
      <c r="D4254" s="5" t="s">
        <v>12764</v>
      </c>
      <c r="E4254" s="5" t="s">
        <v>12765</v>
      </c>
      <c r="F4254" s="6" t="str">
        <f>IFERROR(__xludf.DUMMYFUNCTION("GOOGLETRANSLATE(D4254,""en"",""it"")"),"Mi piacciono i conigli più delle meduse.")</f>
        <v>Mi piacciono i conigli più delle meduse.</v>
      </c>
      <c r="G4254" s="6" t="str">
        <f>IFERROR(__xludf.DUMMYFUNCTION("GOOGLETRANSLATE(E4254,""fr"",""it"")"),"Amo i conigli più della medusa.")</f>
        <v>Amo i conigli più della medusa.</v>
      </c>
    </row>
    <row r="4255">
      <c r="A4255" s="4">
        <v>4253.0</v>
      </c>
      <c r="B4255" s="5" t="s">
        <v>12766</v>
      </c>
      <c r="C4255" s="4">
        <v>1.0</v>
      </c>
      <c r="D4255" s="5" t="s">
        <v>12767</v>
      </c>
      <c r="E4255" s="5" t="s">
        <v>12768</v>
      </c>
      <c r="F4255" s="6" t="str">
        <f>IFERROR(__xludf.DUMMYFUNCTION("GOOGLETRANSLATE(D4255,""en"",""it"")"),"Mi piacciono le meduse più dei conigli.")</f>
        <v>Mi piacciono le meduse più dei conigli.</v>
      </c>
      <c r="G4255" s="6" t="str">
        <f>IFERROR(__xludf.DUMMYFUNCTION("GOOGLETRANSLATE(E4255,""fr"",""it"")"),"Amo le meduse più dei conigli.")</f>
        <v>Amo le meduse più dei conigli.</v>
      </c>
    </row>
    <row r="4256">
      <c r="A4256" s="4">
        <v>4254.0</v>
      </c>
      <c r="B4256" s="5" t="s">
        <v>12769</v>
      </c>
      <c r="C4256" s="4">
        <v>1.0</v>
      </c>
      <c r="D4256" s="5" t="s">
        <v>12770</v>
      </c>
      <c r="E4256" s="5" t="s">
        <v>12771</v>
      </c>
      <c r="F4256" s="6" t="str">
        <f>IFERROR(__xludf.DUMMYFUNCTION("GOOGLETRANSLATE(D4256,""en"",""it"")"),"Mi piacciono i conigli più delle balene.")</f>
        <v>Mi piacciono i conigli più delle balene.</v>
      </c>
      <c r="G4256" s="6" t="str">
        <f>IFERROR(__xludf.DUMMYFUNCTION("GOOGLETRANSLATE(E4256,""fr"",""it"")"),"Amo i conigli più delle balene.")</f>
        <v>Amo i conigli più delle balene.</v>
      </c>
    </row>
    <row r="4257">
      <c r="A4257" s="4">
        <v>4255.0</v>
      </c>
      <c r="B4257" s="5" t="s">
        <v>12772</v>
      </c>
      <c r="C4257" s="4">
        <v>1.0</v>
      </c>
      <c r="D4257" s="5" t="s">
        <v>12773</v>
      </c>
      <c r="E4257" s="5" t="s">
        <v>12774</v>
      </c>
      <c r="F4257" s="6" t="str">
        <f>IFERROR(__xludf.DUMMYFUNCTION("GOOGLETRANSLATE(D4257,""en"",""it"")"),"Mi piacciono le balene più dei conigli.")</f>
        <v>Mi piacciono le balene più dei conigli.</v>
      </c>
      <c r="G4257" s="6" t="str">
        <f>IFERROR(__xludf.DUMMYFUNCTION("GOOGLETRANSLATE(E4257,""fr"",""it"")"),"Amo le balene più dei conigli.")</f>
        <v>Amo le balene più dei conigli.</v>
      </c>
    </row>
    <row r="4258">
      <c r="A4258" s="4">
        <v>4256.0</v>
      </c>
      <c r="B4258" s="5" t="s">
        <v>12775</v>
      </c>
      <c r="C4258" s="4">
        <v>0.0</v>
      </c>
      <c r="D4258" s="5" t="s">
        <v>12776</v>
      </c>
      <c r="E4258" s="5" t="s">
        <v>12777</v>
      </c>
      <c r="F4258" s="6" t="str">
        <f>IFERROR(__xludf.DUMMYFUNCTION("GOOGLETRANSLATE(D4258,""en"",""it"")"),"Mi piacciono i cani, tranne le balene.")</f>
        <v>Mi piacciono i cani, tranne le balene.</v>
      </c>
      <c r="G4258" s="6" t="str">
        <f>IFERROR(__xludf.DUMMYFUNCTION("GOOGLETRANSLATE(E4258,""fr"",""it"")"),"Mi piacciono i cani, tranne le balene.")</f>
        <v>Mi piacciono i cani, tranne le balene.</v>
      </c>
    </row>
    <row r="4259">
      <c r="A4259" s="4">
        <v>4257.0</v>
      </c>
      <c r="B4259" s="5" t="s">
        <v>12778</v>
      </c>
      <c r="C4259" s="4">
        <v>0.0</v>
      </c>
      <c r="D4259" s="5" t="s">
        <v>12779</v>
      </c>
      <c r="E4259" s="5" t="s">
        <v>12780</v>
      </c>
      <c r="F4259" s="6" t="str">
        <f>IFERROR(__xludf.DUMMYFUNCTION("GOOGLETRANSLATE(D4259,""en"",""it"")"),"Mi piacciono le balene, tranne i cani.")</f>
        <v>Mi piacciono le balene, tranne i cani.</v>
      </c>
      <c r="G4259" s="6" t="str">
        <f>IFERROR(__xludf.DUMMYFUNCTION("GOOGLETRANSLATE(E4259,""fr"",""it"")"),"Mi piacciono le balene, tranne i cani.")</f>
        <v>Mi piacciono le balene, tranne i cani.</v>
      </c>
    </row>
    <row r="4260">
      <c r="A4260" s="4">
        <v>4258.0</v>
      </c>
      <c r="B4260" s="5" t="s">
        <v>12781</v>
      </c>
      <c r="C4260" s="4">
        <v>1.0</v>
      </c>
      <c r="D4260" s="5" t="s">
        <v>12782</v>
      </c>
      <c r="E4260" s="5" t="s">
        <v>12783</v>
      </c>
      <c r="F4260" s="6" t="str">
        <f>IFERROR(__xludf.DUMMYFUNCTION("GOOGLETRANSLATE(D4260,""en"",""it"")"),"Mi piacciono i criceti più delle giraffe.")</f>
        <v>Mi piacciono i criceti più delle giraffe.</v>
      </c>
      <c r="G4260" s="6" t="str">
        <f>IFERROR(__xludf.DUMMYFUNCTION("GOOGLETRANSLATE(E4260,""fr"",""it"")"),"Mi piacciono i criceti più delle giraffe.")</f>
        <v>Mi piacciono i criceti più delle giraffe.</v>
      </c>
    </row>
    <row r="4261">
      <c r="A4261" s="4">
        <v>4259.0</v>
      </c>
      <c r="B4261" s="5" t="s">
        <v>12784</v>
      </c>
      <c r="C4261" s="4">
        <v>1.0</v>
      </c>
      <c r="D4261" s="5" t="s">
        <v>12785</v>
      </c>
      <c r="E4261" s="5" t="s">
        <v>12786</v>
      </c>
      <c r="F4261" s="6" t="str">
        <f>IFERROR(__xludf.DUMMYFUNCTION("GOOGLETRANSLATE(D4261,""en"",""it"")"),"Mi piacciono le giraffe più dei criceti.")</f>
        <v>Mi piacciono le giraffe più dei criceti.</v>
      </c>
      <c r="G4261" s="6" t="str">
        <f>IFERROR(__xludf.DUMMYFUNCTION("GOOGLETRANSLATE(E4261,""fr"",""it"")"),"Amo le giraffe più dei criceti.")</f>
        <v>Amo le giraffe più dei criceti.</v>
      </c>
    </row>
    <row r="4262">
      <c r="A4262" s="4">
        <v>4260.0</v>
      </c>
      <c r="B4262" s="5" t="s">
        <v>12787</v>
      </c>
      <c r="C4262" s="4">
        <v>0.0</v>
      </c>
      <c r="D4262" s="5" t="s">
        <v>12788</v>
      </c>
      <c r="E4262" s="5" t="s">
        <v>12789</v>
      </c>
      <c r="F4262" s="6" t="str">
        <f>IFERROR(__xludf.DUMMYFUNCTION("GOOGLETRANSLATE(D4262,""en"",""it"")"),"Mi piacciono i criceti più di animali domestici.")</f>
        <v>Mi piacciono i criceti più di animali domestici.</v>
      </c>
      <c r="G4262" s="6" t="str">
        <f>IFERROR(__xludf.DUMMYFUNCTION("GOOGLETRANSLATE(E4262,""fr"",""it"")"),"Mi piacciono i criceti più di animali domestici.")</f>
        <v>Mi piacciono i criceti più di animali domestici.</v>
      </c>
    </row>
    <row r="4263">
      <c r="A4263" s="4">
        <v>4261.0</v>
      </c>
      <c r="B4263" s="5" t="s">
        <v>12790</v>
      </c>
      <c r="C4263" s="4">
        <v>0.0</v>
      </c>
      <c r="D4263" s="5" t="s">
        <v>12791</v>
      </c>
      <c r="E4263" s="5" t="s">
        <v>12792</v>
      </c>
      <c r="F4263" s="6" t="str">
        <f>IFERROR(__xludf.DUMMYFUNCTION("GOOGLETRANSLATE(D4263,""en"",""it"")"),"Mi piacciono gli animali domestici più dei criceti.")</f>
        <v>Mi piacciono gli animali domestici più dei criceti.</v>
      </c>
      <c r="G4263" s="6" t="str">
        <f>IFERROR(__xludf.DUMMYFUNCTION("GOOGLETRANSLATE(E4263,""fr"",""it"")"),"Amo gli animali domestici più dei criceti.")</f>
        <v>Amo gli animali domestici più dei criceti.</v>
      </c>
    </row>
    <row r="4264">
      <c r="A4264" s="4">
        <v>4262.0</v>
      </c>
      <c r="B4264" s="5" t="s">
        <v>12793</v>
      </c>
      <c r="C4264" s="4">
        <v>1.0</v>
      </c>
      <c r="D4264" s="5" t="s">
        <v>12794</v>
      </c>
      <c r="E4264" s="5" t="s">
        <v>12795</v>
      </c>
      <c r="F4264" s="6" t="str">
        <f>IFERROR(__xludf.DUMMYFUNCTION("GOOGLETRANSLATE(D4264,""en"",""it"")"),"Mi piacciono i criceti più degli orsi.")</f>
        <v>Mi piacciono i criceti più degli orsi.</v>
      </c>
      <c r="G4264" s="6" t="str">
        <f>IFERROR(__xludf.DUMMYFUNCTION("GOOGLETRANSLATE(E4264,""fr"",""it"")"),"Amo i criceti più degli orsi.")</f>
        <v>Amo i criceti più degli orsi.</v>
      </c>
    </row>
    <row r="4265">
      <c r="A4265" s="4">
        <v>4263.0</v>
      </c>
      <c r="B4265" s="5" t="s">
        <v>12796</v>
      </c>
      <c r="C4265" s="4">
        <v>1.0</v>
      </c>
      <c r="D4265" s="5" t="s">
        <v>12797</v>
      </c>
      <c r="E4265" s="5" t="s">
        <v>12798</v>
      </c>
      <c r="F4265" s="6" t="str">
        <f>IFERROR(__xludf.DUMMYFUNCTION("GOOGLETRANSLATE(D4265,""en"",""it"")"),"Mi piacciono gli orsi più dei criceti.")</f>
        <v>Mi piacciono gli orsi più dei criceti.</v>
      </c>
      <c r="G4265" s="6" t="str">
        <f>IFERROR(__xludf.DUMMYFUNCTION("GOOGLETRANSLATE(E4265,""fr"",""it"")"),"Amo gli orsi più dei criceti.")</f>
        <v>Amo gli orsi più dei criceti.</v>
      </c>
    </row>
    <row r="4266">
      <c r="A4266" s="4">
        <v>4264.0</v>
      </c>
      <c r="B4266" s="5" t="s">
        <v>12799</v>
      </c>
      <c r="C4266" s="4">
        <v>1.0</v>
      </c>
      <c r="D4266" s="5" t="s">
        <v>12800</v>
      </c>
      <c r="E4266" s="5" t="s">
        <v>12801</v>
      </c>
      <c r="F4266" s="6" t="str">
        <f>IFERROR(__xludf.DUMMYFUNCTION("GOOGLETRANSLATE(D4266,""en"",""it"")"),"Mi piacciono i criceti più della medusa.")</f>
        <v>Mi piacciono i criceti più della medusa.</v>
      </c>
      <c r="G4266" s="6" t="str">
        <f>IFERROR(__xludf.DUMMYFUNCTION("GOOGLETRANSLATE(E4266,""fr"",""it"")"),"Amo i criceti più della medusa.")</f>
        <v>Amo i criceti più della medusa.</v>
      </c>
    </row>
    <row r="4267">
      <c r="A4267" s="4">
        <v>4265.0</v>
      </c>
      <c r="B4267" s="5" t="s">
        <v>12802</v>
      </c>
      <c r="C4267" s="4">
        <v>1.0</v>
      </c>
      <c r="D4267" s="5" t="s">
        <v>12803</v>
      </c>
      <c r="E4267" s="5" t="s">
        <v>12804</v>
      </c>
      <c r="F4267" s="6" t="str">
        <f>IFERROR(__xludf.DUMMYFUNCTION("GOOGLETRANSLATE(D4267,""en"",""it"")"),"Mi piacciono le meduse più dei criceti.")</f>
        <v>Mi piacciono le meduse più dei criceti.</v>
      </c>
      <c r="G4267" s="6" t="str">
        <f>IFERROR(__xludf.DUMMYFUNCTION("GOOGLETRANSLATE(E4267,""fr"",""it"")"),"Amo i medsenes più dei criceti.")</f>
        <v>Amo i medsenes più dei criceti.</v>
      </c>
    </row>
    <row r="4268">
      <c r="A4268" s="4">
        <v>4266.0</v>
      </c>
      <c r="B4268" s="5" t="s">
        <v>12805</v>
      </c>
      <c r="C4268" s="4">
        <v>1.0</v>
      </c>
      <c r="D4268" s="5" t="s">
        <v>12806</v>
      </c>
      <c r="E4268" s="5" t="s">
        <v>12807</v>
      </c>
      <c r="F4268" s="6" t="str">
        <f>IFERROR(__xludf.DUMMYFUNCTION("GOOGLETRANSLATE(D4268,""en"",""it"")"),"Mi piacciono i criceti più delle balene.")</f>
        <v>Mi piacciono i criceti più delle balene.</v>
      </c>
      <c r="G4268" s="6" t="str">
        <f>IFERROR(__xludf.DUMMYFUNCTION("GOOGLETRANSLATE(E4268,""fr"",""it"")"),"Mi piacciono i criceti più delle balene.")</f>
        <v>Mi piacciono i criceti più delle balene.</v>
      </c>
    </row>
    <row r="4269">
      <c r="A4269" s="4">
        <v>4267.0</v>
      </c>
      <c r="B4269" s="5" t="s">
        <v>12808</v>
      </c>
      <c r="C4269" s="4">
        <v>1.0</v>
      </c>
      <c r="D4269" s="5" t="s">
        <v>12809</v>
      </c>
      <c r="E4269" s="5" t="s">
        <v>12810</v>
      </c>
      <c r="F4269" s="6" t="str">
        <f>IFERROR(__xludf.DUMMYFUNCTION("GOOGLETRANSLATE(D4269,""en"",""it"")"),"Mi piacciono le balene più dei criceti.")</f>
        <v>Mi piacciono le balene più dei criceti.</v>
      </c>
      <c r="G4269" s="6" t="str">
        <f>IFERROR(__xludf.DUMMYFUNCTION("GOOGLETRANSLATE(E4269,""fr"",""it"")"),"Adoro le balene più dei criceti.")</f>
        <v>Adoro le balene più dei criceti.</v>
      </c>
    </row>
    <row r="4270">
      <c r="A4270" s="4">
        <v>4268.0</v>
      </c>
      <c r="B4270" s="5" t="s">
        <v>12811</v>
      </c>
      <c r="C4270" s="4">
        <v>0.0</v>
      </c>
      <c r="D4270" s="5" t="s">
        <v>12812</v>
      </c>
      <c r="E4270" s="5" t="s">
        <v>12813</v>
      </c>
      <c r="F4270" s="6" t="str">
        <f>IFERROR(__xludf.DUMMYFUNCTION("GOOGLETRANSLATE(D4270,""en"",""it"")"),"Mi piacciono i conigli, tranne le giraffe.")</f>
        <v>Mi piacciono i conigli, tranne le giraffe.</v>
      </c>
      <c r="G4270" s="6" t="str">
        <f>IFERROR(__xludf.DUMMYFUNCTION("GOOGLETRANSLATE(E4270,""fr"",""it"")"),"Amo i conigli, tranne le giraffe.")</f>
        <v>Amo i conigli, tranne le giraffe.</v>
      </c>
    </row>
    <row r="4271">
      <c r="A4271" s="4">
        <v>4269.0</v>
      </c>
      <c r="B4271" s="5" t="s">
        <v>12814</v>
      </c>
      <c r="C4271" s="4">
        <v>0.0</v>
      </c>
      <c r="D4271" s="5" t="s">
        <v>12815</v>
      </c>
      <c r="E4271" s="5" t="s">
        <v>12816</v>
      </c>
      <c r="F4271" s="6" t="str">
        <f>IFERROR(__xludf.DUMMYFUNCTION("GOOGLETRANSLATE(D4271,""en"",""it"")"),"Mi piacciono le giraffe, tranne i conigli.")</f>
        <v>Mi piacciono le giraffe, tranne i conigli.</v>
      </c>
      <c r="G4271" s="6" t="str">
        <f>IFERROR(__xludf.DUMMYFUNCTION("GOOGLETRANSLATE(E4271,""fr"",""it"")"),"Amo le giraffe, tranne i conigli.")</f>
        <v>Amo le giraffe, tranne i conigli.</v>
      </c>
    </row>
    <row r="4272">
      <c r="A4272" s="4">
        <v>4270.0</v>
      </c>
      <c r="B4272" s="5" t="s">
        <v>12817</v>
      </c>
      <c r="C4272" s="4">
        <v>0.0</v>
      </c>
      <c r="D4272" s="5" t="s">
        <v>12818</v>
      </c>
      <c r="E4272" s="5" t="s">
        <v>12819</v>
      </c>
      <c r="F4272" s="6" t="str">
        <f>IFERROR(__xludf.DUMMYFUNCTION("GOOGLETRANSLATE(D4272,""en"",""it"")"),"Mi piacciono i conigli, tranne animali domestici.")</f>
        <v>Mi piacciono i conigli, tranne animali domestici.</v>
      </c>
      <c r="G4272" s="6" t="str">
        <f>IFERROR(__xludf.DUMMYFUNCTION("GOOGLETRANSLATE(E4272,""fr"",""it"")"),"Amo i conigli tranne gli animali domestici.")</f>
        <v>Amo i conigli tranne gli animali domestici.</v>
      </c>
    </row>
    <row r="4273">
      <c r="A4273" s="4">
        <v>4271.0</v>
      </c>
      <c r="B4273" s="5" t="s">
        <v>12820</v>
      </c>
      <c r="C4273" s="4">
        <v>1.0</v>
      </c>
      <c r="D4273" s="5" t="s">
        <v>12821</v>
      </c>
      <c r="E4273" s="5" t="s">
        <v>12822</v>
      </c>
      <c r="F4273" s="6" t="str">
        <f>IFERROR(__xludf.DUMMYFUNCTION("GOOGLETRANSLATE(D4273,""en"",""it"")"),"Mi piacciono gli animali domestici, ad eccezione dei conigli.")</f>
        <v>Mi piacciono gli animali domestici, ad eccezione dei conigli.</v>
      </c>
      <c r="G4273" s="6" t="str">
        <f>IFERROR(__xludf.DUMMYFUNCTION("GOOGLETRANSLATE(E4273,""fr"",""it"")"),"Mi piacciono gli animali domestici, ad eccezione dei conigli.")</f>
        <v>Mi piacciono gli animali domestici, ad eccezione dei conigli.</v>
      </c>
    </row>
    <row r="4274">
      <c r="A4274" s="4">
        <v>4272.0</v>
      </c>
      <c r="B4274" s="5" t="s">
        <v>12823</v>
      </c>
      <c r="C4274" s="4">
        <v>0.0</v>
      </c>
      <c r="D4274" s="5" t="s">
        <v>12824</v>
      </c>
      <c r="E4274" s="5" t="s">
        <v>12825</v>
      </c>
      <c r="F4274" s="6" t="str">
        <f>IFERROR(__xludf.DUMMYFUNCTION("GOOGLETRANSLATE(D4274,""en"",""it"")"),"Mi piacciono i conigli, tranne gli orsi.")</f>
        <v>Mi piacciono i conigli, tranne gli orsi.</v>
      </c>
      <c r="G4274" s="6" t="str">
        <f>IFERROR(__xludf.DUMMYFUNCTION("GOOGLETRANSLATE(E4274,""fr"",""it"")"),"Amo i conigli, tranne gli orsi.")</f>
        <v>Amo i conigli, tranne gli orsi.</v>
      </c>
    </row>
    <row r="4275">
      <c r="A4275" s="4">
        <v>4273.0</v>
      </c>
      <c r="B4275" s="5" t="s">
        <v>12826</v>
      </c>
      <c r="C4275" s="4">
        <v>0.0</v>
      </c>
      <c r="D4275" s="5" t="s">
        <v>12827</v>
      </c>
      <c r="E4275" s="5" t="s">
        <v>12828</v>
      </c>
      <c r="F4275" s="6" t="str">
        <f>IFERROR(__xludf.DUMMYFUNCTION("GOOGLETRANSLATE(D4275,""en"",""it"")"),"Mi piacciono gli orsi, tranne i conigli.")</f>
        <v>Mi piacciono gli orsi, tranne i conigli.</v>
      </c>
      <c r="G4275" s="6" t="str">
        <f>IFERROR(__xludf.DUMMYFUNCTION("GOOGLETRANSLATE(E4275,""fr"",""it"")"),"Amo gli orsi tranne i conigli.")</f>
        <v>Amo gli orsi tranne i conigli.</v>
      </c>
    </row>
    <row r="4276">
      <c r="A4276" s="4">
        <v>4274.0</v>
      </c>
      <c r="B4276" s="5" t="s">
        <v>12829</v>
      </c>
      <c r="C4276" s="4">
        <v>0.0</v>
      </c>
      <c r="D4276" s="5" t="s">
        <v>12830</v>
      </c>
      <c r="E4276" s="5" t="s">
        <v>12831</v>
      </c>
      <c r="F4276" s="6" t="str">
        <f>IFERROR(__xludf.DUMMYFUNCTION("GOOGLETRANSLATE(D4276,""en"",""it"")"),"Mi piacciono i conigli, tranne meduse.")</f>
        <v>Mi piacciono i conigli, tranne meduse.</v>
      </c>
      <c r="G4276" s="6" t="str">
        <f>IFERROR(__xludf.DUMMYFUNCTION("GOOGLETRANSLATE(E4276,""fr"",""it"")"),"Amo i conigli, tranne la medusa.")</f>
        <v>Amo i conigli, tranne la medusa.</v>
      </c>
    </row>
    <row r="4277">
      <c r="A4277" s="4">
        <v>4275.0</v>
      </c>
      <c r="B4277" s="5" t="s">
        <v>12832</v>
      </c>
      <c r="C4277" s="4">
        <v>0.0</v>
      </c>
      <c r="D4277" s="5" t="s">
        <v>12833</v>
      </c>
      <c r="E4277" s="5" t="s">
        <v>12834</v>
      </c>
      <c r="F4277" s="6" t="str">
        <f>IFERROR(__xludf.DUMMYFUNCTION("GOOGLETRANSLATE(D4277,""en"",""it"")"),"Mi piacciono le meduse, tranne i conigli.")</f>
        <v>Mi piacciono le meduse, tranne i conigli.</v>
      </c>
      <c r="G4277" s="6" t="str">
        <f>IFERROR(__xludf.DUMMYFUNCTION("GOOGLETRANSLATE(E4277,""fr"",""it"")"),"Amo la medusa, tranne i conigli.")</f>
        <v>Amo la medusa, tranne i conigli.</v>
      </c>
    </row>
    <row r="4278">
      <c r="A4278" s="4">
        <v>4276.0</v>
      </c>
      <c r="B4278" s="5" t="s">
        <v>12835</v>
      </c>
      <c r="C4278" s="4">
        <v>0.0</v>
      </c>
      <c r="D4278" s="5" t="s">
        <v>12836</v>
      </c>
      <c r="E4278" s="5" t="s">
        <v>12837</v>
      </c>
      <c r="F4278" s="6" t="str">
        <f>IFERROR(__xludf.DUMMYFUNCTION("GOOGLETRANSLATE(D4278,""en"",""it"")"),"Mi piacciono i conigli, tranne le balene.")</f>
        <v>Mi piacciono i conigli, tranne le balene.</v>
      </c>
      <c r="G4278" s="6" t="str">
        <f>IFERROR(__xludf.DUMMYFUNCTION("GOOGLETRANSLATE(E4278,""fr"",""it"")"),"Amo i conigli tranne le balene.")</f>
        <v>Amo i conigli tranne le balene.</v>
      </c>
    </row>
    <row r="4279">
      <c r="A4279" s="4">
        <v>4277.0</v>
      </c>
      <c r="B4279" s="5" t="s">
        <v>12838</v>
      </c>
      <c r="C4279" s="4">
        <v>0.0</v>
      </c>
      <c r="D4279" s="5" t="s">
        <v>12839</v>
      </c>
      <c r="E4279" s="5" t="s">
        <v>12840</v>
      </c>
      <c r="F4279" s="6" t="str">
        <f>IFERROR(__xludf.DUMMYFUNCTION("GOOGLETRANSLATE(D4279,""en"",""it"")"),"Mi piacciono le balene, tranne i conigli.")</f>
        <v>Mi piacciono le balene, tranne i conigli.</v>
      </c>
      <c r="G4279" s="6" t="str">
        <f>IFERROR(__xludf.DUMMYFUNCTION("GOOGLETRANSLATE(E4279,""fr"",""it"")"),"Mi piacciono le balene, tranne i conigli.")</f>
        <v>Mi piacciono le balene, tranne i conigli.</v>
      </c>
    </row>
    <row r="4280">
      <c r="A4280" s="4">
        <v>4278.0</v>
      </c>
      <c r="B4280" s="5" t="s">
        <v>12841</v>
      </c>
      <c r="C4280" s="4">
        <v>1.0</v>
      </c>
      <c r="D4280" s="5" t="s">
        <v>12842</v>
      </c>
      <c r="E4280" s="5" t="s">
        <v>12843</v>
      </c>
      <c r="F4280" s="6" t="str">
        <f>IFERROR(__xludf.DUMMYFUNCTION("GOOGLETRANSLATE(D4280,""en"",""it"")"),"Si fida della sua vista più delle voci.")</f>
        <v>Si fida della sua vista più delle voci.</v>
      </c>
      <c r="G4280" s="6" t="str">
        <f>IFERROR(__xludf.DUMMYFUNCTION("GOOGLETRANSLATE(E4280,""fr"",""it"")"),"Si fida della sua visione più delle voci.")</f>
        <v>Si fida della sua visione più delle voci.</v>
      </c>
    </row>
    <row r="4281">
      <c r="A4281" s="4">
        <v>4279.0</v>
      </c>
      <c r="B4281" s="5" t="s">
        <v>12844</v>
      </c>
      <c r="C4281" s="4">
        <v>1.0</v>
      </c>
      <c r="D4281" s="5" t="s">
        <v>12845</v>
      </c>
      <c r="E4281" s="5" t="s">
        <v>12846</v>
      </c>
      <c r="F4281" s="6" t="str">
        <f>IFERROR(__xludf.DUMMYFUNCTION("GOOGLETRANSLATE(D4281,""en"",""it"")"),"Si fida di voci più della sua vista.")</f>
        <v>Si fida di voci più della sua vista.</v>
      </c>
      <c r="G4281" s="6" t="str">
        <f>IFERROR(__xludf.DUMMYFUNCTION("GOOGLETRANSLATE(E4281,""fr"",""it"")"),"Si fida delle voci più della sua visione.")</f>
        <v>Si fida delle voci più della sua visione.</v>
      </c>
    </row>
    <row r="4282">
      <c r="A4282" s="4">
        <v>4280.0</v>
      </c>
      <c r="B4282" s="5" t="s">
        <v>12847</v>
      </c>
      <c r="C4282" s="4">
        <v>0.0</v>
      </c>
      <c r="D4282" s="5" t="s">
        <v>12848</v>
      </c>
      <c r="E4282" s="5" t="s">
        <v>12849</v>
      </c>
      <c r="F4282" s="6" t="str">
        <f>IFERROR(__xludf.DUMMYFUNCTION("GOOGLETRANSLATE(D4282,""en"",""it"")"),"Si fida della sua vista più dei suoi sensi.")</f>
        <v>Si fida della sua vista più dei suoi sensi.</v>
      </c>
      <c r="G4282" s="6" t="str">
        <f>IFERROR(__xludf.DUMMYFUNCTION("GOOGLETRANSLATE(E4282,""fr"",""it"")"),"Si fida della sua visione più dei suoi sensi.")</f>
        <v>Si fida della sua visione più dei suoi sensi.</v>
      </c>
    </row>
    <row r="4283">
      <c r="A4283" s="4">
        <v>4281.0</v>
      </c>
      <c r="B4283" s="5" t="s">
        <v>12850</v>
      </c>
      <c r="C4283" s="4">
        <v>0.0</v>
      </c>
      <c r="D4283" s="5" t="s">
        <v>12851</v>
      </c>
      <c r="E4283" s="5" t="s">
        <v>12852</v>
      </c>
      <c r="F4283" s="6" t="str">
        <f>IFERROR(__xludf.DUMMYFUNCTION("GOOGLETRANSLATE(D4283,""en"",""it"")"),"Si fida dei suoi sensi più della sua vista.")</f>
        <v>Si fida dei suoi sensi più della sua vista.</v>
      </c>
      <c r="G4283" s="6" t="str">
        <f>IFERROR(__xludf.DUMMYFUNCTION("GOOGLETRANSLATE(E4283,""fr"",""it"")"),"Si fida dei suoi sensi più della sua visione.")</f>
        <v>Si fida dei suoi sensi più della sua visione.</v>
      </c>
    </row>
    <row r="4284">
      <c r="A4284" s="4">
        <v>4282.0</v>
      </c>
      <c r="B4284" s="5" t="s">
        <v>12853</v>
      </c>
      <c r="C4284" s="4">
        <v>1.0</v>
      </c>
      <c r="D4284" s="5" t="s">
        <v>12854</v>
      </c>
      <c r="E4284" s="5" t="s">
        <v>12855</v>
      </c>
      <c r="F4284" s="6" t="str">
        <f>IFERROR(__xludf.DUMMYFUNCTION("GOOGLETRANSLATE(D4284,""en"",""it"")"),"Si fida dei suoi sensi più delle voci.")</f>
        <v>Si fida dei suoi sensi più delle voci.</v>
      </c>
      <c r="G4284" s="6" t="str">
        <f>IFERROR(__xludf.DUMMYFUNCTION("GOOGLETRANSLATE(E4284,""fr"",""it"")"),"Si fida dei suoi sensi più che con le voci.")</f>
        <v>Si fida dei suoi sensi più che con le voci.</v>
      </c>
    </row>
    <row r="4285">
      <c r="A4285" s="4">
        <v>4283.0</v>
      </c>
      <c r="B4285" s="5" t="s">
        <v>12856</v>
      </c>
      <c r="C4285" s="4">
        <v>1.0</v>
      </c>
      <c r="D4285" s="5" t="s">
        <v>12857</v>
      </c>
      <c r="E4285" s="5" t="s">
        <v>12858</v>
      </c>
      <c r="F4285" s="6" t="str">
        <f>IFERROR(__xludf.DUMMYFUNCTION("GOOGLETRANSLATE(D4285,""en"",""it"")"),"Si fida della sua vista più dei rapporti.")</f>
        <v>Si fida della sua vista più dei rapporti.</v>
      </c>
      <c r="G4285" s="6" t="str">
        <f>IFERROR(__xludf.DUMMYFUNCTION("GOOGLETRANSLATE(E4285,""fr"",""it"")"),"Si fida della sua visione più dei rapporti.")</f>
        <v>Si fida della sua visione più dei rapporti.</v>
      </c>
    </row>
    <row r="4286">
      <c r="A4286" s="4">
        <v>4284.0</v>
      </c>
      <c r="B4286" s="5" t="s">
        <v>12859</v>
      </c>
      <c r="C4286" s="4">
        <v>1.0</v>
      </c>
      <c r="D4286" s="5" t="s">
        <v>12860</v>
      </c>
      <c r="E4286" s="5" t="s">
        <v>12861</v>
      </c>
      <c r="F4286" s="6" t="str">
        <f>IFERROR(__xludf.DUMMYFUNCTION("GOOGLETRANSLATE(D4286,""en"",""it"")"),"Si fida dei riferimenti più della sua vista.")</f>
        <v>Si fida dei riferimenti più della sua vista.</v>
      </c>
      <c r="G4286" s="6" t="str">
        <f>IFERROR(__xludf.DUMMYFUNCTION("GOOGLETRANSLATE(E4286,""fr"",""it"")"),"Si fida dei rapporti più della sua visione.")</f>
        <v>Si fida dei rapporti più della sua visione.</v>
      </c>
    </row>
    <row r="4287">
      <c r="A4287" s="4">
        <v>4285.0</v>
      </c>
      <c r="B4287" s="5" t="s">
        <v>12862</v>
      </c>
      <c r="C4287" s="4">
        <v>1.0</v>
      </c>
      <c r="D4287" s="5" t="s">
        <v>12863</v>
      </c>
      <c r="E4287" s="5" t="s">
        <v>12864</v>
      </c>
      <c r="F4287" s="6" t="str">
        <f>IFERROR(__xludf.DUMMYFUNCTION("GOOGLETRANSLATE(D4287,""en"",""it"")"),"Si fida dei suoi sensi più dei rapporti.")</f>
        <v>Si fida dei suoi sensi più dei rapporti.</v>
      </c>
      <c r="G4287" s="6" t="str">
        <f>IFERROR(__xludf.DUMMYFUNCTION("GOOGLETRANSLATE(E4287,""fr"",""it"")"),"Si fida dei suoi sensi più che nelle relazioni.")</f>
        <v>Si fida dei suoi sensi più che nelle relazioni.</v>
      </c>
    </row>
    <row r="4288">
      <c r="A4288" s="4">
        <v>4286.0</v>
      </c>
      <c r="B4288" s="5" t="s">
        <v>12865</v>
      </c>
      <c r="C4288" s="4">
        <v>1.0</v>
      </c>
      <c r="D4288" s="5" t="s">
        <v>12866</v>
      </c>
      <c r="E4288" s="5" t="s">
        <v>12867</v>
      </c>
      <c r="F4288" s="6" t="str">
        <f>IFERROR(__xludf.DUMMYFUNCTION("GOOGLETRANSLATE(D4288,""en"",""it"")"),"Si fida della sua vista più delle ricostruzioni.")</f>
        <v>Si fida della sua vista più delle ricostruzioni.</v>
      </c>
      <c r="G4288" s="6" t="str">
        <f>IFERROR(__xludf.DUMMYFUNCTION("GOOGLETRANSLATE(E4288,""fr"",""it"")"),"Si fida della sua visione più delle ricostruzioni.")</f>
        <v>Si fida della sua visione più delle ricostruzioni.</v>
      </c>
    </row>
    <row r="4289">
      <c r="A4289" s="4">
        <v>4287.0</v>
      </c>
      <c r="B4289" s="5" t="s">
        <v>12868</v>
      </c>
      <c r="C4289" s="4">
        <v>1.0</v>
      </c>
      <c r="D4289" s="5" t="s">
        <v>12869</v>
      </c>
      <c r="E4289" s="5" t="s">
        <v>12870</v>
      </c>
      <c r="F4289" s="6" t="str">
        <f>IFERROR(__xludf.DUMMYFUNCTION("GOOGLETRANSLATE(D4289,""en"",""it"")"),"Si fida di ricostruzioni più della sua vista.")</f>
        <v>Si fida di ricostruzioni più della sua vista.</v>
      </c>
      <c r="G4289" s="6" t="str">
        <f>IFERROR(__xludf.DUMMYFUNCTION("GOOGLETRANSLATE(E4289,""fr"",""it"")"),"Si fida di ricostruzioni più della sua visione.")</f>
        <v>Si fida di ricostruzioni più della sua visione.</v>
      </c>
    </row>
    <row r="4290">
      <c r="A4290" s="4">
        <v>4288.0</v>
      </c>
      <c r="B4290" s="5" t="s">
        <v>12871</v>
      </c>
      <c r="C4290" s="4">
        <v>1.0</v>
      </c>
      <c r="D4290" s="5" t="s">
        <v>12872</v>
      </c>
      <c r="E4290" s="5" t="s">
        <v>12873</v>
      </c>
      <c r="F4290" s="6" t="str">
        <f>IFERROR(__xludf.DUMMYFUNCTION("GOOGLETRANSLATE(D4290,""en"",""it"")"),"Si fida dei suoi sensi più delle ricostruzioni.")</f>
        <v>Si fida dei suoi sensi più delle ricostruzioni.</v>
      </c>
      <c r="G4290" s="6" t="str">
        <f>IFERROR(__xludf.DUMMYFUNCTION("GOOGLETRANSLATE(E4290,""fr"",""it"")"),"Si fida dei suoi sensi più delle ricostruzioni.")</f>
        <v>Si fida dei suoi sensi più delle ricostruzioni.</v>
      </c>
    </row>
    <row r="4291">
      <c r="A4291" s="4">
        <v>4289.0</v>
      </c>
      <c r="B4291" s="5" t="s">
        <v>12874</v>
      </c>
      <c r="C4291" s="4">
        <v>1.0</v>
      </c>
      <c r="D4291" s="5" t="s">
        <v>12875</v>
      </c>
      <c r="E4291" s="5" t="s">
        <v>12876</v>
      </c>
      <c r="F4291" s="6" t="str">
        <f>IFERROR(__xludf.DUMMYFUNCTION("GOOGLETRANSLATE(D4291,""en"",""it"")"),"Si fida della sua vista più che ipotesi.")</f>
        <v>Si fida della sua vista più che ipotesi.</v>
      </c>
      <c r="G4291" s="6" t="str">
        <f>IFERROR(__xludf.DUMMYFUNCTION("GOOGLETRANSLATE(E4291,""fr"",""it"")"),"Si fida della sua visione più delle ipotesi.")</f>
        <v>Si fida della sua visione più delle ipotesi.</v>
      </c>
    </row>
    <row r="4292">
      <c r="A4292" s="4">
        <v>4290.0</v>
      </c>
      <c r="B4292" s="5" t="s">
        <v>12877</v>
      </c>
      <c r="C4292" s="4">
        <v>1.0</v>
      </c>
      <c r="D4292" s="5" t="s">
        <v>12878</v>
      </c>
      <c r="E4292" s="5" t="s">
        <v>12879</v>
      </c>
      <c r="F4292" s="6" t="str">
        <f>IFERROR(__xludf.DUMMYFUNCTION("GOOGLETRANSLATE(D4292,""en"",""it"")"),"Si fida indovina più della sua vista.")</f>
        <v>Si fida indovina più della sua vista.</v>
      </c>
      <c r="G4292" s="6" t="str">
        <f>IFERROR(__xludf.DUMMYFUNCTION("GOOGLETRANSLATE(E4292,""fr"",""it"")"),"Si fida di supporre più della sua visione.")</f>
        <v>Si fida di supporre più della sua visione.</v>
      </c>
    </row>
    <row r="4293">
      <c r="A4293" s="4">
        <v>4291.0</v>
      </c>
      <c r="B4293" s="5" t="s">
        <v>12880</v>
      </c>
      <c r="C4293" s="4">
        <v>1.0</v>
      </c>
      <c r="D4293" s="5" t="s">
        <v>12881</v>
      </c>
      <c r="E4293" s="5" t="s">
        <v>12882</v>
      </c>
      <c r="F4293" s="6" t="str">
        <f>IFERROR(__xludf.DUMMYFUNCTION("GOOGLETRANSLATE(D4293,""en"",""it"")"),"Si fida dei suoi sensi più delle ipotesi.")</f>
        <v>Si fida dei suoi sensi più delle ipotesi.</v>
      </c>
      <c r="G4293" s="6" t="str">
        <f>IFERROR(__xludf.DUMMYFUNCTION("GOOGLETRANSLATE(E4293,""fr"",""it"")"),"Si fida dei suoi sensi più delle assunzioni.")</f>
        <v>Si fida dei suoi sensi più delle assunzioni.</v>
      </c>
    </row>
    <row r="4294">
      <c r="A4294" s="4">
        <v>4292.0</v>
      </c>
      <c r="B4294" s="5" t="s">
        <v>12883</v>
      </c>
      <c r="C4294" s="4">
        <v>1.0</v>
      </c>
      <c r="D4294" s="5" t="s">
        <v>12884</v>
      </c>
      <c r="E4294" s="5" t="s">
        <v>12885</v>
      </c>
      <c r="F4294" s="6" t="str">
        <f>IFERROR(__xludf.DUMMYFUNCTION("GOOGLETRANSLATE(D4294,""en"",""it"")"),"Si fida del suo ascolto più delle voci.")</f>
        <v>Si fida del suo ascolto più delle voci.</v>
      </c>
      <c r="G4294" s="6" t="str">
        <f>IFERROR(__xludf.DUMMYFUNCTION("GOOGLETRANSLATE(E4294,""fr"",""it"")"),"Si fida del suo odore più delle voci.")</f>
        <v>Si fida del suo odore più delle voci.</v>
      </c>
    </row>
    <row r="4295">
      <c r="A4295" s="4">
        <v>4293.0</v>
      </c>
      <c r="B4295" s="5" t="s">
        <v>12886</v>
      </c>
      <c r="C4295" s="4">
        <v>1.0</v>
      </c>
      <c r="D4295" s="5" t="s">
        <v>12887</v>
      </c>
      <c r="E4295" s="5" t="s">
        <v>12888</v>
      </c>
      <c r="F4295" s="6" t="str">
        <f>IFERROR(__xludf.DUMMYFUNCTION("GOOGLETRANSLATE(D4295,""en"",""it"")"),"Si fida delle voci più del suo udito.")</f>
        <v>Si fida delle voci più del suo udito.</v>
      </c>
      <c r="G4295" s="6" t="str">
        <f>IFERROR(__xludf.DUMMYFUNCTION("GOOGLETRANSLATE(E4295,""fr"",""it"")"),"Si fida di voci più del suo odore.")</f>
        <v>Si fida di voci più del suo odore.</v>
      </c>
    </row>
    <row r="4296">
      <c r="A4296" s="4">
        <v>4294.0</v>
      </c>
      <c r="B4296" s="5" t="s">
        <v>12889</v>
      </c>
      <c r="C4296" s="4">
        <v>0.0</v>
      </c>
      <c r="D4296" s="5" t="s">
        <v>12890</v>
      </c>
      <c r="E4296" s="5" t="s">
        <v>12891</v>
      </c>
      <c r="F4296" s="6" t="str">
        <f>IFERROR(__xludf.DUMMYFUNCTION("GOOGLETRANSLATE(D4296,""en"",""it"")"),"Si fida del suo ascolto più dei suoi sensi.")</f>
        <v>Si fida del suo ascolto più dei suoi sensi.</v>
      </c>
      <c r="G4296" s="6" t="str">
        <f>IFERROR(__xludf.DUMMYFUNCTION("GOOGLETRANSLATE(E4296,""fr"",""it"")"),"Si fida del suo odore più dei suoi sensi.")</f>
        <v>Si fida del suo odore più dei suoi sensi.</v>
      </c>
    </row>
    <row r="4297">
      <c r="A4297" s="4">
        <v>4295.0</v>
      </c>
      <c r="B4297" s="5" t="s">
        <v>12892</v>
      </c>
      <c r="C4297" s="4">
        <v>0.0</v>
      </c>
      <c r="D4297" s="5" t="s">
        <v>12893</v>
      </c>
      <c r="E4297" s="5" t="s">
        <v>12894</v>
      </c>
      <c r="F4297" s="6" t="str">
        <f>IFERROR(__xludf.DUMMYFUNCTION("GOOGLETRANSLATE(D4297,""en"",""it"")"),"Si fida dei suoi sensi più del suo udito.")</f>
        <v>Si fida dei suoi sensi più del suo udito.</v>
      </c>
      <c r="G4297" s="6" t="str">
        <f>IFERROR(__xludf.DUMMYFUNCTION("GOOGLETRANSLATE(E4297,""fr"",""it"")"),"Si fida dei suoi sensi più del suo odore.")</f>
        <v>Si fida dei suoi sensi più del suo odore.</v>
      </c>
    </row>
    <row r="4298">
      <c r="A4298" s="4">
        <v>4296.0</v>
      </c>
      <c r="B4298" s="5" t="s">
        <v>12895</v>
      </c>
      <c r="C4298" s="4">
        <v>1.0</v>
      </c>
      <c r="D4298" s="5" t="s">
        <v>12896</v>
      </c>
      <c r="E4298" s="5" t="s">
        <v>12897</v>
      </c>
      <c r="F4298" s="6" t="str">
        <f>IFERROR(__xludf.DUMMYFUNCTION("GOOGLETRANSLATE(D4298,""en"",""it"")"),"Si fida del suo ascolto più dei rapporti.")</f>
        <v>Si fida del suo ascolto più dei rapporti.</v>
      </c>
      <c r="G4298" s="6" t="str">
        <f>IFERROR(__xludf.DUMMYFUNCTION("GOOGLETRANSLATE(E4298,""fr"",""it"")"),"Si fida del suo odororato più dei rapporti.")</f>
        <v>Si fida del suo odororato più dei rapporti.</v>
      </c>
    </row>
    <row r="4299">
      <c r="A4299" s="4">
        <v>4297.0</v>
      </c>
      <c r="B4299" s="5" t="s">
        <v>12898</v>
      </c>
      <c r="C4299" s="4">
        <v>1.0</v>
      </c>
      <c r="D4299" s="5" t="s">
        <v>12899</v>
      </c>
      <c r="E4299" s="5" t="s">
        <v>12900</v>
      </c>
      <c r="F4299" s="6" t="str">
        <f>IFERROR(__xludf.DUMMYFUNCTION("GOOGLETRANSLATE(D4299,""en"",""it"")"),"Si fida dei riferimenti più del suo udito.")</f>
        <v>Si fida dei riferimenti più del suo udito.</v>
      </c>
      <c r="G4299" s="6" t="str">
        <f>IFERROR(__xludf.DUMMYFUNCTION("GOOGLETRANSLATE(E4299,""fr"",""it"")"),"Si fida più del suo odore.")</f>
        <v>Si fida più del suo odore.</v>
      </c>
    </row>
    <row r="4300">
      <c r="A4300" s="4">
        <v>4298.0</v>
      </c>
      <c r="B4300" s="5" t="s">
        <v>12901</v>
      </c>
      <c r="C4300" s="4">
        <v>1.0</v>
      </c>
      <c r="D4300" s="5" t="s">
        <v>12902</v>
      </c>
      <c r="E4300" s="5" t="s">
        <v>12903</v>
      </c>
      <c r="F4300" s="6" t="str">
        <f>IFERROR(__xludf.DUMMYFUNCTION("GOOGLETRANSLATE(D4300,""en"",""it"")"),"Si fida del suo udito più delle ricostruzioni.")</f>
        <v>Si fida del suo udito più delle ricostruzioni.</v>
      </c>
      <c r="G4300" s="6" t="str">
        <f>IFERROR(__xludf.DUMMYFUNCTION("GOOGLETRANSLATE(E4300,""fr"",""it"")"),"Si fida del suo odore più delle ricostruzioni.")</f>
        <v>Si fida del suo odore più delle ricostruzioni.</v>
      </c>
    </row>
    <row r="4301">
      <c r="A4301" s="4">
        <v>4299.0</v>
      </c>
      <c r="B4301" s="5" t="s">
        <v>12904</v>
      </c>
      <c r="C4301" s="4">
        <v>1.0</v>
      </c>
      <c r="D4301" s="5" t="s">
        <v>12905</v>
      </c>
      <c r="E4301" s="5" t="s">
        <v>12906</v>
      </c>
      <c r="F4301" s="6" t="str">
        <f>IFERROR(__xludf.DUMMYFUNCTION("GOOGLETRANSLATE(D4301,""en"",""it"")"),"Si fida di ricostruzioni più del suo udito.")</f>
        <v>Si fida di ricostruzioni più del suo udito.</v>
      </c>
      <c r="G4301" s="6" t="str">
        <f>IFERROR(__xludf.DUMMYFUNCTION("GOOGLETRANSLATE(E4301,""fr"",""it"")"),"Si fida di ricostruzioni più del suo odore.")</f>
        <v>Si fida di ricostruzioni più del suo odore.</v>
      </c>
    </row>
    <row r="4302">
      <c r="A4302" s="4">
        <v>4300.0</v>
      </c>
      <c r="B4302" s="5" t="s">
        <v>12907</v>
      </c>
      <c r="C4302" s="4">
        <v>1.0</v>
      </c>
      <c r="D4302" s="5" t="s">
        <v>12908</v>
      </c>
      <c r="E4302" s="5" t="s">
        <v>12909</v>
      </c>
      <c r="F4302" s="6" t="str">
        <f>IFERROR(__xludf.DUMMYFUNCTION("GOOGLETRANSLATE(D4302,""en"",""it"")"),"Si fida del suo ascolto più delle ipotesi.")</f>
        <v>Si fida del suo ascolto più delle ipotesi.</v>
      </c>
      <c r="G4302" s="6" t="str">
        <f>IFERROR(__xludf.DUMMYFUNCTION("GOOGLETRANSLATE(E4302,""fr"",""it"")"),"Si fida del suo odore più delle ipotesi.")</f>
        <v>Si fida del suo odore più delle ipotesi.</v>
      </c>
    </row>
    <row r="4303">
      <c r="A4303" s="4">
        <v>4301.0</v>
      </c>
      <c r="B4303" s="5" t="s">
        <v>12910</v>
      </c>
      <c r="C4303" s="4">
        <v>1.0</v>
      </c>
      <c r="D4303" s="5" t="s">
        <v>12911</v>
      </c>
      <c r="E4303" s="5" t="s">
        <v>12912</v>
      </c>
      <c r="F4303" s="6" t="str">
        <f>IFERROR(__xludf.DUMMYFUNCTION("GOOGLETRANSLATE(D4303,""en"",""it"")"),"Si fida indovina più del suo udito.")</f>
        <v>Si fida indovina più del suo udito.</v>
      </c>
      <c r="G4303" s="6" t="str">
        <f>IFERROR(__xludf.DUMMYFUNCTION("GOOGLETRANSLATE(E4303,""fr"",""it"")"),"Si fida di supporre più del suo odore.")</f>
        <v>Si fida di supporre più del suo odore.</v>
      </c>
    </row>
    <row r="4304">
      <c r="A4304" s="4">
        <v>4302.0</v>
      </c>
      <c r="B4304" s="5" t="s">
        <v>12913</v>
      </c>
      <c r="C4304" s="4">
        <v>0.0</v>
      </c>
      <c r="D4304" s="5" t="s">
        <v>12914</v>
      </c>
      <c r="E4304" s="5" t="s">
        <v>12915</v>
      </c>
      <c r="F4304" s="6" t="str">
        <f>IFERROR(__xludf.DUMMYFUNCTION("GOOGLETRANSLATE(D4304,""en"",""it"")"),"Mi piacciono i criceti, tranne le giraffe.")</f>
        <v>Mi piacciono i criceti, tranne le giraffe.</v>
      </c>
      <c r="G4304" s="6" t="str">
        <f>IFERROR(__xludf.DUMMYFUNCTION("GOOGLETRANSLATE(E4304,""fr"",""it"")"),"Mi piacciono i criceti, tranne le giraffe.")</f>
        <v>Mi piacciono i criceti, tranne le giraffe.</v>
      </c>
    </row>
    <row r="4305">
      <c r="A4305" s="4">
        <v>4303.0</v>
      </c>
      <c r="B4305" s="5" t="s">
        <v>12916</v>
      </c>
      <c r="C4305" s="4">
        <v>0.0</v>
      </c>
      <c r="D4305" s="5" t="s">
        <v>12917</v>
      </c>
      <c r="E4305" s="5" t="s">
        <v>12918</v>
      </c>
      <c r="F4305" s="6" t="str">
        <f>IFERROR(__xludf.DUMMYFUNCTION("GOOGLETRANSLATE(D4305,""en"",""it"")"),"Mi piacciono le giraffe, tranne i criceti.")</f>
        <v>Mi piacciono le giraffe, tranne i criceti.</v>
      </c>
      <c r="G4305" s="6" t="str">
        <f>IFERROR(__xludf.DUMMYFUNCTION("GOOGLETRANSLATE(E4305,""fr"",""it"")"),"Amo le giraffe, tranne i criceti.")</f>
        <v>Amo le giraffe, tranne i criceti.</v>
      </c>
    </row>
    <row r="4306">
      <c r="A4306" s="4">
        <v>4304.0</v>
      </c>
      <c r="B4306" s="5" t="s">
        <v>12919</v>
      </c>
      <c r="C4306" s="4">
        <v>0.0</v>
      </c>
      <c r="D4306" s="5" t="s">
        <v>12920</v>
      </c>
      <c r="E4306" s="5" t="s">
        <v>12921</v>
      </c>
      <c r="F4306" s="6" t="str">
        <f>IFERROR(__xludf.DUMMYFUNCTION("GOOGLETRANSLATE(D4306,""en"",""it"")"),"Mi piacciono i criceti, tranne animali domestici.")</f>
        <v>Mi piacciono i criceti, tranne animali domestici.</v>
      </c>
      <c r="G4306" s="6" t="str">
        <f>IFERROR(__xludf.DUMMYFUNCTION("GOOGLETRANSLATE(E4306,""fr"",""it"")"),"Amo i criceti tranne animali domestici.")</f>
        <v>Amo i criceti tranne animali domestici.</v>
      </c>
    </row>
    <row r="4307">
      <c r="A4307" s="4">
        <v>4305.0</v>
      </c>
      <c r="B4307" s="5" t="s">
        <v>12922</v>
      </c>
      <c r="C4307" s="4">
        <v>1.0</v>
      </c>
      <c r="D4307" s="5" t="s">
        <v>12923</v>
      </c>
      <c r="E4307" s="5" t="s">
        <v>12924</v>
      </c>
      <c r="F4307" s="6" t="str">
        <f>IFERROR(__xludf.DUMMYFUNCTION("GOOGLETRANSLATE(D4307,""en"",""it"")"),"Si fida del suo tocco più delle voci.")</f>
        <v>Si fida del suo tocco più delle voci.</v>
      </c>
      <c r="G4307" s="6" t="str">
        <f>IFERROR(__xludf.DUMMYFUNCTION("GOOGLETRANSLATE(E4307,""fr"",""it"")"),"Si fida del suo senso di tocco più delle voci.")</f>
        <v>Si fida del suo senso di tocco più delle voci.</v>
      </c>
    </row>
    <row r="4308">
      <c r="A4308" s="4">
        <v>4306.0</v>
      </c>
      <c r="B4308" s="5" t="s">
        <v>12925</v>
      </c>
      <c r="C4308" s="4">
        <v>1.0</v>
      </c>
      <c r="D4308" s="5" t="s">
        <v>12926</v>
      </c>
      <c r="E4308" s="5" t="s">
        <v>12927</v>
      </c>
      <c r="F4308" s="6" t="str">
        <f>IFERROR(__xludf.DUMMYFUNCTION("GOOGLETRANSLATE(D4308,""en"",""it"")"),"Si fida delle voci più del suo tocco.")</f>
        <v>Si fida delle voci più del suo tocco.</v>
      </c>
      <c r="G4308" s="6" t="str">
        <f>IFERROR(__xludf.DUMMYFUNCTION("GOOGLETRANSLATE(E4308,""fr"",""it"")"),"Si fida delle voci più del suo senso del tatto.")</f>
        <v>Si fida delle voci più del suo senso del tatto.</v>
      </c>
    </row>
    <row r="4309">
      <c r="A4309" s="4">
        <v>4307.0</v>
      </c>
      <c r="B4309" s="5" t="s">
        <v>12928</v>
      </c>
      <c r="C4309" s="4">
        <v>0.0</v>
      </c>
      <c r="D4309" s="5" t="s">
        <v>12929</v>
      </c>
      <c r="E4309" s="5" t="s">
        <v>12930</v>
      </c>
      <c r="F4309" s="6" t="str">
        <f>IFERROR(__xludf.DUMMYFUNCTION("GOOGLETRANSLATE(D4309,""en"",""it"")"),"Si fida del suo tocco più dei suoi sensi.")</f>
        <v>Si fida del suo tocco più dei suoi sensi.</v>
      </c>
      <c r="G4309" s="6" t="str">
        <f>IFERROR(__xludf.DUMMYFUNCTION("GOOGLETRANSLATE(E4309,""fr"",""it"")"),"Si fida del suo senso di tocco più dei suoi sensi.")</f>
        <v>Si fida del suo senso di tocco più dei suoi sensi.</v>
      </c>
    </row>
    <row r="4310">
      <c r="A4310" s="4">
        <v>4308.0</v>
      </c>
      <c r="B4310" s="5" t="s">
        <v>12931</v>
      </c>
      <c r="C4310" s="4">
        <v>0.0</v>
      </c>
      <c r="D4310" s="5" t="s">
        <v>12932</v>
      </c>
      <c r="E4310" s="5" t="s">
        <v>12933</v>
      </c>
      <c r="F4310" s="6" t="str">
        <f>IFERROR(__xludf.DUMMYFUNCTION("GOOGLETRANSLATE(D4310,""en"",""it"")"),"Si fida dei suoi sensi più del suo tocco.")</f>
        <v>Si fida dei suoi sensi più del suo tocco.</v>
      </c>
      <c r="G4310" s="6" t="str">
        <f>IFERROR(__xludf.DUMMYFUNCTION("GOOGLETRANSLATE(E4310,""fr"",""it"")"),"Si fida dei suoi sensi più che al suo senso del tatto.")</f>
        <v>Si fida dei suoi sensi più che al suo senso del tatto.</v>
      </c>
    </row>
    <row r="4311">
      <c r="A4311" s="4">
        <v>4309.0</v>
      </c>
      <c r="B4311" s="5" t="s">
        <v>12934</v>
      </c>
      <c r="C4311" s="4">
        <v>1.0</v>
      </c>
      <c r="D4311" s="5" t="s">
        <v>12935</v>
      </c>
      <c r="E4311" s="5" t="s">
        <v>12936</v>
      </c>
      <c r="F4311" s="6" t="str">
        <f>IFERROR(__xludf.DUMMYFUNCTION("GOOGLETRANSLATE(D4311,""en"",""it"")"),"Si fida del suo tocco più dei rapporti.")</f>
        <v>Si fida del suo tocco più dei rapporti.</v>
      </c>
      <c r="G4311" s="6" t="str">
        <f>IFERROR(__xludf.DUMMYFUNCTION("GOOGLETRANSLATE(E4311,""fr"",""it"")"),"Si fida del suo senso di tocco più dei rapporti.")</f>
        <v>Si fida del suo senso di tocco più dei rapporti.</v>
      </c>
    </row>
    <row r="4312">
      <c r="A4312" s="4">
        <v>4310.0</v>
      </c>
      <c r="B4312" s="5" t="s">
        <v>12937</v>
      </c>
      <c r="C4312" s="4">
        <v>1.0</v>
      </c>
      <c r="D4312" s="5" t="s">
        <v>12938</v>
      </c>
      <c r="E4312" s="5" t="s">
        <v>12939</v>
      </c>
      <c r="F4312" s="6" t="str">
        <f>IFERROR(__xludf.DUMMYFUNCTION("GOOGLETRANSLATE(D4312,""en"",""it"")"),"Si fida dei rapporti più del suo tocco.")</f>
        <v>Si fida dei rapporti più del suo tocco.</v>
      </c>
      <c r="G4312" s="6" t="str">
        <f>IFERROR(__xludf.DUMMYFUNCTION("GOOGLETRANSLATE(E4312,""fr"",""it"")"),"Si fida dei rapporti più che al suo senso del tatto.")</f>
        <v>Si fida dei rapporti più che al suo senso del tatto.</v>
      </c>
    </row>
    <row r="4313">
      <c r="A4313" s="4">
        <v>4311.0</v>
      </c>
      <c r="B4313" s="5" t="s">
        <v>12940</v>
      </c>
      <c r="C4313" s="4">
        <v>1.0</v>
      </c>
      <c r="D4313" s="5" t="s">
        <v>12941</v>
      </c>
      <c r="E4313" s="5" t="s">
        <v>12942</v>
      </c>
      <c r="F4313" s="6" t="str">
        <f>IFERROR(__xludf.DUMMYFUNCTION("GOOGLETRANSLATE(D4313,""en"",""it"")"),"Mi piacciono gli animali domestici, tranne i criceti.")</f>
        <v>Mi piacciono gli animali domestici, tranne i criceti.</v>
      </c>
      <c r="G4313" s="6" t="str">
        <f>IFERROR(__xludf.DUMMYFUNCTION("GOOGLETRANSLATE(E4313,""fr"",""it"")"),"Amo gli animali domestici, tranne i criceti.")</f>
        <v>Amo gli animali domestici, tranne i criceti.</v>
      </c>
    </row>
    <row r="4314">
      <c r="A4314" s="4">
        <v>4312.0</v>
      </c>
      <c r="B4314" s="5" t="s">
        <v>12943</v>
      </c>
      <c r="C4314" s="4">
        <v>1.0</v>
      </c>
      <c r="D4314" s="5" t="s">
        <v>12944</v>
      </c>
      <c r="E4314" s="5" t="s">
        <v>12945</v>
      </c>
      <c r="F4314" s="6" t="str">
        <f>IFERROR(__xludf.DUMMYFUNCTION("GOOGLETRANSLATE(D4314,""en"",""it"")"),"Si fida del suo tocco più delle ricostruzioni.")</f>
        <v>Si fida del suo tocco più delle ricostruzioni.</v>
      </c>
      <c r="G4314" s="6" t="str">
        <f>IFERROR(__xludf.DUMMYFUNCTION("GOOGLETRANSLATE(E4314,""fr"",""it"")"),"Si fida del suo senso di tocco più delle ricostruzioni.")</f>
        <v>Si fida del suo senso di tocco più delle ricostruzioni.</v>
      </c>
    </row>
    <row r="4315">
      <c r="A4315" s="4">
        <v>4313.0</v>
      </c>
      <c r="B4315" s="5" t="s">
        <v>12946</v>
      </c>
      <c r="C4315" s="4">
        <v>1.0</v>
      </c>
      <c r="D4315" s="5" t="s">
        <v>12947</v>
      </c>
      <c r="E4315" s="5" t="s">
        <v>12948</v>
      </c>
      <c r="F4315" s="6" t="str">
        <f>IFERROR(__xludf.DUMMYFUNCTION("GOOGLETRANSLATE(D4315,""en"",""it"")"),"Si fida di ricostruzioni più del suo tocco.")</f>
        <v>Si fida di ricostruzioni più del suo tocco.</v>
      </c>
      <c r="G4315" s="6" t="str">
        <f>IFERROR(__xludf.DUMMYFUNCTION("GOOGLETRANSLATE(E4315,""fr"",""it"")"),"Si fida di ricostruzioni più del suo senso del tatto.")</f>
        <v>Si fida di ricostruzioni più del suo senso del tatto.</v>
      </c>
    </row>
    <row r="4316">
      <c r="A4316" s="4">
        <v>4314.0</v>
      </c>
      <c r="B4316" s="5" t="s">
        <v>12949</v>
      </c>
      <c r="C4316" s="4">
        <v>1.0</v>
      </c>
      <c r="D4316" s="5" t="s">
        <v>12950</v>
      </c>
      <c r="E4316" s="5" t="s">
        <v>12951</v>
      </c>
      <c r="F4316" s="6" t="str">
        <f>IFERROR(__xludf.DUMMYFUNCTION("GOOGLETRANSLATE(D4316,""en"",""it"")"),"Si fida del suo tocco più delle ipotesi.")</f>
        <v>Si fida del suo tocco più delle ipotesi.</v>
      </c>
      <c r="G4316" s="6" t="str">
        <f>IFERROR(__xludf.DUMMYFUNCTION("GOOGLETRANSLATE(E4316,""fr"",""it"")"),"Si fida del suo senso di tocco più delle ipotesi.")</f>
        <v>Si fida del suo senso di tocco più delle ipotesi.</v>
      </c>
    </row>
    <row r="4317">
      <c r="A4317" s="4">
        <v>4315.0</v>
      </c>
      <c r="B4317" s="5" t="s">
        <v>12952</v>
      </c>
      <c r="C4317" s="4">
        <v>1.0</v>
      </c>
      <c r="D4317" s="5" t="s">
        <v>12953</v>
      </c>
      <c r="E4317" s="5" t="s">
        <v>12954</v>
      </c>
      <c r="F4317" s="6" t="str">
        <f>IFERROR(__xludf.DUMMYFUNCTION("GOOGLETRANSLATE(D4317,""en"",""it"")"),"Si fida indovina più del suo tocco.")</f>
        <v>Si fida indovina più del suo tocco.</v>
      </c>
      <c r="G4317" s="6" t="str">
        <f>IFERROR(__xludf.DUMMYFUNCTION("GOOGLETRANSLATE(E4317,""fr"",""it"")"),"Si fida di supporre più del suo senso del tatto.")</f>
        <v>Si fida di supporre più del suo senso del tatto.</v>
      </c>
    </row>
    <row r="4318">
      <c r="A4318" s="4">
        <v>4316.0</v>
      </c>
      <c r="B4318" s="5" t="s">
        <v>12955</v>
      </c>
      <c r="C4318" s="4">
        <v>0.0</v>
      </c>
      <c r="D4318" s="5" t="s">
        <v>12956</v>
      </c>
      <c r="E4318" s="5" t="s">
        <v>12957</v>
      </c>
      <c r="F4318" s="6" t="str">
        <f>IFERROR(__xludf.DUMMYFUNCTION("GOOGLETRANSLATE(D4318,""en"",""it"")"),"Mi piacciono i criceti, tranne gli orsi.")</f>
        <v>Mi piacciono i criceti, tranne gli orsi.</v>
      </c>
      <c r="G4318" s="6" t="str">
        <f>IFERROR(__xludf.DUMMYFUNCTION("GOOGLETRANSLATE(E4318,""fr"",""it"")"),"Mi piacciono i criceti, tranne gli orsi.")</f>
        <v>Mi piacciono i criceti, tranne gli orsi.</v>
      </c>
    </row>
    <row r="4319">
      <c r="A4319" s="4">
        <v>4317.0</v>
      </c>
      <c r="B4319" s="5" t="s">
        <v>12958</v>
      </c>
      <c r="C4319" s="4">
        <v>0.0</v>
      </c>
      <c r="D4319" s="5" t="s">
        <v>12959</v>
      </c>
      <c r="E4319" s="5" t="s">
        <v>12960</v>
      </c>
      <c r="F4319" s="6" t="str">
        <f>IFERROR(__xludf.DUMMYFUNCTION("GOOGLETRANSLATE(D4319,""en"",""it"")"),"Mi piacciono gli orsi, ad eccezione dei criceti.")</f>
        <v>Mi piacciono gli orsi, ad eccezione dei criceti.</v>
      </c>
      <c r="G4319" s="6" t="str">
        <f>IFERROR(__xludf.DUMMYFUNCTION("GOOGLETRANSLATE(E4319,""fr"",""it"")"),"Amo gli orsi tranne i criceti.")</f>
        <v>Amo gli orsi tranne i criceti.</v>
      </c>
    </row>
    <row r="4320">
      <c r="A4320" s="4">
        <v>4318.0</v>
      </c>
      <c r="B4320" s="5" t="s">
        <v>12961</v>
      </c>
      <c r="C4320" s="4">
        <v>1.0</v>
      </c>
      <c r="D4320" s="5" t="s">
        <v>12962</v>
      </c>
      <c r="E4320" s="5" t="s">
        <v>12963</v>
      </c>
      <c r="F4320" s="6" t="str">
        <f>IFERROR(__xludf.DUMMYFUNCTION("GOOGLETRANSLATE(D4320,""en"",""it"")"),"Si fida del suo gusto più delle voci.")</f>
        <v>Si fida del suo gusto più delle voci.</v>
      </c>
      <c r="G4320" s="6" t="str">
        <f>IFERROR(__xludf.DUMMYFUNCTION("GOOGLETRANSLATE(E4320,""fr"",""it"")"),"Si fida del suo senso del gusto più delle voci.")</f>
        <v>Si fida del suo senso del gusto più delle voci.</v>
      </c>
    </row>
    <row r="4321">
      <c r="A4321" s="4">
        <v>4319.0</v>
      </c>
      <c r="B4321" s="5" t="s">
        <v>12964</v>
      </c>
      <c r="C4321" s="4">
        <v>1.0</v>
      </c>
      <c r="D4321" s="5" t="s">
        <v>12965</v>
      </c>
      <c r="E4321" s="5" t="s">
        <v>12966</v>
      </c>
      <c r="F4321" s="6" t="str">
        <f>IFERROR(__xludf.DUMMYFUNCTION("GOOGLETRANSLATE(D4321,""en"",""it"")"),"Si fida di voci più del suo gusto.")</f>
        <v>Si fida di voci più del suo gusto.</v>
      </c>
      <c r="G4321" s="6" t="str">
        <f>IFERROR(__xludf.DUMMYFUNCTION("GOOGLETRANSLATE(E4321,""fr"",""it"")"),"Si fida delle voci più del suo senso del gusto.")</f>
        <v>Si fida delle voci più del suo senso del gusto.</v>
      </c>
    </row>
    <row r="4322">
      <c r="A4322" s="4">
        <v>4320.0</v>
      </c>
      <c r="B4322" s="5" t="s">
        <v>12967</v>
      </c>
      <c r="C4322" s="4">
        <v>0.0</v>
      </c>
      <c r="D4322" s="5" t="s">
        <v>12968</v>
      </c>
      <c r="E4322" s="5" t="s">
        <v>12969</v>
      </c>
      <c r="F4322" s="6" t="str">
        <f>IFERROR(__xludf.DUMMYFUNCTION("GOOGLETRANSLATE(D4322,""en"",""it"")"),"Si fida del suo gusto più dei suoi sensi.")</f>
        <v>Si fida del suo gusto più dei suoi sensi.</v>
      </c>
      <c r="G4322" s="6" t="str">
        <f>IFERROR(__xludf.DUMMYFUNCTION("GOOGLETRANSLATE(E4322,""fr"",""it"")"),"Si fida del suo senso del gusto più dei suoi sensi.")</f>
        <v>Si fida del suo senso del gusto più dei suoi sensi.</v>
      </c>
    </row>
    <row r="4323">
      <c r="A4323" s="4">
        <v>4321.0</v>
      </c>
      <c r="B4323" s="5" t="s">
        <v>12970</v>
      </c>
      <c r="C4323" s="4">
        <v>0.0</v>
      </c>
      <c r="D4323" s="5" t="s">
        <v>12971</v>
      </c>
      <c r="E4323" s="5" t="s">
        <v>12972</v>
      </c>
      <c r="F4323" s="6" t="str">
        <f>IFERROR(__xludf.DUMMYFUNCTION("GOOGLETRANSLATE(D4323,""en"",""it"")"),"Si fida dei suoi sensi più del suo gusto.")</f>
        <v>Si fida dei suoi sensi più del suo gusto.</v>
      </c>
      <c r="G4323" s="6" t="str">
        <f>IFERROR(__xludf.DUMMYFUNCTION("GOOGLETRANSLATE(E4323,""fr"",""it"")"),"Si fida dei suoi sensi più che al suo senso del gusto.")</f>
        <v>Si fida dei suoi sensi più che al suo senso del gusto.</v>
      </c>
    </row>
    <row r="4324">
      <c r="A4324" s="4">
        <v>4322.0</v>
      </c>
      <c r="B4324" s="5" t="s">
        <v>12973</v>
      </c>
      <c r="C4324" s="4">
        <v>1.0</v>
      </c>
      <c r="D4324" s="5" t="s">
        <v>12974</v>
      </c>
      <c r="E4324" s="5" t="s">
        <v>12975</v>
      </c>
      <c r="F4324" s="6" t="str">
        <f>IFERROR(__xludf.DUMMYFUNCTION("GOOGLETRANSLATE(D4324,""en"",""it"")"),"Si fida del suo gusto più dei rapporti.")</f>
        <v>Si fida del suo gusto più dei rapporti.</v>
      </c>
      <c r="G4324" s="6" t="str">
        <f>IFERROR(__xludf.DUMMYFUNCTION("GOOGLETRANSLATE(E4324,""fr"",""it"")"),"Si fida del suo senso del gusto più che nelle relazioni.")</f>
        <v>Si fida del suo senso del gusto più che nelle relazioni.</v>
      </c>
    </row>
    <row r="4325">
      <c r="A4325" s="4">
        <v>4323.0</v>
      </c>
      <c r="B4325" s="5" t="s">
        <v>12976</v>
      </c>
      <c r="C4325" s="4">
        <v>1.0</v>
      </c>
      <c r="D4325" s="5" t="s">
        <v>12977</v>
      </c>
      <c r="E4325" s="5" t="s">
        <v>12978</v>
      </c>
      <c r="F4325" s="6" t="str">
        <f>IFERROR(__xludf.DUMMYFUNCTION("GOOGLETRANSLATE(D4325,""en"",""it"")"),"Si fida dei riferimenti più dei suoi gusti.")</f>
        <v>Si fida dei riferimenti più dei suoi gusti.</v>
      </c>
      <c r="G4325" s="6" t="str">
        <f>IFERROR(__xludf.DUMMYFUNCTION("GOOGLETRANSLATE(E4325,""fr"",""it"")"),"Si fida più del suo senso del gusto.")</f>
        <v>Si fida più del suo senso del gusto.</v>
      </c>
    </row>
    <row r="4326">
      <c r="A4326" s="4">
        <v>4324.0</v>
      </c>
      <c r="B4326" s="5" t="s">
        <v>12979</v>
      </c>
      <c r="C4326" s="4">
        <v>1.0</v>
      </c>
      <c r="D4326" s="5" t="s">
        <v>12980</v>
      </c>
      <c r="E4326" s="5" t="s">
        <v>12981</v>
      </c>
      <c r="F4326" s="6" t="str">
        <f>IFERROR(__xludf.DUMMYFUNCTION("GOOGLETRANSLATE(D4326,""en"",""it"")"),"Si fida del suo gusto più delle ricostruzioni.")</f>
        <v>Si fida del suo gusto più delle ricostruzioni.</v>
      </c>
      <c r="G4326" s="6" t="str">
        <f>IFERROR(__xludf.DUMMYFUNCTION("GOOGLETRANSLATE(E4326,""fr"",""it"")"),"Si fida del suo senso del gusto più delle ricostruzioni.")</f>
        <v>Si fida del suo senso del gusto più delle ricostruzioni.</v>
      </c>
    </row>
    <row r="4327">
      <c r="A4327" s="4">
        <v>4325.0</v>
      </c>
      <c r="B4327" s="5" t="s">
        <v>12982</v>
      </c>
      <c r="C4327" s="4">
        <v>1.0</v>
      </c>
      <c r="D4327" s="5" t="s">
        <v>12983</v>
      </c>
      <c r="E4327" s="5" t="s">
        <v>12984</v>
      </c>
      <c r="F4327" s="6" t="str">
        <f>IFERROR(__xludf.DUMMYFUNCTION("GOOGLETRANSLATE(D4327,""en"",""it"")"),"Si fida di ricostruzioni più del suo gusto.")</f>
        <v>Si fida di ricostruzioni più del suo gusto.</v>
      </c>
      <c r="G4327" s="6" t="str">
        <f>IFERROR(__xludf.DUMMYFUNCTION("GOOGLETRANSLATE(E4327,""fr"",""it"")"),"Si fida di ricostruzioni più del suo senso del gusto.")</f>
        <v>Si fida di ricostruzioni più del suo senso del gusto.</v>
      </c>
    </row>
    <row r="4328">
      <c r="A4328" s="4">
        <v>4326.0</v>
      </c>
      <c r="B4328" s="5" t="s">
        <v>12985</v>
      </c>
      <c r="C4328" s="4">
        <v>1.0</v>
      </c>
      <c r="D4328" s="5" t="s">
        <v>12986</v>
      </c>
      <c r="E4328" s="5" t="s">
        <v>12987</v>
      </c>
      <c r="F4328" s="6" t="str">
        <f>IFERROR(__xludf.DUMMYFUNCTION("GOOGLETRANSLATE(D4328,""en"",""it"")"),"Si fida dei suoi gusti più delle ipotesi.")</f>
        <v>Si fida dei suoi gusti più delle ipotesi.</v>
      </c>
      <c r="G4328" s="6" t="str">
        <f>IFERROR(__xludf.DUMMYFUNCTION("GOOGLETRANSLATE(E4328,""fr"",""it"")"),"Si fida del suo senso del gusto più delle supposizioni.")</f>
        <v>Si fida del suo senso del gusto più delle supposizioni.</v>
      </c>
    </row>
    <row r="4329">
      <c r="A4329" s="4">
        <v>4327.0</v>
      </c>
      <c r="B4329" s="5" t="s">
        <v>12988</v>
      </c>
      <c r="C4329" s="4">
        <v>1.0</v>
      </c>
      <c r="D4329" s="5" t="s">
        <v>12989</v>
      </c>
      <c r="E4329" s="5" t="s">
        <v>12990</v>
      </c>
      <c r="F4329" s="6" t="str">
        <f>IFERROR(__xludf.DUMMYFUNCTION("GOOGLETRANSLATE(D4329,""en"",""it"")"),"Si fida indovina più del suo gusto.")</f>
        <v>Si fida indovina più del suo gusto.</v>
      </c>
      <c r="G4329" s="6" t="str">
        <f>IFERROR(__xludf.DUMMYFUNCTION("GOOGLETRANSLATE(E4329,""fr"",""it"")"),"Si fida di supporre più del suo senso del gusto.")</f>
        <v>Si fida di supporre più del suo senso del gusto.</v>
      </c>
    </row>
    <row r="4330">
      <c r="A4330" s="4">
        <v>4328.0</v>
      </c>
      <c r="B4330" s="5" t="s">
        <v>12991</v>
      </c>
      <c r="C4330" s="4">
        <v>0.0</v>
      </c>
      <c r="D4330" s="5" t="s">
        <v>12992</v>
      </c>
      <c r="E4330" s="5" t="s">
        <v>12993</v>
      </c>
      <c r="F4330" s="6" t="str">
        <f>IFERROR(__xludf.DUMMYFUNCTION("GOOGLETRANSLATE(D4330,""en"",""it"")"),"Mi piacciono i criceti, tranne meduse.")</f>
        <v>Mi piacciono i criceti, tranne meduse.</v>
      </c>
      <c r="G4330" s="6" t="str">
        <f>IFERROR(__xludf.DUMMYFUNCTION("GOOGLETRANSLATE(E4330,""fr"",""it"")"),"Mi piacciono i criceti, tranne la medusa.")</f>
        <v>Mi piacciono i criceti, tranne la medusa.</v>
      </c>
    </row>
    <row r="4331">
      <c r="A4331" s="4">
        <v>4329.0</v>
      </c>
      <c r="B4331" s="5" t="s">
        <v>12994</v>
      </c>
      <c r="C4331" s="4">
        <v>0.0</v>
      </c>
      <c r="D4331" s="5" t="s">
        <v>12995</v>
      </c>
      <c r="E4331" s="5" t="s">
        <v>12996</v>
      </c>
      <c r="F4331" s="6" t="str">
        <f>IFERROR(__xludf.DUMMYFUNCTION("GOOGLETRANSLATE(D4331,""en"",""it"")"),"Mi piacciono le meduse, tranne i criceti.")</f>
        <v>Mi piacciono le meduse, tranne i criceti.</v>
      </c>
      <c r="G4331" s="6" t="str">
        <f>IFERROR(__xludf.DUMMYFUNCTION("GOOGLETRANSLATE(E4331,""fr"",""it"")"),"Adoro meduse ad eccezione dei criceti.")</f>
        <v>Adoro meduse ad eccezione dei criceti.</v>
      </c>
    </row>
    <row r="4332">
      <c r="A4332" s="4">
        <v>4330.0</v>
      </c>
      <c r="B4332" s="5" t="s">
        <v>12997</v>
      </c>
      <c r="C4332" s="4">
        <v>1.0</v>
      </c>
      <c r="D4332" s="5" t="s">
        <v>12998</v>
      </c>
      <c r="E4332" s="5" t="s">
        <v>12999</v>
      </c>
      <c r="F4332" s="6" t="str">
        <f>IFERROR(__xludf.DUMMYFUNCTION("GOOGLETRANSLATE(D4332,""en"",""it"")"),"A lui piace la gioia più della saggezza.")</f>
        <v>A lui piace la gioia più della saggezza.</v>
      </c>
      <c r="G4332" s="6" t="str">
        <f>IFERROR(__xludf.DUMMYFUNCTION("GOOGLETRANSLATE(E4332,""fr"",""it"")"),"Posso capire la gioia più della saggezza.")</f>
        <v>Posso capire la gioia più della saggezza.</v>
      </c>
    </row>
    <row r="4333">
      <c r="A4333" s="4">
        <v>4331.0</v>
      </c>
      <c r="B4333" s="5" t="s">
        <v>13000</v>
      </c>
      <c r="C4333" s="4">
        <v>1.0</v>
      </c>
      <c r="D4333" s="5" t="s">
        <v>13001</v>
      </c>
      <c r="E4333" s="5" t="s">
        <v>13002</v>
      </c>
      <c r="F4333" s="6" t="str">
        <f>IFERROR(__xludf.DUMMYFUNCTION("GOOGLETRANSLATE(D4333,""en"",""it"")"),"A lui piace la saggezza più della gioia.")</f>
        <v>A lui piace la saggezza più della gioia.</v>
      </c>
      <c r="G4333" s="6" t="str">
        <f>IFERROR(__xludf.DUMMYFUNCTION("GOOGLETRANSLATE(E4333,""fr"",""it"")"),"Posso capire la saggezza più della gioia.")</f>
        <v>Posso capire la saggezza più della gioia.</v>
      </c>
    </row>
    <row r="4334">
      <c r="A4334" s="4">
        <v>4332.0</v>
      </c>
      <c r="B4334" s="5" t="s">
        <v>13003</v>
      </c>
      <c r="C4334" s="4">
        <v>0.0</v>
      </c>
      <c r="D4334" s="5" t="s">
        <v>13004</v>
      </c>
      <c r="E4334" s="5" t="s">
        <v>13005</v>
      </c>
      <c r="F4334" s="6" t="str">
        <f>IFERROR(__xludf.DUMMYFUNCTION("GOOGLETRANSLATE(D4334,""en"",""it"")"),"A lui piace la gioia più delle emozioni.")</f>
        <v>A lui piace la gioia più delle emozioni.</v>
      </c>
      <c r="G4334" s="6" t="str">
        <f>IFERROR(__xludf.DUMMYFUNCTION("GOOGLETRANSLATE(E4334,""fr"",""it"")"),"Posso capire la gioia più delle emozioni.")</f>
        <v>Posso capire la gioia più delle emozioni.</v>
      </c>
    </row>
    <row r="4335">
      <c r="A4335" s="4">
        <v>4333.0</v>
      </c>
      <c r="B4335" s="5" t="s">
        <v>13006</v>
      </c>
      <c r="C4335" s="4">
        <v>0.0</v>
      </c>
      <c r="D4335" s="5" t="s">
        <v>13007</v>
      </c>
      <c r="E4335" s="5" t="s">
        <v>13008</v>
      </c>
      <c r="F4335" s="6" t="str">
        <f>IFERROR(__xludf.DUMMYFUNCTION("GOOGLETRANSLATE(D4335,""en"",""it"")"),"Gli piace le emozioni più della gioia.")</f>
        <v>Gli piace le emozioni più della gioia.</v>
      </c>
      <c r="G4335" s="6" t="str">
        <f>IFERROR(__xludf.DUMMYFUNCTION("GOOGLETRANSLATE(E4335,""fr"",""it"")"),"Posso capire le emozioni più della gioia.")</f>
        <v>Posso capire le emozioni più della gioia.</v>
      </c>
    </row>
    <row r="4336">
      <c r="A4336" s="4">
        <v>4334.0</v>
      </c>
      <c r="B4336" s="5" t="s">
        <v>13009</v>
      </c>
      <c r="C4336" s="4">
        <v>1.0</v>
      </c>
      <c r="D4336" s="5" t="s">
        <v>13010</v>
      </c>
      <c r="E4336" s="5" t="s">
        <v>13011</v>
      </c>
      <c r="F4336" s="6" t="str">
        <f>IFERROR(__xludf.DUMMYFUNCTION("GOOGLETRANSLATE(D4336,""en"",""it"")"),"Gli piace le emozioni più della saggezza.")</f>
        <v>Gli piace le emozioni più della saggezza.</v>
      </c>
      <c r="G4336" s="6" t="str">
        <f>IFERROR(__xludf.DUMMYFUNCTION("GOOGLETRANSLATE(E4336,""fr"",""it"")"),"Posso capire le emozioni più della saggezza.")</f>
        <v>Posso capire le emozioni più della saggezza.</v>
      </c>
    </row>
    <row r="4337">
      <c r="A4337" s="4">
        <v>4335.0</v>
      </c>
      <c r="B4337" s="5" t="s">
        <v>13012</v>
      </c>
      <c r="C4337" s="4">
        <v>1.0</v>
      </c>
      <c r="D4337" s="5" t="s">
        <v>13013</v>
      </c>
      <c r="E4337" s="5" t="s">
        <v>13014</v>
      </c>
      <c r="F4337" s="6" t="str">
        <f>IFERROR(__xludf.DUMMYFUNCTION("GOOGLETRANSLATE(D4337,""en"",""it"")"),"A lui piace la gioia più della stupidità.")</f>
        <v>A lui piace la gioia più della stupidità.</v>
      </c>
      <c r="G4337" s="6" t="str">
        <f>IFERROR(__xludf.DUMMYFUNCTION("GOOGLETRANSLATE(E4337,""fr"",""it"")"),"Posso capire la gioia più della stupidità.")</f>
        <v>Posso capire la gioia più della stupidità.</v>
      </c>
    </row>
    <row r="4338">
      <c r="A4338" s="4">
        <v>4336.0</v>
      </c>
      <c r="B4338" s="5" t="s">
        <v>13015</v>
      </c>
      <c r="C4338" s="4">
        <v>1.0</v>
      </c>
      <c r="D4338" s="5" t="s">
        <v>13016</v>
      </c>
      <c r="E4338" s="5" t="s">
        <v>13017</v>
      </c>
      <c r="F4338" s="6" t="str">
        <f>IFERROR(__xludf.DUMMYFUNCTION("GOOGLETRANSLATE(D4338,""en"",""it"")"),"A lui piace la stupidità più della gioia.")</f>
        <v>A lui piace la stupidità più della gioia.</v>
      </c>
      <c r="G4338" s="6" t="str">
        <f>IFERROR(__xludf.DUMMYFUNCTION("GOOGLETRANSLATE(E4338,""fr"",""it"")"),"Posso capire la stupidità più della gioia.")</f>
        <v>Posso capire la stupidità più della gioia.</v>
      </c>
    </row>
    <row r="4339">
      <c r="A4339" s="4">
        <v>4337.0</v>
      </c>
      <c r="B4339" s="5" t="s">
        <v>13018</v>
      </c>
      <c r="C4339" s="4">
        <v>0.0</v>
      </c>
      <c r="D4339" s="5" t="s">
        <v>13019</v>
      </c>
      <c r="E4339" s="5" t="s">
        <v>13020</v>
      </c>
      <c r="F4339" s="6" t="str">
        <f>IFERROR(__xludf.DUMMYFUNCTION("GOOGLETRANSLATE(D4339,""en"",""it"")"),"Mi piacciono i criceti, tranne le balene.")</f>
        <v>Mi piacciono i criceti, tranne le balene.</v>
      </c>
      <c r="G4339" s="6" t="str">
        <f>IFERROR(__xludf.DUMMYFUNCTION("GOOGLETRANSLATE(E4339,""fr"",""it"")"),"Mi piacciono i criceti, tranne le balene.")</f>
        <v>Mi piacciono i criceti, tranne le balene.</v>
      </c>
    </row>
    <row r="4340">
      <c r="A4340" s="4">
        <v>4338.0</v>
      </c>
      <c r="B4340" s="5" t="s">
        <v>13021</v>
      </c>
      <c r="C4340" s="4">
        <v>1.0</v>
      </c>
      <c r="D4340" s="5" t="s">
        <v>13022</v>
      </c>
      <c r="E4340" s="5" t="s">
        <v>13023</v>
      </c>
      <c r="F4340" s="6" t="str">
        <f>IFERROR(__xludf.DUMMYFUNCTION("GOOGLETRANSLATE(D4340,""en"",""it"")"),"Gli piace le emozioni più della stupidità.")</f>
        <v>Gli piace le emozioni più della stupidità.</v>
      </c>
      <c r="G4340" s="6" t="str">
        <f>IFERROR(__xludf.DUMMYFUNCTION("GOOGLETRANSLATE(E4340,""fr"",""it"")"),"Posso capire le emozioni più della stupidità.")</f>
        <v>Posso capire le emozioni più della stupidità.</v>
      </c>
    </row>
    <row r="4341">
      <c r="A4341" s="4">
        <v>4339.0</v>
      </c>
      <c r="B4341" s="5" t="s">
        <v>13024</v>
      </c>
      <c r="C4341" s="4">
        <v>1.0</v>
      </c>
      <c r="D4341" s="5" t="s">
        <v>13025</v>
      </c>
      <c r="E4341" s="5" t="s">
        <v>13026</v>
      </c>
      <c r="F4341" s="6" t="str">
        <f>IFERROR(__xludf.DUMMYFUNCTION("GOOGLETRANSLATE(D4341,""en"",""it"")"),"A lui piace la gioia più della logica.")</f>
        <v>A lui piace la gioia più della logica.</v>
      </c>
      <c r="G4341" s="6" t="str">
        <f>IFERROR(__xludf.DUMMYFUNCTION("GOOGLETRANSLATE(E4341,""fr"",""it"")"),"Posso capire la gioia più della logica.")</f>
        <v>Posso capire la gioia più della logica.</v>
      </c>
    </row>
    <row r="4342">
      <c r="A4342" s="4">
        <v>4340.0</v>
      </c>
      <c r="B4342" s="5" t="s">
        <v>13027</v>
      </c>
      <c r="C4342" s="4">
        <v>1.0</v>
      </c>
      <c r="D4342" s="5" t="s">
        <v>13028</v>
      </c>
      <c r="E4342" s="5" t="s">
        <v>13029</v>
      </c>
      <c r="F4342" s="6" t="str">
        <f>IFERROR(__xludf.DUMMYFUNCTION("GOOGLETRANSLATE(D4342,""en"",""it"")"),"A lui piace la logica più della gioia.")</f>
        <v>A lui piace la logica più della gioia.</v>
      </c>
      <c r="G4342" s="6" t="str">
        <f>IFERROR(__xludf.DUMMYFUNCTION("GOOGLETRANSLATE(E4342,""fr"",""it"")"),"Posso capire la logica più della gioia.")</f>
        <v>Posso capire la logica più della gioia.</v>
      </c>
    </row>
    <row r="4343">
      <c r="A4343" s="4">
        <v>4341.0</v>
      </c>
      <c r="B4343" s="5" t="s">
        <v>13030</v>
      </c>
      <c r="C4343" s="4">
        <v>1.0</v>
      </c>
      <c r="D4343" s="5" t="s">
        <v>13031</v>
      </c>
      <c r="E4343" s="5" t="s">
        <v>13032</v>
      </c>
      <c r="F4343" s="6" t="str">
        <f>IFERROR(__xludf.DUMMYFUNCTION("GOOGLETRANSLATE(D4343,""en"",""it"")"),"Gli piace le emozioni più della logica.")</f>
        <v>Gli piace le emozioni più della logica.</v>
      </c>
      <c r="G4343" s="6" t="str">
        <f>IFERROR(__xludf.DUMMYFUNCTION("GOOGLETRANSLATE(E4343,""fr"",""it"")"),"Posso capire le emozioni più della logica.")</f>
        <v>Posso capire le emozioni più della logica.</v>
      </c>
    </row>
    <row r="4344">
      <c r="A4344" s="4">
        <v>4342.0</v>
      </c>
      <c r="B4344" s="5" t="s">
        <v>13033</v>
      </c>
      <c r="C4344" s="4">
        <v>1.0</v>
      </c>
      <c r="D4344" s="5" t="s">
        <v>13034</v>
      </c>
      <c r="E4344" s="5" t="s">
        <v>13035</v>
      </c>
      <c r="F4344" s="6" t="str">
        <f>IFERROR(__xludf.DUMMYFUNCTION("GOOGLETRANSLATE(D4344,""en"",""it"")"),"A lui piace la gioia più dei calcoli.")</f>
        <v>A lui piace la gioia più dei calcoli.</v>
      </c>
      <c r="G4344" s="6" t="str">
        <f>IFERROR(__xludf.DUMMYFUNCTION("GOOGLETRANSLATE(E4344,""fr"",""it"")"),"Posso capire la gioia più dei calcoli.")</f>
        <v>Posso capire la gioia più dei calcoli.</v>
      </c>
    </row>
    <row r="4345">
      <c r="A4345" s="4">
        <v>4343.0</v>
      </c>
      <c r="B4345" s="5" t="s">
        <v>13036</v>
      </c>
      <c r="C4345" s="4">
        <v>1.0</v>
      </c>
      <c r="D4345" s="5" t="s">
        <v>13037</v>
      </c>
      <c r="E4345" s="5" t="s">
        <v>13038</v>
      </c>
      <c r="F4345" s="6" t="str">
        <f>IFERROR(__xludf.DUMMYFUNCTION("GOOGLETRANSLATE(D4345,""en"",""it"")"),"Gli piacciono i calcoli più della gioia.")</f>
        <v>Gli piacciono i calcoli più della gioia.</v>
      </c>
      <c r="G4345" s="6" t="str">
        <f>IFERROR(__xludf.DUMMYFUNCTION("GOOGLETRANSLATE(E4345,""fr"",""it"")"),"Posso capire i calcoli più della gioia.")</f>
        <v>Posso capire i calcoli più della gioia.</v>
      </c>
    </row>
    <row r="4346">
      <c r="A4346" s="4">
        <v>4344.0</v>
      </c>
      <c r="B4346" s="5" t="s">
        <v>13039</v>
      </c>
      <c r="C4346" s="4">
        <v>0.0</v>
      </c>
      <c r="D4346" s="5" t="s">
        <v>13040</v>
      </c>
      <c r="E4346" s="5" t="s">
        <v>13041</v>
      </c>
      <c r="F4346" s="6" t="str">
        <f>IFERROR(__xludf.DUMMYFUNCTION("GOOGLETRANSLATE(D4346,""en"",""it"")"),"Mi piacciono le balene, tranne i criceti.")</f>
        <v>Mi piacciono le balene, tranne i criceti.</v>
      </c>
      <c r="G4346" s="6" t="str">
        <f>IFERROR(__xludf.DUMMYFUNCTION("GOOGLETRANSLATE(E4346,""fr"",""it"")"),"Amo le balene tranne i criceti.")</f>
        <v>Amo le balene tranne i criceti.</v>
      </c>
    </row>
    <row r="4347">
      <c r="A4347" s="4">
        <v>4345.0</v>
      </c>
      <c r="B4347" s="5" t="s">
        <v>13042</v>
      </c>
      <c r="C4347" s="4">
        <v>1.0</v>
      </c>
      <c r="D4347" s="5" t="s">
        <v>13043</v>
      </c>
      <c r="E4347" s="5" t="s">
        <v>13044</v>
      </c>
      <c r="F4347" s="6" t="str">
        <f>IFERROR(__xludf.DUMMYFUNCTION("GOOGLETRANSLATE(D4347,""en"",""it"")"),"A lui piace le emozioni più dei calcoli.")</f>
        <v>A lui piace le emozioni più dei calcoli.</v>
      </c>
      <c r="G4347" s="6" t="str">
        <f>IFERROR(__xludf.DUMMYFUNCTION("GOOGLETRANSLATE(E4347,""fr"",""it"")"),"Posso capire le emozioni più dei calcoli.")</f>
        <v>Posso capire le emozioni più dei calcoli.</v>
      </c>
    </row>
    <row r="4348">
      <c r="A4348" s="4">
        <v>4346.0</v>
      </c>
      <c r="B4348" s="5" t="s">
        <v>13045</v>
      </c>
      <c r="C4348" s="4">
        <v>1.0</v>
      </c>
      <c r="D4348" s="5" t="s">
        <v>13046</v>
      </c>
      <c r="E4348" s="5" t="s">
        <v>13047</v>
      </c>
      <c r="F4348" s="6" t="str">
        <f>IFERROR(__xludf.DUMMYFUNCTION("GOOGLETRANSLATE(D4348,""en"",""it"")"),"Gli piace temere più della saggezza.")</f>
        <v>Gli piace temere più della saggezza.</v>
      </c>
      <c r="G4348" s="6" t="str">
        <f>IFERROR(__xludf.DUMMYFUNCTION("GOOGLETRANSLATE(E4348,""fr"",""it"")"),"Posso capire la paura più della saggezza.")</f>
        <v>Posso capire la paura più della saggezza.</v>
      </c>
    </row>
    <row r="4349">
      <c r="A4349" s="4">
        <v>4347.0</v>
      </c>
      <c r="B4349" s="5" t="s">
        <v>13048</v>
      </c>
      <c r="C4349" s="4">
        <v>1.0</v>
      </c>
      <c r="D4349" s="5" t="s">
        <v>13049</v>
      </c>
      <c r="E4349" s="5" t="s">
        <v>13050</v>
      </c>
      <c r="F4349" s="6" t="str">
        <f>IFERROR(__xludf.DUMMYFUNCTION("GOOGLETRANSLATE(D4349,""en"",""it"")"),"A lui piace la saggezza più della paura.")</f>
        <v>A lui piace la saggezza più della paura.</v>
      </c>
      <c r="G4349" s="6" t="str">
        <f>IFERROR(__xludf.DUMMYFUNCTION("GOOGLETRANSLATE(E4349,""fr"",""it"")"),"Posso capire la saggezza più della paura.")</f>
        <v>Posso capire la saggezza più della paura.</v>
      </c>
    </row>
    <row r="4350">
      <c r="A4350" s="4">
        <v>4348.0</v>
      </c>
      <c r="B4350" s="5" t="s">
        <v>13051</v>
      </c>
      <c r="C4350" s="4">
        <v>0.0</v>
      </c>
      <c r="D4350" s="5" t="s">
        <v>13052</v>
      </c>
      <c r="E4350" s="5" t="s">
        <v>13053</v>
      </c>
      <c r="F4350" s="6" t="str">
        <f>IFERROR(__xludf.DUMMYFUNCTION("GOOGLETRANSLATE(D4350,""en"",""it"")"),"Gli piace temere più delle emozioni.")</f>
        <v>Gli piace temere più delle emozioni.</v>
      </c>
      <c r="G4350" s="6" t="str">
        <f>IFERROR(__xludf.DUMMYFUNCTION("GOOGLETRANSLATE(E4350,""fr"",""it"")"),"Posso capire la paura più delle emozioni.")</f>
        <v>Posso capire la paura più delle emozioni.</v>
      </c>
    </row>
    <row r="4351">
      <c r="A4351" s="4">
        <v>4349.0</v>
      </c>
      <c r="B4351" s="5" t="s">
        <v>13054</v>
      </c>
      <c r="C4351" s="4">
        <v>0.0</v>
      </c>
      <c r="D4351" s="5" t="s">
        <v>13055</v>
      </c>
      <c r="E4351" s="5" t="s">
        <v>13056</v>
      </c>
      <c r="F4351" s="6" t="str">
        <f>IFERROR(__xludf.DUMMYFUNCTION("GOOGLETRANSLATE(D4351,""en"",""it"")"),"A lui piace le emozioni più della paura.")</f>
        <v>A lui piace le emozioni più della paura.</v>
      </c>
      <c r="G4351" s="6" t="str">
        <f>IFERROR(__xludf.DUMMYFUNCTION("GOOGLETRANSLATE(E4351,""fr"",""it"")"),"Posso capire le emozioni più della paura.")</f>
        <v>Posso capire le emozioni più della paura.</v>
      </c>
    </row>
    <row r="4352">
      <c r="A4352" s="4">
        <v>4350.0</v>
      </c>
      <c r="B4352" s="5" t="s">
        <v>13057</v>
      </c>
      <c r="C4352" s="4">
        <v>1.0</v>
      </c>
      <c r="D4352" s="5" t="s">
        <v>13058</v>
      </c>
      <c r="E4352" s="5" t="s">
        <v>13059</v>
      </c>
      <c r="F4352" s="6" t="str">
        <f>IFERROR(__xludf.DUMMYFUNCTION("GOOGLETRANSLATE(D4352,""en"",""it"")"),"Gli piace temere più della stupidità.")</f>
        <v>Gli piace temere più della stupidità.</v>
      </c>
      <c r="G4352" s="6" t="str">
        <f>IFERROR(__xludf.DUMMYFUNCTION("GOOGLETRANSLATE(E4352,""fr"",""it"")"),"Posso capire la paura più della stupidità.")</f>
        <v>Posso capire la paura più della stupidità.</v>
      </c>
    </row>
    <row r="4353">
      <c r="A4353" s="4">
        <v>4351.0</v>
      </c>
      <c r="B4353" s="5" t="s">
        <v>13060</v>
      </c>
      <c r="C4353" s="4">
        <v>1.0</v>
      </c>
      <c r="D4353" s="5" t="s">
        <v>13061</v>
      </c>
      <c r="E4353" s="5" t="s">
        <v>13062</v>
      </c>
      <c r="F4353" s="6" t="str">
        <f>IFERROR(__xludf.DUMMYFUNCTION("GOOGLETRANSLATE(D4353,""en"",""it"")"),"A lui piace la stupidità più della paura.")</f>
        <v>A lui piace la stupidità più della paura.</v>
      </c>
      <c r="G4353" s="6" t="str">
        <f>IFERROR(__xludf.DUMMYFUNCTION("GOOGLETRANSLATE(E4353,""fr"",""it"")"),"Posso capire la stupidità più della paura.")</f>
        <v>Posso capire la stupidità più della paura.</v>
      </c>
    </row>
    <row r="4354">
      <c r="A4354" s="4">
        <v>4352.0</v>
      </c>
      <c r="B4354" s="5" t="s">
        <v>13063</v>
      </c>
      <c r="C4354" s="4">
        <v>1.0</v>
      </c>
      <c r="D4354" s="5" t="s">
        <v>13064</v>
      </c>
      <c r="E4354" s="5" t="s">
        <v>13065</v>
      </c>
      <c r="F4354" s="6" t="str">
        <f>IFERROR(__xludf.DUMMYFUNCTION("GOOGLETRANSLATE(D4354,""en"",""it"")"),"Gli piace temere più della logica.")</f>
        <v>Gli piace temere più della logica.</v>
      </c>
      <c r="G4354" s="6" t="str">
        <f>IFERROR(__xludf.DUMMYFUNCTION("GOOGLETRANSLATE(E4354,""fr"",""it"")"),"Posso capire la paura più della logica.")</f>
        <v>Posso capire la paura più della logica.</v>
      </c>
    </row>
    <row r="4355">
      <c r="A4355" s="4">
        <v>4353.0</v>
      </c>
      <c r="B4355" s="5" t="s">
        <v>13066</v>
      </c>
      <c r="C4355" s="4">
        <v>1.0</v>
      </c>
      <c r="D4355" s="5" t="s">
        <v>13067</v>
      </c>
      <c r="E4355" s="5" t="s">
        <v>13068</v>
      </c>
      <c r="F4355" s="6" t="str">
        <f>IFERROR(__xludf.DUMMYFUNCTION("GOOGLETRANSLATE(D4355,""en"",""it"")"),"A lui piace la logica più della paura.")</f>
        <v>A lui piace la logica più della paura.</v>
      </c>
      <c r="G4355" s="6" t="str">
        <f>IFERROR(__xludf.DUMMYFUNCTION("GOOGLETRANSLATE(E4355,""fr"",""it"")"),"Posso capire la logica più della paura.")</f>
        <v>Posso capire la logica più della paura.</v>
      </c>
    </row>
    <row r="4356">
      <c r="A4356" s="4">
        <v>4354.0</v>
      </c>
      <c r="B4356" s="5" t="s">
        <v>13069</v>
      </c>
      <c r="C4356" s="4">
        <v>1.0</v>
      </c>
      <c r="D4356" s="5" t="s">
        <v>13070</v>
      </c>
      <c r="E4356" s="5" t="s">
        <v>13071</v>
      </c>
      <c r="F4356" s="6" t="str">
        <f>IFERROR(__xludf.DUMMYFUNCTION("GOOGLETRANSLATE(D4356,""en"",""it"")"),"Gli piace temere più dei calcoli.")</f>
        <v>Gli piace temere più dei calcoli.</v>
      </c>
      <c r="G4356" s="6" t="str">
        <f>IFERROR(__xludf.DUMMYFUNCTION("GOOGLETRANSLATE(E4356,""fr"",""it"")"),"Posso capire la paura più dei calcoli.")</f>
        <v>Posso capire la paura più dei calcoli.</v>
      </c>
    </row>
    <row r="4357">
      <c r="A4357" s="4">
        <v>4355.0</v>
      </c>
      <c r="B4357" s="5" t="s">
        <v>13072</v>
      </c>
      <c r="C4357" s="4">
        <v>1.0</v>
      </c>
      <c r="D4357" s="5" t="s">
        <v>13073</v>
      </c>
      <c r="E4357" s="5" t="s">
        <v>13074</v>
      </c>
      <c r="F4357" s="6" t="str">
        <f>IFERROR(__xludf.DUMMYFUNCTION("GOOGLETRANSLATE(D4357,""en"",""it"")"),"Gli piacciono i calcoli più della paura.")</f>
        <v>Gli piacciono i calcoli più della paura.</v>
      </c>
      <c r="G4357" s="6" t="str">
        <f>IFERROR(__xludf.DUMMYFUNCTION("GOOGLETRANSLATE(E4357,""fr"",""it"")"),"Posso capire i calcoli più della paura.")</f>
        <v>Posso capire i calcoli più della paura.</v>
      </c>
    </row>
    <row r="4358">
      <c r="A4358" s="4">
        <v>4356.0</v>
      </c>
      <c r="B4358" s="5" t="s">
        <v>13075</v>
      </c>
      <c r="C4358" s="4">
        <v>1.0</v>
      </c>
      <c r="D4358" s="5" t="s">
        <v>13076</v>
      </c>
      <c r="E4358" s="5" t="s">
        <v>13077</v>
      </c>
      <c r="F4358" s="6" t="str">
        <f>IFERROR(__xludf.DUMMYFUNCTION("GOOGLETRANSLATE(D4358,""en"",""it"")"),"Gli piace l'amore più della saggezza.")</f>
        <v>Gli piace l'amore più della saggezza.</v>
      </c>
      <c r="G4358" s="6" t="str">
        <f>IFERROR(__xludf.DUMMYFUNCTION("GOOGLETRANSLATE(E4358,""fr"",""it"")"),"Posso capire l'amore più della saggezza.")</f>
        <v>Posso capire l'amore più della saggezza.</v>
      </c>
    </row>
    <row r="4359">
      <c r="A4359" s="4">
        <v>4357.0</v>
      </c>
      <c r="B4359" s="5" t="s">
        <v>13078</v>
      </c>
      <c r="C4359" s="4">
        <v>1.0</v>
      </c>
      <c r="D4359" s="5" t="s">
        <v>13079</v>
      </c>
      <c r="E4359" s="5" t="s">
        <v>13080</v>
      </c>
      <c r="F4359" s="6" t="str">
        <f>IFERROR(__xludf.DUMMYFUNCTION("GOOGLETRANSLATE(D4359,""en"",""it"")"),"A lui piace la saggezza più che l'amore.")</f>
        <v>A lui piace la saggezza più che l'amore.</v>
      </c>
      <c r="G4359" s="6" t="str">
        <f>IFERROR(__xludf.DUMMYFUNCTION("GOOGLETRANSLATE(E4359,""fr"",""it"")"),"Posso capire la saggezza più che l'amore.")</f>
        <v>Posso capire la saggezza più che l'amore.</v>
      </c>
    </row>
    <row r="4360">
      <c r="A4360" s="4">
        <v>4358.0</v>
      </c>
      <c r="B4360" s="5" t="s">
        <v>13081</v>
      </c>
      <c r="C4360" s="4">
        <v>0.0</v>
      </c>
      <c r="D4360" s="5" t="s">
        <v>13082</v>
      </c>
      <c r="E4360" s="5" t="s">
        <v>13083</v>
      </c>
      <c r="F4360" s="6" t="str">
        <f>IFERROR(__xludf.DUMMYFUNCTION("GOOGLETRANSLATE(D4360,""en"",""it"")"),"Gli piace amare più delle emozioni.")</f>
        <v>Gli piace amare più delle emozioni.</v>
      </c>
      <c r="G4360" s="6" t="str">
        <f>IFERROR(__xludf.DUMMYFUNCTION("GOOGLETRANSLATE(E4360,""fr"",""it"")"),"Posso capire l'amore più delle emozioni.")</f>
        <v>Posso capire l'amore più delle emozioni.</v>
      </c>
    </row>
    <row r="4361">
      <c r="A4361" s="4">
        <v>4359.0</v>
      </c>
      <c r="B4361" s="5" t="s">
        <v>13084</v>
      </c>
      <c r="C4361" s="4">
        <v>0.0</v>
      </c>
      <c r="D4361" s="5" t="s">
        <v>13085</v>
      </c>
      <c r="E4361" s="5" t="s">
        <v>13086</v>
      </c>
      <c r="F4361" s="6" t="str">
        <f>IFERROR(__xludf.DUMMYFUNCTION("GOOGLETRANSLATE(D4361,""en"",""it"")"),"Gli piace le emozioni più dell'amore.")</f>
        <v>Gli piace le emozioni più dell'amore.</v>
      </c>
      <c r="G4361" s="6" t="str">
        <f>IFERROR(__xludf.DUMMYFUNCTION("GOOGLETRANSLATE(E4361,""fr"",""it"")"),"Posso capire le emozioni più che l'amore.")</f>
        <v>Posso capire le emozioni più che l'amore.</v>
      </c>
    </row>
    <row r="4362">
      <c r="A4362" s="4">
        <v>4360.0</v>
      </c>
      <c r="B4362" s="5" t="s">
        <v>13087</v>
      </c>
      <c r="C4362" s="4">
        <v>1.0</v>
      </c>
      <c r="D4362" s="5" t="s">
        <v>13088</v>
      </c>
      <c r="E4362" s="5" t="s">
        <v>13089</v>
      </c>
      <c r="F4362" s="6" t="str">
        <f>IFERROR(__xludf.DUMMYFUNCTION("GOOGLETRANSLATE(D4362,""en"",""it"")"),"Gli piace l'amore più della stupidità.")</f>
        <v>Gli piace l'amore più della stupidità.</v>
      </c>
      <c r="G4362" s="6" t="str">
        <f>IFERROR(__xludf.DUMMYFUNCTION("GOOGLETRANSLATE(E4362,""fr"",""it"")"),"Posso capire l'amore più della stupidità.")</f>
        <v>Posso capire l'amore più della stupidità.</v>
      </c>
    </row>
    <row r="4363">
      <c r="A4363" s="4">
        <v>4361.0</v>
      </c>
      <c r="B4363" s="5" t="s">
        <v>13090</v>
      </c>
      <c r="C4363" s="4">
        <v>1.0</v>
      </c>
      <c r="D4363" s="5" t="s">
        <v>13091</v>
      </c>
      <c r="E4363" s="5" t="s">
        <v>13092</v>
      </c>
      <c r="F4363" s="6" t="str">
        <f>IFERROR(__xludf.DUMMYFUNCTION("GOOGLETRANSLATE(D4363,""en"",""it"")"),"A lui piace la stupidità più dell'amore.")</f>
        <v>A lui piace la stupidità più dell'amore.</v>
      </c>
      <c r="G4363" s="6" t="str">
        <f>IFERROR(__xludf.DUMMYFUNCTION("GOOGLETRANSLATE(E4363,""fr"",""it"")"),"Posso capire la stupidità più che l'amore.")</f>
        <v>Posso capire la stupidità più che l'amore.</v>
      </c>
    </row>
    <row r="4364">
      <c r="A4364" s="4">
        <v>4362.0</v>
      </c>
      <c r="B4364" s="5" t="s">
        <v>13093</v>
      </c>
      <c r="C4364" s="4">
        <v>1.0</v>
      </c>
      <c r="D4364" s="5" t="s">
        <v>13094</v>
      </c>
      <c r="E4364" s="5" t="s">
        <v>13095</v>
      </c>
      <c r="F4364" s="6" t="str">
        <f>IFERROR(__xludf.DUMMYFUNCTION("GOOGLETRANSLATE(D4364,""en"",""it"")"),"Gli piace l'amore più della logica.")</f>
        <v>Gli piace l'amore più della logica.</v>
      </c>
      <c r="G4364" s="6" t="str">
        <f>IFERROR(__xludf.DUMMYFUNCTION("GOOGLETRANSLATE(E4364,""fr"",""it"")"),"Posso capire l'amore più della logica.")</f>
        <v>Posso capire l'amore più della logica.</v>
      </c>
    </row>
    <row r="4365">
      <c r="A4365" s="4">
        <v>4363.0</v>
      </c>
      <c r="B4365" s="5" t="s">
        <v>13096</v>
      </c>
      <c r="C4365" s="4">
        <v>1.0</v>
      </c>
      <c r="D4365" s="5" t="s">
        <v>13097</v>
      </c>
      <c r="E4365" s="5" t="s">
        <v>13098</v>
      </c>
      <c r="F4365" s="6" t="str">
        <f>IFERROR(__xludf.DUMMYFUNCTION("GOOGLETRANSLATE(D4365,""en"",""it"")"),"A lui piace la logica più che l'amore.")</f>
        <v>A lui piace la logica più che l'amore.</v>
      </c>
      <c r="G4365" s="6" t="str">
        <f>IFERROR(__xludf.DUMMYFUNCTION("GOOGLETRANSLATE(E4365,""fr"",""it"")"),"Posso capire la logica più che l'amore.")</f>
        <v>Posso capire la logica più che l'amore.</v>
      </c>
    </row>
    <row r="4366">
      <c r="A4366" s="4">
        <v>4364.0</v>
      </c>
      <c r="B4366" s="5" t="s">
        <v>13099</v>
      </c>
      <c r="C4366" s="4">
        <v>1.0</v>
      </c>
      <c r="D4366" s="5" t="s">
        <v>13100</v>
      </c>
      <c r="E4366" s="5" t="s">
        <v>13101</v>
      </c>
      <c r="F4366" s="6" t="str">
        <f>IFERROR(__xludf.DUMMYFUNCTION("GOOGLETRANSLATE(D4366,""en"",""it"")"),"Gli piace l'amore più dei calcoli.")</f>
        <v>Gli piace l'amore più dei calcoli.</v>
      </c>
      <c r="G4366" s="6" t="str">
        <f>IFERROR(__xludf.DUMMYFUNCTION("GOOGLETRANSLATE(E4366,""fr"",""it"")"),"Posso capire l'amore più dei calcoli.")</f>
        <v>Posso capire l'amore più dei calcoli.</v>
      </c>
    </row>
    <row r="4367">
      <c r="A4367" s="4">
        <v>4365.0</v>
      </c>
      <c r="B4367" s="5" t="s">
        <v>13102</v>
      </c>
      <c r="C4367" s="4">
        <v>1.0</v>
      </c>
      <c r="D4367" s="5" t="s">
        <v>13103</v>
      </c>
      <c r="E4367" s="5" t="s">
        <v>13104</v>
      </c>
      <c r="F4367" s="6" t="str">
        <f>IFERROR(__xludf.DUMMYFUNCTION("GOOGLETRANSLATE(D4367,""en"",""it"")"),"Gli piacciono i calcoli più che l'amore.")</f>
        <v>Gli piacciono i calcoli più che l'amore.</v>
      </c>
      <c r="G4367" s="6" t="str">
        <f>IFERROR(__xludf.DUMMYFUNCTION("GOOGLETRANSLATE(E4367,""fr"",""it"")"),"Posso capire i calcoli più che l'amore.")</f>
        <v>Posso capire i calcoli più che l'amore.</v>
      </c>
    </row>
    <row r="4368">
      <c r="A4368" s="4">
        <v>4366.0</v>
      </c>
      <c r="B4368" s="5" t="s">
        <v>13105</v>
      </c>
      <c r="C4368" s="4">
        <v>1.0</v>
      </c>
      <c r="D4368" s="5" t="s">
        <v>13106</v>
      </c>
      <c r="E4368" s="5" t="s">
        <v>13107</v>
      </c>
      <c r="F4368" s="6" t="str">
        <f>IFERROR(__xludf.DUMMYFUNCTION("GOOGLETRANSLATE(D4368,""en"",""it"")"),"A lui piace la tristezza più della saggezza.")</f>
        <v>A lui piace la tristezza più della saggezza.</v>
      </c>
      <c r="G4368" s="6" t="str">
        <f>IFERROR(__xludf.DUMMYFUNCTION("GOOGLETRANSLATE(E4368,""fr"",""it"")"),"Posso capire la tristezza più della saggezza.")</f>
        <v>Posso capire la tristezza più della saggezza.</v>
      </c>
    </row>
    <row r="4369">
      <c r="A4369" s="4">
        <v>4367.0</v>
      </c>
      <c r="B4369" s="5" t="s">
        <v>13108</v>
      </c>
      <c r="C4369" s="4">
        <v>1.0</v>
      </c>
      <c r="D4369" s="5" t="s">
        <v>13109</v>
      </c>
      <c r="E4369" s="5" t="s">
        <v>13110</v>
      </c>
      <c r="F4369" s="6" t="str">
        <f>IFERROR(__xludf.DUMMYFUNCTION("GOOGLETRANSLATE(D4369,""en"",""it"")"),"A lui piace la saggezza più della tristezza.")</f>
        <v>A lui piace la saggezza più della tristezza.</v>
      </c>
      <c r="G4369" s="6" t="str">
        <f>IFERROR(__xludf.DUMMYFUNCTION("GOOGLETRANSLATE(E4369,""fr"",""it"")"),"Posso capire la saggezza più della tristezza.")</f>
        <v>Posso capire la saggezza più della tristezza.</v>
      </c>
    </row>
    <row r="4370">
      <c r="A4370" s="4">
        <v>4368.0</v>
      </c>
      <c r="B4370" s="5" t="s">
        <v>13111</v>
      </c>
      <c r="C4370" s="4">
        <v>0.0</v>
      </c>
      <c r="D4370" s="5" t="s">
        <v>13112</v>
      </c>
      <c r="E4370" s="5" t="s">
        <v>13113</v>
      </c>
      <c r="F4370" s="6" t="str">
        <f>IFERROR(__xludf.DUMMYFUNCTION("GOOGLETRANSLATE(D4370,""en"",""it"")"),"A lui piace la tristezza più delle emozioni.")</f>
        <v>A lui piace la tristezza più delle emozioni.</v>
      </c>
      <c r="G4370" s="6" t="str">
        <f>IFERROR(__xludf.DUMMYFUNCTION("GOOGLETRANSLATE(E4370,""fr"",""it"")"),"Posso capire la tristezza più delle emozioni.")</f>
        <v>Posso capire la tristezza più delle emozioni.</v>
      </c>
    </row>
    <row r="4371">
      <c r="A4371" s="4">
        <v>4369.0</v>
      </c>
      <c r="B4371" s="5" t="s">
        <v>13114</v>
      </c>
      <c r="C4371" s="4">
        <v>0.0</v>
      </c>
      <c r="D4371" s="5" t="s">
        <v>13115</v>
      </c>
      <c r="E4371" s="5" t="s">
        <v>13116</v>
      </c>
      <c r="F4371" s="6" t="str">
        <f>IFERROR(__xludf.DUMMYFUNCTION("GOOGLETRANSLATE(D4371,""en"",""it"")"),"Gli piace le emozioni più della tristezza.")</f>
        <v>Gli piace le emozioni più della tristezza.</v>
      </c>
      <c r="G4371" s="6" t="str">
        <f>IFERROR(__xludf.DUMMYFUNCTION("GOOGLETRANSLATE(E4371,""fr"",""it"")"),"Posso capire le emozioni più della tristezza.")</f>
        <v>Posso capire le emozioni più della tristezza.</v>
      </c>
    </row>
    <row r="4372">
      <c r="A4372" s="4">
        <v>4370.0</v>
      </c>
      <c r="B4372" s="5" t="s">
        <v>13117</v>
      </c>
      <c r="C4372" s="4">
        <v>1.0</v>
      </c>
      <c r="D4372" s="5" t="s">
        <v>13118</v>
      </c>
      <c r="E4372" s="5" t="s">
        <v>13119</v>
      </c>
      <c r="F4372" s="6" t="str">
        <f>IFERROR(__xludf.DUMMYFUNCTION("GOOGLETRANSLATE(D4372,""en"",""it"")"),"A lui piace la tristezza più della stupidità.")</f>
        <v>A lui piace la tristezza più della stupidità.</v>
      </c>
      <c r="G4372" s="6" t="str">
        <f>IFERROR(__xludf.DUMMYFUNCTION("GOOGLETRANSLATE(E4372,""fr"",""it"")"),"Posso capire la tristezza più della stupidità.")</f>
        <v>Posso capire la tristezza più della stupidità.</v>
      </c>
    </row>
    <row r="4373">
      <c r="A4373" s="4">
        <v>4371.0</v>
      </c>
      <c r="B4373" s="5" t="s">
        <v>13120</v>
      </c>
      <c r="C4373" s="4">
        <v>1.0</v>
      </c>
      <c r="D4373" s="5" t="s">
        <v>13121</v>
      </c>
      <c r="E4373" s="5" t="s">
        <v>13122</v>
      </c>
      <c r="F4373" s="6" t="str">
        <f>IFERROR(__xludf.DUMMYFUNCTION("GOOGLETRANSLATE(D4373,""en"",""it"")"),"A lui piace la stupidità più della tristezza.")</f>
        <v>A lui piace la stupidità più della tristezza.</v>
      </c>
      <c r="G4373" s="6" t="str">
        <f>IFERROR(__xludf.DUMMYFUNCTION("GOOGLETRANSLATE(E4373,""fr"",""it"")"),"Posso capire la stupidità più della tristezza.")</f>
        <v>Posso capire la stupidità più della tristezza.</v>
      </c>
    </row>
    <row r="4374">
      <c r="A4374" s="4">
        <v>4372.0</v>
      </c>
      <c r="B4374" s="5" t="s">
        <v>13123</v>
      </c>
      <c r="C4374" s="4">
        <v>1.0</v>
      </c>
      <c r="D4374" s="5" t="s">
        <v>13124</v>
      </c>
      <c r="E4374" s="5" t="s">
        <v>13125</v>
      </c>
      <c r="F4374" s="6" t="str">
        <f>IFERROR(__xludf.DUMMYFUNCTION("GOOGLETRANSLATE(D4374,""en"",""it"")"),"A lui piace la tristezza più della logica.")</f>
        <v>A lui piace la tristezza più della logica.</v>
      </c>
      <c r="G4374" s="6" t="str">
        <f>IFERROR(__xludf.DUMMYFUNCTION("GOOGLETRANSLATE(E4374,""fr"",""it"")"),"Posso capire la tristezza più della logica.")</f>
        <v>Posso capire la tristezza più della logica.</v>
      </c>
    </row>
    <row r="4375">
      <c r="A4375" s="4">
        <v>4373.0</v>
      </c>
      <c r="B4375" s="5" t="s">
        <v>13126</v>
      </c>
      <c r="C4375" s="4">
        <v>1.0</v>
      </c>
      <c r="D4375" s="5" t="s">
        <v>13127</v>
      </c>
      <c r="E4375" s="5" t="s">
        <v>13128</v>
      </c>
      <c r="F4375" s="6" t="str">
        <f>IFERROR(__xludf.DUMMYFUNCTION("GOOGLETRANSLATE(D4375,""en"",""it"")"),"Gli piace la logica più della tristezza.")</f>
        <v>Gli piace la logica più della tristezza.</v>
      </c>
      <c r="G4375" s="6" t="str">
        <f>IFERROR(__xludf.DUMMYFUNCTION("GOOGLETRANSLATE(E4375,""fr"",""it"")"),"Posso capire la logica più della tristezza.")</f>
        <v>Posso capire la logica più della tristezza.</v>
      </c>
    </row>
    <row r="4376">
      <c r="A4376" s="4">
        <v>4374.0</v>
      </c>
      <c r="B4376" s="5" t="s">
        <v>13129</v>
      </c>
      <c r="C4376" s="4">
        <v>1.0</v>
      </c>
      <c r="D4376" s="5" t="s">
        <v>13130</v>
      </c>
      <c r="E4376" s="5" t="s">
        <v>13131</v>
      </c>
      <c r="F4376" s="6" t="str">
        <f>IFERROR(__xludf.DUMMYFUNCTION("GOOGLETRANSLATE(D4376,""en"",""it"")"),"A lui piace la tristezza più dei calcoli.")</f>
        <v>A lui piace la tristezza più dei calcoli.</v>
      </c>
      <c r="G4376" s="6" t="str">
        <f>IFERROR(__xludf.DUMMYFUNCTION("GOOGLETRANSLATE(E4376,""fr"",""it"")"),"Posso capire la tristezza più dei calcoli.")</f>
        <v>Posso capire la tristezza più dei calcoli.</v>
      </c>
    </row>
    <row r="4377">
      <c r="A4377" s="4">
        <v>4375.0</v>
      </c>
      <c r="B4377" s="5" t="s">
        <v>13132</v>
      </c>
      <c r="C4377" s="4">
        <v>1.0</v>
      </c>
      <c r="D4377" s="5" t="s">
        <v>13133</v>
      </c>
      <c r="E4377" s="5" t="s">
        <v>13134</v>
      </c>
      <c r="F4377" s="6" t="str">
        <f>IFERROR(__xludf.DUMMYFUNCTION("GOOGLETRANSLATE(D4377,""en"",""it"")"),"A lui piacciono i calcoli più della tristezza.")</f>
        <v>A lui piacciono i calcoli più della tristezza.</v>
      </c>
      <c r="G4377" s="6" t="str">
        <f>IFERROR(__xludf.DUMMYFUNCTION("GOOGLETRANSLATE(E4377,""fr"",""it"")"),"Posso capire i calcoli più della tristezza.")</f>
        <v>Posso capire i calcoli più della tristezza.</v>
      </c>
    </row>
    <row r="4378">
      <c r="A4378" s="4">
        <v>4376.0</v>
      </c>
      <c r="B4378" s="5" t="s">
        <v>13135</v>
      </c>
      <c r="C4378" s="4">
        <v>1.0</v>
      </c>
      <c r="D4378" s="5" t="s">
        <v>13136</v>
      </c>
      <c r="E4378" s="5" t="s">
        <v>13137</v>
      </c>
      <c r="F4378" s="6" t="str">
        <f>IFERROR(__xludf.DUMMYFUNCTION("GOOGLETRANSLATE(D4378,""en"",""it"")"),"Mi piacciono i libri di testo più della musica.")</f>
        <v>Mi piacciono i libri di testo più della musica.</v>
      </c>
      <c r="G4378" s="6" t="str">
        <f>IFERROR(__xludf.DUMMYFUNCTION("GOOGLETRANSLATE(E4378,""fr"",""it"")"),"Mi piacciono i libri di testo scolastici più della musica.")</f>
        <v>Mi piacciono i libri di testo scolastici più della musica.</v>
      </c>
    </row>
    <row r="4379">
      <c r="A4379" s="4">
        <v>4377.0</v>
      </c>
      <c r="B4379" s="5" t="s">
        <v>13138</v>
      </c>
      <c r="C4379" s="4">
        <v>1.0</v>
      </c>
      <c r="D4379" s="5" t="s">
        <v>13139</v>
      </c>
      <c r="E4379" s="5" t="s">
        <v>13140</v>
      </c>
      <c r="F4379" s="6" t="str">
        <f>IFERROR(__xludf.DUMMYFUNCTION("GOOGLETRANSLATE(D4379,""en"",""it"")"),"Mi piace la musica più dei libri di testo.")</f>
        <v>Mi piace la musica più dei libri di testo.</v>
      </c>
      <c r="G4379" s="6" t="str">
        <f>IFERROR(__xludf.DUMMYFUNCTION("GOOGLETRANSLATE(E4379,""fr"",""it"")"),"Mi piace la musica più dei libri di testo.")</f>
        <v>Mi piace la musica più dei libri di testo.</v>
      </c>
    </row>
    <row r="4380">
      <c r="A4380" s="4">
        <v>4378.0</v>
      </c>
      <c r="B4380" s="5" t="s">
        <v>13141</v>
      </c>
      <c r="C4380" s="4">
        <v>0.0</v>
      </c>
      <c r="D4380" s="5" t="s">
        <v>13142</v>
      </c>
      <c r="E4380" s="5" t="s">
        <v>13143</v>
      </c>
      <c r="F4380" s="6" t="str">
        <f>IFERROR(__xludf.DUMMYFUNCTION("GOOGLETRANSLATE(D4380,""en"",""it"")"),"Mi piacciono i libri di testo più dei libri.")</f>
        <v>Mi piacciono i libri di testo più dei libri.</v>
      </c>
      <c r="G4380" s="6" t="str">
        <f>IFERROR(__xludf.DUMMYFUNCTION("GOOGLETRANSLATE(E4380,""fr"",""it"")"),"Mi piacciono i libri di testo scolastici più dei libri.")</f>
        <v>Mi piacciono i libri di testo scolastici più dei libri.</v>
      </c>
    </row>
    <row r="4381">
      <c r="A4381" s="4">
        <v>4379.0</v>
      </c>
      <c r="B4381" s="5" t="s">
        <v>13144</v>
      </c>
      <c r="C4381" s="4">
        <v>0.0</v>
      </c>
      <c r="D4381" s="5" t="s">
        <v>13145</v>
      </c>
      <c r="E4381" s="5" t="s">
        <v>13146</v>
      </c>
      <c r="F4381" s="6" t="str">
        <f>IFERROR(__xludf.DUMMYFUNCTION("GOOGLETRANSLATE(D4381,""en"",""it"")"),"Mi piacciono i libri più dei libri di testo.")</f>
        <v>Mi piacciono i libri più dei libri di testo.</v>
      </c>
      <c r="G4381" s="6" t="str">
        <f>IFERROR(__xludf.DUMMYFUNCTION("GOOGLETRANSLATE(E4381,""fr"",""it"")"),"Mi piacciono i libri più dei libri di testo.")</f>
        <v>Mi piacciono i libri più dei libri di testo.</v>
      </c>
    </row>
    <row r="4382">
      <c r="A4382" s="4">
        <v>4380.0</v>
      </c>
      <c r="B4382" s="5" t="s">
        <v>13147</v>
      </c>
      <c r="C4382" s="4">
        <v>1.0</v>
      </c>
      <c r="D4382" s="5" t="s">
        <v>13148</v>
      </c>
      <c r="E4382" s="5" t="s">
        <v>13149</v>
      </c>
      <c r="F4382" s="6" t="str">
        <f>IFERROR(__xludf.DUMMYFUNCTION("GOOGLETRANSLATE(D4382,""en"",""it"")"),"Mi piacciono i libri più della musica.")</f>
        <v>Mi piacciono i libri più della musica.</v>
      </c>
      <c r="G4382" s="6" t="str">
        <f>IFERROR(__xludf.DUMMYFUNCTION("GOOGLETRANSLATE(E4382,""fr"",""it"")"),"Mi piacciono i libri più della musica.")</f>
        <v>Mi piacciono i libri più della musica.</v>
      </c>
    </row>
    <row r="4383">
      <c r="A4383" s="4">
        <v>4381.0</v>
      </c>
      <c r="B4383" s="5" t="s">
        <v>13150</v>
      </c>
      <c r="C4383" s="4">
        <v>1.0</v>
      </c>
      <c r="D4383" s="5" t="s">
        <v>13151</v>
      </c>
      <c r="E4383" s="5" t="s">
        <v>13152</v>
      </c>
      <c r="F4383" s="6" t="str">
        <f>IFERROR(__xludf.DUMMYFUNCTION("GOOGLETRANSLATE(D4383,""en"",""it"")"),"Mi piacciono i libri di testo più dei film.")</f>
        <v>Mi piacciono i libri di testo più dei film.</v>
      </c>
      <c r="G4383" s="6" t="str">
        <f>IFERROR(__xludf.DUMMYFUNCTION("GOOGLETRANSLATE(E4383,""fr"",""it"")"),"Mi piacciono i libri di testo più del cinema.")</f>
        <v>Mi piacciono i libri di testo più del cinema.</v>
      </c>
    </row>
    <row r="4384">
      <c r="A4384" s="4">
        <v>4382.0</v>
      </c>
      <c r="B4384" s="5" t="s">
        <v>13153</v>
      </c>
      <c r="C4384" s="4">
        <v>1.0</v>
      </c>
      <c r="D4384" s="5" t="s">
        <v>13154</v>
      </c>
      <c r="E4384" s="5" t="s">
        <v>13155</v>
      </c>
      <c r="F4384" s="6" t="str">
        <f>IFERROR(__xludf.DUMMYFUNCTION("GOOGLETRANSLATE(D4384,""en"",""it"")"),"Mi piacciono i film più dei libri di testo.")</f>
        <v>Mi piacciono i film più dei libri di testo.</v>
      </c>
      <c r="G4384" s="6" t="str">
        <f>IFERROR(__xludf.DUMMYFUNCTION("GOOGLETRANSLATE(E4384,""fr"",""it"")"),"Amo il cinema più dei libri di testo.")</f>
        <v>Amo il cinema più dei libri di testo.</v>
      </c>
    </row>
    <row r="4385">
      <c r="A4385" s="4">
        <v>4383.0</v>
      </c>
      <c r="B4385" s="5" t="s">
        <v>13156</v>
      </c>
      <c r="C4385" s="4">
        <v>1.0</v>
      </c>
      <c r="D4385" s="5" t="s">
        <v>13157</v>
      </c>
      <c r="E4385" s="5" t="s">
        <v>13158</v>
      </c>
      <c r="F4385" s="6" t="str">
        <f>IFERROR(__xludf.DUMMYFUNCTION("GOOGLETRANSLATE(D4385,""en"",""it"")"),"Mi piacciono i libri più dei film.")</f>
        <v>Mi piacciono i libri più dei film.</v>
      </c>
      <c r="G4385" s="6" t="str">
        <f>IFERROR(__xludf.DUMMYFUNCTION("GOOGLETRANSLATE(E4385,""fr"",""it"")"),"Mi piacciono i libri più del cinema.")</f>
        <v>Mi piacciono i libri più del cinema.</v>
      </c>
    </row>
    <row r="4386">
      <c r="A4386" s="4">
        <v>4384.0</v>
      </c>
      <c r="B4386" s="5" t="s">
        <v>13159</v>
      </c>
      <c r="C4386" s="4">
        <v>1.0</v>
      </c>
      <c r="D4386" s="5" t="s">
        <v>13160</v>
      </c>
      <c r="E4386" s="5" t="s">
        <v>13161</v>
      </c>
      <c r="F4386" s="6" t="str">
        <f>IFERROR(__xludf.DUMMYFUNCTION("GOOGLETRANSLATE(D4386,""en"",""it"")"),"Mi piacciono i libri di testo più dei cartoni animati.")</f>
        <v>Mi piacciono i libri di testo più dei cartoni animati.</v>
      </c>
      <c r="G4386" s="6" t="str">
        <f>IFERROR(__xludf.DUMMYFUNCTION("GOOGLETRANSLATE(E4386,""fr"",""it"")"),"Mi piacciono i libri di testo scolastici più dei cartoni animati.")</f>
        <v>Mi piacciono i libri di testo scolastici più dei cartoni animati.</v>
      </c>
    </row>
    <row r="4387">
      <c r="A4387" s="4">
        <v>4385.0</v>
      </c>
      <c r="B4387" s="5" t="s">
        <v>13162</v>
      </c>
      <c r="C4387" s="4">
        <v>1.0</v>
      </c>
      <c r="D4387" s="5" t="s">
        <v>13163</v>
      </c>
      <c r="E4387" s="5" t="s">
        <v>13164</v>
      </c>
      <c r="F4387" s="6" t="str">
        <f>IFERROR(__xludf.DUMMYFUNCTION("GOOGLETRANSLATE(D4387,""en"",""it"")"),"Mi piacciono i cartoni animati più dei libri di testo.")</f>
        <v>Mi piacciono i cartoni animati più dei libri di testo.</v>
      </c>
      <c r="G4387" s="6" t="str">
        <f>IFERROR(__xludf.DUMMYFUNCTION("GOOGLETRANSLATE(E4387,""fr"",""it"")"),"Mi piacciono i cartoni animati più dei libri di testo.")</f>
        <v>Mi piacciono i cartoni animati più dei libri di testo.</v>
      </c>
    </row>
    <row r="4388">
      <c r="A4388" s="4">
        <v>4386.0</v>
      </c>
      <c r="B4388" s="5" t="s">
        <v>13165</v>
      </c>
      <c r="C4388" s="4">
        <v>1.0</v>
      </c>
      <c r="D4388" s="5" t="s">
        <v>13166</v>
      </c>
      <c r="E4388" s="5" t="s">
        <v>13167</v>
      </c>
      <c r="F4388" s="6" t="str">
        <f>IFERROR(__xludf.DUMMYFUNCTION("GOOGLETRANSLATE(D4388,""en"",""it"")"),"Mi piacciono i libri più dei cartoni animati.")</f>
        <v>Mi piacciono i libri più dei cartoni animati.</v>
      </c>
      <c r="G4388" s="6" t="str">
        <f>IFERROR(__xludf.DUMMYFUNCTION("GOOGLETRANSLATE(E4388,""fr"",""it"")"),"Mi piacciono i libri più dei cartoni animati.")</f>
        <v>Mi piacciono i libri più dei cartoni animati.</v>
      </c>
    </row>
    <row r="4389">
      <c r="A4389" s="4">
        <v>4387.0</v>
      </c>
      <c r="B4389" s="5" t="s">
        <v>13168</v>
      </c>
      <c r="C4389" s="4">
        <v>1.0</v>
      </c>
      <c r="D4389" s="5" t="s">
        <v>13169</v>
      </c>
      <c r="E4389" s="5" t="s">
        <v>13170</v>
      </c>
      <c r="F4389" s="6" t="str">
        <f>IFERROR(__xludf.DUMMYFUNCTION("GOOGLETRANSLATE(D4389,""en"",""it"")"),"Mi piacciono i libri di testo più dei dipinti.")</f>
        <v>Mi piacciono i libri di testo più dei dipinti.</v>
      </c>
      <c r="G4389" s="6" t="str">
        <f>IFERROR(__xludf.DUMMYFUNCTION("GOOGLETRANSLATE(E4389,""fr"",""it"")"),"Mi piacciono i libri di testo scolastici più dei dipinti.")</f>
        <v>Mi piacciono i libri di testo scolastici più dei dipinti.</v>
      </c>
    </row>
    <row r="4390">
      <c r="A4390" s="4">
        <v>4388.0</v>
      </c>
      <c r="B4390" s="5" t="s">
        <v>13171</v>
      </c>
      <c r="C4390" s="4">
        <v>1.0</v>
      </c>
      <c r="D4390" s="5" t="s">
        <v>13172</v>
      </c>
      <c r="E4390" s="5" t="s">
        <v>13173</v>
      </c>
      <c r="F4390" s="6" t="str">
        <f>IFERROR(__xludf.DUMMYFUNCTION("GOOGLETRANSLATE(D4390,""en"",""it"")"),"Mi piacciono i dipinti più dei libri di testo.")</f>
        <v>Mi piacciono i dipinti più dei libri di testo.</v>
      </c>
      <c r="G4390" s="6" t="str">
        <f>IFERROR(__xludf.DUMMYFUNCTION("GOOGLETRANSLATE(E4390,""fr"",""it"")"),"Amo i dipinti più dei libri di testo.")</f>
        <v>Amo i dipinti più dei libri di testo.</v>
      </c>
    </row>
    <row r="4391">
      <c r="A4391" s="4">
        <v>4389.0</v>
      </c>
      <c r="B4391" s="5" t="s">
        <v>13174</v>
      </c>
      <c r="C4391" s="4">
        <v>1.0</v>
      </c>
      <c r="D4391" s="5" t="s">
        <v>13175</v>
      </c>
      <c r="E4391" s="5" t="s">
        <v>13176</v>
      </c>
      <c r="F4391" s="6" t="str">
        <f>IFERROR(__xludf.DUMMYFUNCTION("GOOGLETRANSLATE(D4391,""en"",""it"")"),"Mi piacciono i libri più dei dipinti.")</f>
        <v>Mi piacciono i libri più dei dipinti.</v>
      </c>
      <c r="G4391" s="6" t="str">
        <f>IFERROR(__xludf.DUMMYFUNCTION("GOOGLETRANSLATE(E4391,""fr"",""it"")"),"Mi piacciono i libri più dei dipinti.")</f>
        <v>Mi piacciono i libri più dei dipinti.</v>
      </c>
    </row>
    <row r="4392">
      <c r="A4392" s="4">
        <v>4390.0</v>
      </c>
      <c r="B4392" s="5" t="s">
        <v>13177</v>
      </c>
      <c r="C4392" s="4">
        <v>1.0</v>
      </c>
      <c r="D4392" s="5" t="s">
        <v>13178</v>
      </c>
      <c r="E4392" s="5" t="s">
        <v>13179</v>
      </c>
      <c r="F4392" s="6" t="str">
        <f>IFERROR(__xludf.DUMMYFUNCTION("GOOGLETRANSLATE(D4392,""en"",""it"")"),"Mi piacciono i saggi più della musica.")</f>
        <v>Mi piacciono i saggi più della musica.</v>
      </c>
      <c r="G4392" s="6" t="str">
        <f>IFERROR(__xludf.DUMMYFUNCTION("GOOGLETRANSLATE(E4392,""fr"",""it"")"),"Mi piacciono i test più della musica.")</f>
        <v>Mi piacciono i test più della musica.</v>
      </c>
    </row>
    <row r="4393">
      <c r="A4393" s="4">
        <v>4391.0</v>
      </c>
      <c r="B4393" s="5" t="s">
        <v>13180</v>
      </c>
      <c r="C4393" s="4">
        <v>1.0</v>
      </c>
      <c r="D4393" s="5" t="s">
        <v>13181</v>
      </c>
      <c r="E4393" s="5" t="s">
        <v>13182</v>
      </c>
      <c r="F4393" s="6" t="str">
        <f>IFERROR(__xludf.DUMMYFUNCTION("GOOGLETRANSLATE(D4393,""en"",""it"")"),"Mi piace la musica più dei saggi.")</f>
        <v>Mi piace la musica più dei saggi.</v>
      </c>
      <c r="G4393" s="6" t="str">
        <f>IFERROR(__xludf.DUMMYFUNCTION("GOOGLETRANSLATE(E4393,""fr"",""it"")"),"Mi piace la musica più dei test.")</f>
        <v>Mi piace la musica più dei test.</v>
      </c>
    </row>
    <row r="4394">
      <c r="A4394" s="4">
        <v>4392.0</v>
      </c>
      <c r="B4394" s="5" t="s">
        <v>13183</v>
      </c>
      <c r="C4394" s="4">
        <v>0.0</v>
      </c>
      <c r="D4394" s="5" t="s">
        <v>13184</v>
      </c>
      <c r="E4394" s="5" t="s">
        <v>13185</v>
      </c>
      <c r="F4394" s="6" t="str">
        <f>IFERROR(__xludf.DUMMYFUNCTION("GOOGLETRANSLATE(D4394,""en"",""it"")"),"Mi piacciono i saggi più dei libri.")</f>
        <v>Mi piacciono i saggi più dei libri.</v>
      </c>
      <c r="G4394" s="6" t="str">
        <f>IFERROR(__xludf.DUMMYFUNCTION("GOOGLETRANSLATE(E4394,""fr"",""it"")"),"Mi piacciono i test più dei libri.")</f>
        <v>Mi piacciono i test più dei libri.</v>
      </c>
    </row>
    <row r="4395">
      <c r="A4395" s="4">
        <v>4393.0</v>
      </c>
      <c r="B4395" s="5" t="s">
        <v>13186</v>
      </c>
      <c r="C4395" s="4">
        <v>0.0</v>
      </c>
      <c r="D4395" s="5" t="s">
        <v>13187</v>
      </c>
      <c r="E4395" s="5" t="s">
        <v>13188</v>
      </c>
      <c r="F4395" s="6" t="str">
        <f>IFERROR(__xludf.DUMMYFUNCTION("GOOGLETRANSLATE(D4395,""en"",""it"")"),"Mi piacciono i libri più dei saggi.")</f>
        <v>Mi piacciono i libri più dei saggi.</v>
      </c>
      <c r="G4395" s="6" t="str">
        <f>IFERROR(__xludf.DUMMYFUNCTION("GOOGLETRANSLATE(E4395,""fr"",""it"")"),"Mi piacciono i libri più dei test.")</f>
        <v>Mi piacciono i libri più dei test.</v>
      </c>
    </row>
    <row r="4396">
      <c r="A4396" s="4">
        <v>4394.0</v>
      </c>
      <c r="B4396" s="5" t="s">
        <v>13189</v>
      </c>
      <c r="C4396" s="4">
        <v>1.0</v>
      </c>
      <c r="D4396" s="5" t="s">
        <v>13190</v>
      </c>
      <c r="E4396" s="5" t="s">
        <v>13191</v>
      </c>
      <c r="F4396" s="6" t="str">
        <f>IFERROR(__xludf.DUMMYFUNCTION("GOOGLETRANSLATE(D4396,""en"",""it"")"),"Mi piacciono i sassi più dei film.")</f>
        <v>Mi piacciono i sassi più dei film.</v>
      </c>
      <c r="G4396" s="6" t="str">
        <f>IFERROR(__xludf.DUMMYFUNCTION("GOOGLETRANSLATE(E4396,""fr"",""it"")"),"Mi piacciono i test più del cinema.")</f>
        <v>Mi piacciono i test più del cinema.</v>
      </c>
    </row>
    <row r="4397">
      <c r="A4397" s="4">
        <v>4395.0</v>
      </c>
      <c r="B4397" s="5" t="s">
        <v>13192</v>
      </c>
      <c r="C4397" s="4">
        <v>1.0</v>
      </c>
      <c r="D4397" s="5" t="s">
        <v>13193</v>
      </c>
      <c r="E4397" s="5" t="s">
        <v>13194</v>
      </c>
      <c r="F4397" s="6" t="str">
        <f>IFERROR(__xludf.DUMMYFUNCTION("GOOGLETRANSLATE(D4397,""en"",""it"")"),"Mi piacciono i film più dei saggi.")</f>
        <v>Mi piacciono i film più dei saggi.</v>
      </c>
      <c r="G4397" s="6" t="str">
        <f>IFERROR(__xludf.DUMMYFUNCTION("GOOGLETRANSLATE(E4397,""fr"",""it"")"),"Amo il cinema più dei test.")</f>
        <v>Amo il cinema più dei test.</v>
      </c>
    </row>
    <row r="4398">
      <c r="A4398" s="4">
        <v>4396.0</v>
      </c>
      <c r="B4398" s="5" t="s">
        <v>13195</v>
      </c>
      <c r="C4398" s="4">
        <v>1.0</v>
      </c>
      <c r="D4398" s="5" t="s">
        <v>13196</v>
      </c>
      <c r="E4398" s="5" t="s">
        <v>13197</v>
      </c>
      <c r="F4398" s="6" t="str">
        <f>IFERROR(__xludf.DUMMYFUNCTION("GOOGLETRANSLATE(D4398,""en"",""it"")"),"Mi piacciono i saggi più dei cartoni animati.")</f>
        <v>Mi piacciono i saggi più dei cartoni animati.</v>
      </c>
      <c r="G4398" s="6" t="str">
        <f>IFERROR(__xludf.DUMMYFUNCTION("GOOGLETRANSLATE(E4398,""fr"",""it"")"),"Mi piacciono i test più dei cartoni animati.")</f>
        <v>Mi piacciono i test più dei cartoni animati.</v>
      </c>
    </row>
    <row r="4399">
      <c r="A4399" s="4">
        <v>4397.0</v>
      </c>
      <c r="B4399" s="5" t="s">
        <v>13198</v>
      </c>
      <c r="C4399" s="4">
        <v>1.0</v>
      </c>
      <c r="D4399" s="5" t="s">
        <v>13199</v>
      </c>
      <c r="E4399" s="5" t="s">
        <v>13200</v>
      </c>
      <c r="F4399" s="6" t="str">
        <f>IFERROR(__xludf.DUMMYFUNCTION("GOOGLETRANSLATE(D4399,""en"",""it"")"),"Mi piacciono i cartoni animati più dei saggi.")</f>
        <v>Mi piacciono i cartoni animati più dei saggi.</v>
      </c>
      <c r="G4399" s="6" t="str">
        <f>IFERROR(__xludf.DUMMYFUNCTION("GOOGLETRANSLATE(E4399,""fr"",""it"")"),"Mi piacciono i cartoni animati più dei test.")</f>
        <v>Mi piacciono i cartoni animati più dei test.</v>
      </c>
    </row>
    <row r="4400">
      <c r="A4400" s="4">
        <v>4398.0</v>
      </c>
      <c r="B4400" s="5" t="s">
        <v>13201</v>
      </c>
      <c r="C4400" s="4">
        <v>1.0</v>
      </c>
      <c r="D4400" s="5" t="s">
        <v>13202</v>
      </c>
      <c r="E4400" s="5" t="s">
        <v>13203</v>
      </c>
      <c r="F4400" s="6" t="str">
        <f>IFERROR(__xludf.DUMMYFUNCTION("GOOGLETRANSLATE(D4400,""en"",""it"")"),"Mi piacciono i saggi più dei dipinti.")</f>
        <v>Mi piacciono i saggi più dei dipinti.</v>
      </c>
      <c r="G4400" s="6" t="str">
        <f>IFERROR(__xludf.DUMMYFUNCTION("GOOGLETRANSLATE(E4400,""fr"",""it"")"),"Mi piacciono i test più dei dipinti.")</f>
        <v>Mi piacciono i test più dei dipinti.</v>
      </c>
    </row>
    <row r="4401">
      <c r="A4401" s="4">
        <v>4399.0</v>
      </c>
      <c r="B4401" s="5" t="s">
        <v>13204</v>
      </c>
      <c r="C4401" s="4">
        <v>1.0</v>
      </c>
      <c r="D4401" s="5" t="s">
        <v>13205</v>
      </c>
      <c r="E4401" s="5" t="s">
        <v>13206</v>
      </c>
      <c r="F4401" s="6" t="str">
        <f>IFERROR(__xludf.DUMMYFUNCTION("GOOGLETRANSLATE(D4401,""en"",""it"")"),"Mi piacciono i dipinti più dei saggi.")</f>
        <v>Mi piacciono i dipinti più dei saggi.</v>
      </c>
      <c r="G4401" s="6" t="str">
        <f>IFERROR(__xludf.DUMMYFUNCTION("GOOGLETRANSLATE(E4401,""fr"",""it"")"),"Amo i dipinti più dei test.")</f>
        <v>Amo i dipinti più dei test.</v>
      </c>
    </row>
    <row r="4402">
      <c r="A4402" s="4">
        <v>4400.0</v>
      </c>
      <c r="B4402" s="5" t="s">
        <v>13207</v>
      </c>
      <c r="C4402" s="4">
        <v>1.0</v>
      </c>
      <c r="D4402" s="5" t="s">
        <v>13208</v>
      </c>
      <c r="E4402" s="5" t="s">
        <v>13209</v>
      </c>
      <c r="F4402" s="6" t="str">
        <f>IFERROR(__xludf.DUMMYFUNCTION("GOOGLETRANSLATE(D4402,""en"",""it"")"),"Mi piacciono i romanzi più della musica.")</f>
        <v>Mi piacciono i romanzi più della musica.</v>
      </c>
      <c r="G4402" s="6" t="str">
        <f>IFERROR(__xludf.DUMMYFUNCTION("GOOGLETRANSLATE(E4402,""fr"",""it"")"),"Amo i romanzi più della musica.")</f>
        <v>Amo i romanzi più della musica.</v>
      </c>
    </row>
    <row r="4403">
      <c r="A4403" s="4">
        <v>4401.0</v>
      </c>
      <c r="B4403" s="5" t="s">
        <v>13210</v>
      </c>
      <c r="C4403" s="4">
        <v>1.0</v>
      </c>
      <c r="D4403" s="5" t="s">
        <v>13211</v>
      </c>
      <c r="E4403" s="5" t="s">
        <v>13212</v>
      </c>
      <c r="F4403" s="6" t="str">
        <f>IFERROR(__xludf.DUMMYFUNCTION("GOOGLETRANSLATE(D4403,""en"",""it"")"),"Mi piace la musica più dei romanzi.")</f>
        <v>Mi piace la musica più dei romanzi.</v>
      </c>
      <c r="G4403" s="6" t="str">
        <f>IFERROR(__xludf.DUMMYFUNCTION("GOOGLETRANSLATE(E4403,""fr"",""it"")"),"Mi piace la musica più dei romanzi.")</f>
        <v>Mi piace la musica più dei romanzi.</v>
      </c>
    </row>
    <row r="4404">
      <c r="A4404" s="4">
        <v>4402.0</v>
      </c>
      <c r="B4404" s="5" t="s">
        <v>13213</v>
      </c>
      <c r="C4404" s="4">
        <v>0.0</v>
      </c>
      <c r="D4404" s="5" t="s">
        <v>13214</v>
      </c>
      <c r="E4404" s="5" t="s">
        <v>13215</v>
      </c>
      <c r="F4404" s="6" t="str">
        <f>IFERROR(__xludf.DUMMYFUNCTION("GOOGLETRANSLATE(D4404,""en"",""it"")"),"Mi piacciono i romanzi più dei libri.")</f>
        <v>Mi piacciono i romanzi più dei libri.</v>
      </c>
      <c r="G4404" s="6" t="str">
        <f>IFERROR(__xludf.DUMMYFUNCTION("GOOGLETRANSLATE(E4404,""fr"",""it"")"),"Amo i romanzi più dei libri.")</f>
        <v>Amo i romanzi più dei libri.</v>
      </c>
    </row>
    <row r="4405">
      <c r="A4405" s="4">
        <v>4403.0</v>
      </c>
      <c r="B4405" s="5" t="s">
        <v>13216</v>
      </c>
      <c r="C4405" s="4">
        <v>0.0</v>
      </c>
      <c r="D4405" s="5" t="s">
        <v>13217</v>
      </c>
      <c r="E4405" s="5" t="s">
        <v>13218</v>
      </c>
      <c r="F4405" s="6" t="str">
        <f>IFERROR(__xludf.DUMMYFUNCTION("GOOGLETRANSLATE(D4405,""en"",""it"")"),"Mi piacciono i libri più dei romanzi.")</f>
        <v>Mi piacciono i libri più dei romanzi.</v>
      </c>
      <c r="G4405" s="6" t="str">
        <f>IFERROR(__xludf.DUMMYFUNCTION("GOOGLETRANSLATE(E4405,""fr"",""it"")"),"Mi piacciono i libri più dei romanzi.")</f>
        <v>Mi piacciono i libri più dei romanzi.</v>
      </c>
    </row>
    <row r="4406">
      <c r="A4406" s="4">
        <v>4404.0</v>
      </c>
      <c r="B4406" s="5" t="s">
        <v>13219</v>
      </c>
      <c r="C4406" s="4">
        <v>1.0</v>
      </c>
      <c r="D4406" s="5" t="s">
        <v>13220</v>
      </c>
      <c r="E4406" s="5" t="s">
        <v>13221</v>
      </c>
      <c r="F4406" s="6" t="str">
        <f>IFERROR(__xludf.DUMMYFUNCTION("GOOGLETRANSLATE(D4406,""en"",""it"")"),"Mi piacciono i romanzi più dei film.")</f>
        <v>Mi piacciono i romanzi più dei film.</v>
      </c>
      <c r="G4406" s="6" t="str">
        <f>IFERROR(__xludf.DUMMYFUNCTION("GOOGLETRANSLATE(E4406,""fr"",""it"")"),"Amo i romanzi più del cinema.")</f>
        <v>Amo i romanzi più del cinema.</v>
      </c>
    </row>
    <row r="4407">
      <c r="A4407" s="4">
        <v>4405.0</v>
      </c>
      <c r="B4407" s="5" t="s">
        <v>13222</v>
      </c>
      <c r="C4407" s="4">
        <v>1.0</v>
      </c>
      <c r="D4407" s="5" t="s">
        <v>13223</v>
      </c>
      <c r="E4407" s="5" t="s">
        <v>13224</v>
      </c>
      <c r="F4407" s="6" t="str">
        <f>IFERROR(__xludf.DUMMYFUNCTION("GOOGLETRANSLATE(D4407,""en"",""it"")"),"Mi piacciono i film più dei romanzi.")</f>
        <v>Mi piacciono i film più dei romanzi.</v>
      </c>
      <c r="G4407" s="6" t="str">
        <f>IFERROR(__xludf.DUMMYFUNCTION("GOOGLETRANSLATE(E4407,""fr"",""it"")"),"Amo il cinema più dei romanzi.")</f>
        <v>Amo il cinema più dei romanzi.</v>
      </c>
    </row>
    <row r="4408">
      <c r="A4408" s="4">
        <v>4406.0</v>
      </c>
      <c r="B4408" s="5" t="s">
        <v>13225</v>
      </c>
      <c r="C4408" s="4">
        <v>1.0</v>
      </c>
      <c r="D4408" s="5" t="s">
        <v>13226</v>
      </c>
      <c r="E4408" s="5" t="s">
        <v>13227</v>
      </c>
      <c r="F4408" s="6" t="str">
        <f>IFERROR(__xludf.DUMMYFUNCTION("GOOGLETRANSLATE(D4408,""en"",""it"")"),"Mi piacciono i romanzi più dei cartoni animati.")</f>
        <v>Mi piacciono i romanzi più dei cartoni animati.</v>
      </c>
      <c r="G4408" s="6" t="str">
        <f>IFERROR(__xludf.DUMMYFUNCTION("GOOGLETRANSLATE(E4408,""fr"",""it"")"),"Amo i romanzi più dei cartoni animati.")</f>
        <v>Amo i romanzi più dei cartoni animati.</v>
      </c>
    </row>
    <row r="4409">
      <c r="A4409" s="4">
        <v>4407.0</v>
      </c>
      <c r="B4409" s="5" t="s">
        <v>13228</v>
      </c>
      <c r="C4409" s="4">
        <v>1.0</v>
      </c>
      <c r="D4409" s="5" t="s">
        <v>13229</v>
      </c>
      <c r="E4409" s="5" t="s">
        <v>13230</v>
      </c>
      <c r="F4409" s="6" t="str">
        <f>IFERROR(__xludf.DUMMYFUNCTION("GOOGLETRANSLATE(D4409,""en"",""it"")"),"Mi piacciono i cartoni animati più dei romanzi.")</f>
        <v>Mi piacciono i cartoni animati più dei romanzi.</v>
      </c>
      <c r="G4409" s="6" t="str">
        <f>IFERROR(__xludf.DUMMYFUNCTION("GOOGLETRANSLATE(E4409,""fr"",""it"")"),"Mi piacciono i cartoni animati più dei romanzi.")</f>
        <v>Mi piacciono i cartoni animati più dei romanzi.</v>
      </c>
    </row>
    <row r="4410">
      <c r="A4410" s="4">
        <v>4408.0</v>
      </c>
      <c r="B4410" s="5" t="s">
        <v>13231</v>
      </c>
      <c r="C4410" s="4">
        <v>1.0</v>
      </c>
      <c r="D4410" s="5" t="s">
        <v>13232</v>
      </c>
      <c r="E4410" s="5" t="s">
        <v>13233</v>
      </c>
      <c r="F4410" s="6" t="str">
        <f>IFERROR(__xludf.DUMMYFUNCTION("GOOGLETRANSLATE(D4410,""en"",""it"")"),"Mi piacciono i romanzi più dei dipinti.")</f>
        <v>Mi piacciono i romanzi più dei dipinti.</v>
      </c>
      <c r="G4410" s="6" t="str">
        <f>IFERROR(__xludf.DUMMYFUNCTION("GOOGLETRANSLATE(E4410,""fr"",""it"")"),"Amo i romanzi più dei dipinti.")</f>
        <v>Amo i romanzi più dei dipinti.</v>
      </c>
    </row>
    <row r="4411">
      <c r="A4411" s="4">
        <v>4409.0</v>
      </c>
      <c r="B4411" s="5" t="s">
        <v>13234</v>
      </c>
      <c r="C4411" s="4">
        <v>1.0</v>
      </c>
      <c r="D4411" s="5" t="s">
        <v>13235</v>
      </c>
      <c r="E4411" s="5" t="s">
        <v>13236</v>
      </c>
      <c r="F4411" s="6" t="str">
        <f>IFERROR(__xludf.DUMMYFUNCTION("GOOGLETRANSLATE(D4411,""en"",""it"")"),"Mi piacciono i dipinti più dei romanzi.")</f>
        <v>Mi piacciono i dipinti più dei romanzi.</v>
      </c>
      <c r="G4411" s="6" t="str">
        <f>IFERROR(__xludf.DUMMYFUNCTION("GOOGLETRANSLATE(E4411,""fr"",""it"")"),"Amo i dipinti più dei romanzi.")</f>
        <v>Amo i dipinti più dei romanzi.</v>
      </c>
    </row>
    <row r="4412">
      <c r="A4412" s="4">
        <v>4410.0</v>
      </c>
      <c r="B4412" s="5" t="s">
        <v>13237</v>
      </c>
      <c r="C4412" s="4">
        <v>1.0</v>
      </c>
      <c r="D4412" s="5" t="s">
        <v>13238</v>
      </c>
      <c r="E4412" s="5" t="s">
        <v>13239</v>
      </c>
      <c r="F4412" s="6" t="str">
        <f>IFERROR(__xludf.DUMMYFUNCTION("GOOGLETRANSLATE(D4412,""en"",""it"")"),"Mi piacciono i libri manuali più della musica.")</f>
        <v>Mi piacciono i libri manuali più della musica.</v>
      </c>
      <c r="G4412" s="6" t="str">
        <f>IFERROR(__xludf.DUMMYFUNCTION("GOOGLETRANSLATE(E4412,""fr"",""it"")"),"Mi piacciono i manuali più della musica.")</f>
        <v>Mi piacciono i manuali più della musica.</v>
      </c>
    </row>
    <row r="4413">
      <c r="A4413" s="4">
        <v>4411.0</v>
      </c>
      <c r="B4413" s="5" t="s">
        <v>13240</v>
      </c>
      <c r="C4413" s="4">
        <v>1.0</v>
      </c>
      <c r="D4413" s="5" t="s">
        <v>13241</v>
      </c>
      <c r="E4413" s="5" t="s">
        <v>13242</v>
      </c>
      <c r="F4413" s="6" t="str">
        <f>IFERROR(__xludf.DUMMYFUNCTION("GOOGLETRANSLATE(D4413,""en"",""it"")"),"Mi piace la musica più dei manuali.")</f>
        <v>Mi piace la musica più dei manuali.</v>
      </c>
      <c r="G4413" s="6" t="str">
        <f>IFERROR(__xludf.DUMMYFUNCTION("GOOGLETRANSLATE(E4413,""fr"",""it"")"),"Mi piace la musica più dei manuali.")</f>
        <v>Mi piace la musica più dei manuali.</v>
      </c>
    </row>
    <row r="4414">
      <c r="A4414" s="4">
        <v>4412.0</v>
      </c>
      <c r="B4414" s="5" t="s">
        <v>13243</v>
      </c>
      <c r="C4414" s="4">
        <v>0.0</v>
      </c>
      <c r="D4414" s="5" t="s">
        <v>13244</v>
      </c>
      <c r="E4414" s="5" t="s">
        <v>13245</v>
      </c>
      <c r="F4414" s="6" t="str">
        <f>IFERROR(__xludf.DUMMYFUNCTION("GOOGLETRANSLATE(D4414,""en"",""it"")"),"Mi piacciono i manuali più dei libri.")</f>
        <v>Mi piacciono i manuali più dei libri.</v>
      </c>
      <c r="G4414" s="6" t="str">
        <f>IFERROR(__xludf.DUMMYFUNCTION("GOOGLETRANSLATE(E4414,""fr"",""it"")"),"Mi piacciono i manuali più dei libri.")</f>
        <v>Mi piacciono i manuali più dei libri.</v>
      </c>
    </row>
    <row r="4415">
      <c r="A4415" s="4">
        <v>4413.0</v>
      </c>
      <c r="B4415" s="5" t="s">
        <v>13246</v>
      </c>
      <c r="C4415" s="4">
        <v>0.0</v>
      </c>
      <c r="D4415" s="5" t="s">
        <v>13247</v>
      </c>
      <c r="E4415" s="5" t="s">
        <v>13248</v>
      </c>
      <c r="F4415" s="6" t="str">
        <f>IFERROR(__xludf.DUMMYFUNCTION("GOOGLETRANSLATE(D4415,""en"",""it"")"),"Mi piacciono i libri più dei manuali.")</f>
        <v>Mi piacciono i libri più dei manuali.</v>
      </c>
      <c r="G4415" s="6" t="str">
        <f>IFERROR(__xludf.DUMMYFUNCTION("GOOGLETRANSLATE(E4415,""fr"",""it"")"),"Mi piacciono i libri più dei manuali.")</f>
        <v>Mi piacciono i libri più dei manuali.</v>
      </c>
    </row>
    <row r="4416">
      <c r="A4416" s="4">
        <v>4414.0</v>
      </c>
      <c r="B4416" s="5" t="s">
        <v>13249</v>
      </c>
      <c r="C4416" s="4">
        <v>1.0</v>
      </c>
      <c r="D4416" s="5" t="s">
        <v>13250</v>
      </c>
      <c r="E4416" s="5" t="s">
        <v>13251</v>
      </c>
      <c r="F4416" s="6" t="str">
        <f>IFERROR(__xludf.DUMMYFUNCTION("GOOGLETRANSLATE(D4416,""en"",""it"")"),"Mi piacciono i manuali più dei film.")</f>
        <v>Mi piacciono i manuali più dei film.</v>
      </c>
      <c r="G4416" s="6" t="str">
        <f>IFERROR(__xludf.DUMMYFUNCTION("GOOGLETRANSLATE(E4416,""fr"",""it"")"),"Mi piacciono i manuali più del cinema.")</f>
        <v>Mi piacciono i manuali più del cinema.</v>
      </c>
    </row>
    <row r="4417">
      <c r="A4417" s="4">
        <v>4415.0</v>
      </c>
      <c r="B4417" s="5" t="s">
        <v>13252</v>
      </c>
      <c r="C4417" s="4">
        <v>1.0</v>
      </c>
      <c r="D4417" s="5" t="s">
        <v>13253</v>
      </c>
      <c r="E4417" s="5" t="s">
        <v>13254</v>
      </c>
      <c r="F4417" s="6" t="str">
        <f>IFERROR(__xludf.DUMMYFUNCTION("GOOGLETRANSLATE(D4417,""en"",""it"")"),"Mi piacciono i film più dei manuali.")</f>
        <v>Mi piacciono i film più dei manuali.</v>
      </c>
      <c r="G4417" s="6" t="str">
        <f>IFERROR(__xludf.DUMMYFUNCTION("GOOGLETRANSLATE(E4417,""fr"",""it"")"),"Adoro il cinema più dei manuali.")</f>
        <v>Adoro il cinema più dei manuali.</v>
      </c>
    </row>
    <row r="4418">
      <c r="A4418" s="4">
        <v>4416.0</v>
      </c>
      <c r="B4418" s="5" t="s">
        <v>13255</v>
      </c>
      <c r="C4418" s="4">
        <v>1.0</v>
      </c>
      <c r="D4418" s="5" t="s">
        <v>13256</v>
      </c>
      <c r="E4418" s="5" t="s">
        <v>13257</v>
      </c>
      <c r="F4418" s="6" t="str">
        <f>IFERROR(__xludf.DUMMYFUNCTION("GOOGLETRANSLATE(D4418,""en"",""it"")"),"Mi piacciono i manuali più dei cartoni animati.")</f>
        <v>Mi piacciono i manuali più dei cartoni animati.</v>
      </c>
      <c r="G4418" s="6" t="str">
        <f>IFERROR(__xludf.DUMMYFUNCTION("GOOGLETRANSLATE(E4418,""fr"",""it"")"),"Mi piacciono i manuali più dei cartoni animati.")</f>
        <v>Mi piacciono i manuali più dei cartoni animati.</v>
      </c>
    </row>
    <row r="4419">
      <c r="A4419" s="4">
        <v>4417.0</v>
      </c>
      <c r="B4419" s="5" t="s">
        <v>13258</v>
      </c>
      <c r="C4419" s="4">
        <v>1.0</v>
      </c>
      <c r="D4419" s="5" t="s">
        <v>13259</v>
      </c>
      <c r="E4419" s="5" t="s">
        <v>13260</v>
      </c>
      <c r="F4419" s="6" t="str">
        <f>IFERROR(__xludf.DUMMYFUNCTION("GOOGLETRANSLATE(D4419,""en"",""it"")"),"Mi piacciono i cartoni animati più dei manuali.")</f>
        <v>Mi piacciono i cartoni animati più dei manuali.</v>
      </c>
      <c r="G4419" s="6" t="str">
        <f>IFERROR(__xludf.DUMMYFUNCTION("GOOGLETRANSLATE(E4419,""fr"",""it"")"),"Mi piacciono i cartoni animati più dei manuali.")</f>
        <v>Mi piacciono i cartoni animati più dei manuali.</v>
      </c>
    </row>
    <row r="4420">
      <c r="A4420" s="4">
        <v>4418.0</v>
      </c>
      <c r="B4420" s="5" t="s">
        <v>13261</v>
      </c>
      <c r="C4420" s="4">
        <v>1.0</v>
      </c>
      <c r="D4420" s="5" t="s">
        <v>13262</v>
      </c>
      <c r="E4420" s="5" t="s">
        <v>13263</v>
      </c>
      <c r="F4420" s="6" t="str">
        <f>IFERROR(__xludf.DUMMYFUNCTION("GOOGLETRANSLATE(D4420,""en"",""it"")"),"Mi piacciono i manuali più dei dipinti.")</f>
        <v>Mi piacciono i manuali più dei dipinti.</v>
      </c>
      <c r="G4420" s="6" t="str">
        <f>IFERROR(__xludf.DUMMYFUNCTION("GOOGLETRANSLATE(E4420,""fr"",""it"")"),"Mi piacciono i manuali più dei dipinti.")</f>
        <v>Mi piacciono i manuali più dei dipinti.</v>
      </c>
    </row>
    <row r="4421">
      <c r="A4421" s="4">
        <v>4419.0</v>
      </c>
      <c r="B4421" s="5" t="s">
        <v>13264</v>
      </c>
      <c r="C4421" s="4">
        <v>1.0</v>
      </c>
      <c r="D4421" s="5" t="s">
        <v>13265</v>
      </c>
      <c r="E4421" s="5" t="s">
        <v>13266</v>
      </c>
      <c r="F4421" s="6" t="str">
        <f>IFERROR(__xludf.DUMMYFUNCTION("GOOGLETRANSLATE(D4421,""en"",""it"")"),"Mi piacciono i dipinti più dei manuali.")</f>
        <v>Mi piacciono i dipinti più dei manuali.</v>
      </c>
      <c r="G4421" s="6" t="str">
        <f>IFERROR(__xludf.DUMMYFUNCTION("GOOGLETRANSLATE(E4421,""fr"",""it"")"),"Amo i dipinti più dei manuali.")</f>
        <v>Amo i dipinti più dei manuali.</v>
      </c>
    </row>
    <row r="4422">
      <c r="A4422" s="4">
        <v>4420.0</v>
      </c>
      <c r="B4422" s="5" t="s">
        <v>13267</v>
      </c>
      <c r="C4422" s="4">
        <v>1.0</v>
      </c>
      <c r="D4422" s="5" t="s">
        <v>13268</v>
      </c>
      <c r="E4422" s="5" t="s">
        <v>13269</v>
      </c>
      <c r="F4422" s="6" t="str">
        <f>IFERROR(__xludf.DUMMYFUNCTION("GOOGLETRANSLATE(D4422,""en"",""it"")"),"Mi piacciono gli impiegati più delle fabbriche.")</f>
        <v>Mi piacciono gli impiegati più delle fabbriche.</v>
      </c>
      <c r="G4422" s="6" t="str">
        <f>IFERROR(__xludf.DUMMYFUNCTION("GOOGLETRANSLATE(E4422,""fr"",""it"")"),"Mi piacciono gli impiegati più delle fabbriche.")</f>
        <v>Mi piacciono gli impiegati più delle fabbriche.</v>
      </c>
    </row>
    <row r="4423">
      <c r="A4423" s="4">
        <v>4421.0</v>
      </c>
      <c r="B4423" s="5" t="s">
        <v>13270</v>
      </c>
      <c r="C4423" s="4">
        <v>1.0</v>
      </c>
      <c r="D4423" s="5" t="s">
        <v>13271</v>
      </c>
      <c r="E4423" s="5" t="s">
        <v>13272</v>
      </c>
      <c r="F4423" s="6" t="str">
        <f>IFERROR(__xludf.DUMMYFUNCTION("GOOGLETRANSLATE(D4423,""en"",""it"")"),"Mi piacciono le fabbriche più dei commessi.")</f>
        <v>Mi piacciono le fabbriche più dei commessi.</v>
      </c>
      <c r="G4423" s="6" t="str">
        <f>IFERROR(__xludf.DUMMYFUNCTION("GOOGLETRANSLATE(E4423,""fr"",""it"")"),"Amo le fabbriche più dei commessi.")</f>
        <v>Amo le fabbriche più dei commessi.</v>
      </c>
    </row>
    <row r="4424">
      <c r="A4424" s="4">
        <v>4422.0</v>
      </c>
      <c r="B4424" s="5" t="s">
        <v>13273</v>
      </c>
      <c r="C4424" s="4">
        <v>0.0</v>
      </c>
      <c r="D4424" s="5" t="s">
        <v>13274</v>
      </c>
      <c r="E4424" s="5" t="s">
        <v>13275</v>
      </c>
      <c r="F4424" s="6" t="str">
        <f>IFERROR(__xludf.DUMMYFUNCTION("GOOGLETRANSLATE(D4424,""en"",""it"")"),"Mi piacciono gli impiegati più dei lavoratori.")</f>
        <v>Mi piacciono gli impiegati più dei lavoratori.</v>
      </c>
      <c r="G4424" s="6" t="str">
        <f>IFERROR(__xludf.DUMMYFUNCTION("GOOGLETRANSLATE(E4424,""fr"",""it"")"),"Mi piacciono gli impiegati più dei lavoratori.")</f>
        <v>Mi piacciono gli impiegati più dei lavoratori.</v>
      </c>
    </row>
    <row r="4425">
      <c r="A4425" s="4">
        <v>4423.0</v>
      </c>
      <c r="B4425" s="5" t="s">
        <v>13276</v>
      </c>
      <c r="C4425" s="4">
        <v>0.0</v>
      </c>
      <c r="D4425" s="5" t="s">
        <v>13277</v>
      </c>
      <c r="E4425" s="5" t="s">
        <v>13278</v>
      </c>
      <c r="F4425" s="6" t="str">
        <f>IFERROR(__xludf.DUMMYFUNCTION("GOOGLETRANSLATE(D4425,""en"",""it"")"),"Mi piacciono i lavoratori più dei commessi.")</f>
        <v>Mi piacciono i lavoratori più dei commessi.</v>
      </c>
      <c r="G4425" s="6" t="str">
        <f>IFERROR(__xludf.DUMMYFUNCTION("GOOGLETRANSLATE(E4425,""fr"",""it"")"),"Mi piacciono i lavoratori più dei commessi.")</f>
        <v>Mi piacciono i lavoratori più dei commessi.</v>
      </c>
    </row>
    <row r="4426">
      <c r="A4426" s="4">
        <v>4424.0</v>
      </c>
      <c r="B4426" s="5" t="s">
        <v>13279</v>
      </c>
      <c r="C4426" s="4">
        <v>1.0</v>
      </c>
      <c r="D4426" s="5" t="s">
        <v>13280</v>
      </c>
      <c r="E4426" s="5" t="s">
        <v>13281</v>
      </c>
      <c r="F4426" s="6" t="str">
        <f>IFERROR(__xludf.DUMMYFUNCTION("GOOGLETRANSLATE(D4426,""en"",""it"")"),"Mi piacciono i lavoratori più delle fabbriche.")</f>
        <v>Mi piacciono i lavoratori più delle fabbriche.</v>
      </c>
      <c r="G4426" s="6" t="str">
        <f>IFERROR(__xludf.DUMMYFUNCTION("GOOGLETRANSLATE(E4426,""fr"",""it"")"),"Adoro i lavoratori più delle fabbriche.")</f>
        <v>Adoro i lavoratori più delle fabbriche.</v>
      </c>
    </row>
    <row r="4427">
      <c r="A4427" s="4">
        <v>4425.0</v>
      </c>
      <c r="B4427" s="5" t="s">
        <v>13282</v>
      </c>
      <c r="C4427" s="4">
        <v>1.0</v>
      </c>
      <c r="D4427" s="5" t="s">
        <v>13283</v>
      </c>
      <c r="E4427" s="5" t="s">
        <v>13284</v>
      </c>
      <c r="F4427" s="6" t="str">
        <f>IFERROR(__xludf.DUMMYFUNCTION("GOOGLETRANSLATE(D4427,""en"",""it"")"),"Mi piacciono gli impiegati più dei ristoranti.")</f>
        <v>Mi piacciono gli impiegati più dei ristoranti.</v>
      </c>
      <c r="G4427" s="6" t="str">
        <f>IFERROR(__xludf.DUMMYFUNCTION("GOOGLETRANSLATE(E4427,""fr"",""it"")"),"Mi piacciono gli impiegati più dei ristoranti.")</f>
        <v>Mi piacciono gli impiegati più dei ristoranti.</v>
      </c>
    </row>
    <row r="4428">
      <c r="A4428" s="4">
        <v>4426.0</v>
      </c>
      <c r="B4428" s="5" t="s">
        <v>13285</v>
      </c>
      <c r="C4428" s="4">
        <v>1.0</v>
      </c>
      <c r="D4428" s="5" t="s">
        <v>13286</v>
      </c>
      <c r="E4428" s="5" t="s">
        <v>13287</v>
      </c>
      <c r="F4428" s="6" t="str">
        <f>IFERROR(__xludf.DUMMYFUNCTION("GOOGLETRANSLATE(D4428,""en"",""it"")"),"Mi piacciono i ristoranti più dei impiegati.")</f>
        <v>Mi piacciono i ristoranti più dei impiegati.</v>
      </c>
      <c r="G4428" s="6" t="str">
        <f>IFERROR(__xludf.DUMMYFUNCTION("GOOGLETRANSLATE(E4428,""fr"",""it"")"),"Mi piacciono i ristoranti più dei impiegati.")</f>
        <v>Mi piacciono i ristoranti più dei impiegati.</v>
      </c>
    </row>
    <row r="4429">
      <c r="A4429" s="4">
        <v>4427.0</v>
      </c>
      <c r="B4429" s="5" t="s">
        <v>13288</v>
      </c>
      <c r="C4429" s="4">
        <v>1.0</v>
      </c>
      <c r="D4429" s="5" t="s">
        <v>13289</v>
      </c>
      <c r="E4429" s="5" t="s">
        <v>13290</v>
      </c>
      <c r="F4429" s="6" t="str">
        <f>IFERROR(__xludf.DUMMYFUNCTION("GOOGLETRANSLATE(D4429,""en"",""it"")"),"Mi piacciono i lavoratori più dei ristoranti.")</f>
        <v>Mi piacciono i lavoratori più dei ristoranti.</v>
      </c>
      <c r="G4429" s="6" t="str">
        <f>IFERROR(__xludf.DUMMYFUNCTION("GOOGLETRANSLATE(E4429,""fr"",""it"")"),"Adoro i lavoratori più dei ristoranti.")</f>
        <v>Adoro i lavoratori più dei ristoranti.</v>
      </c>
    </row>
    <row r="4430">
      <c r="A4430" s="4">
        <v>4428.0</v>
      </c>
      <c r="B4430" s="5" t="s">
        <v>13291</v>
      </c>
      <c r="C4430" s="4">
        <v>1.0</v>
      </c>
      <c r="D4430" s="5" t="s">
        <v>13292</v>
      </c>
      <c r="E4430" s="5" t="s">
        <v>13293</v>
      </c>
      <c r="F4430" s="6" t="str">
        <f>IFERROR(__xludf.DUMMYFUNCTION("GOOGLETRANSLATE(D4430,""en"",""it"")"),"Mi piacciono gli impiegati più delle scuole.")</f>
        <v>Mi piacciono gli impiegati più delle scuole.</v>
      </c>
      <c r="G4430" s="6" t="str">
        <f>IFERROR(__xludf.DUMMYFUNCTION("GOOGLETRANSLATE(E4430,""fr"",""it"")"),"Mi piacciono gli impiegati più delle scuole.")</f>
        <v>Mi piacciono gli impiegati più delle scuole.</v>
      </c>
    </row>
    <row r="4431">
      <c r="A4431" s="4">
        <v>4429.0</v>
      </c>
      <c r="B4431" s="5" t="s">
        <v>13294</v>
      </c>
      <c r="C4431" s="4">
        <v>1.0</v>
      </c>
      <c r="D4431" s="5" t="s">
        <v>13295</v>
      </c>
      <c r="E4431" s="5" t="s">
        <v>13296</v>
      </c>
      <c r="F4431" s="6" t="str">
        <f>IFERROR(__xludf.DUMMYFUNCTION("GOOGLETRANSLATE(D4431,""en"",""it"")"),"Mi piacciono le scuole più degli impiegati.")</f>
        <v>Mi piacciono le scuole più degli impiegati.</v>
      </c>
      <c r="G4431" s="6" t="str">
        <f>IFERROR(__xludf.DUMMYFUNCTION("GOOGLETRANSLATE(E4431,""fr"",""it"")"),"Mi piacciono le scuole più degli impiegati.")</f>
        <v>Mi piacciono le scuole più degli impiegati.</v>
      </c>
    </row>
    <row r="4432">
      <c r="A4432" s="4">
        <v>4430.0</v>
      </c>
      <c r="B4432" s="5" t="s">
        <v>13297</v>
      </c>
      <c r="C4432" s="4">
        <v>1.0</v>
      </c>
      <c r="D4432" s="5" t="s">
        <v>13298</v>
      </c>
      <c r="E4432" s="5" t="s">
        <v>13299</v>
      </c>
      <c r="F4432" s="6" t="str">
        <f>IFERROR(__xludf.DUMMYFUNCTION("GOOGLETRANSLATE(D4432,""en"",""it"")"),"Mi piacciono i lavoratori più delle scuole.")</f>
        <v>Mi piacciono i lavoratori più delle scuole.</v>
      </c>
      <c r="G4432" s="6" t="str">
        <f>IFERROR(__xludf.DUMMYFUNCTION("GOOGLETRANSLATE(E4432,""fr"",""it"")"),"Adoro i lavoratori più delle scuole.")</f>
        <v>Adoro i lavoratori più delle scuole.</v>
      </c>
    </row>
    <row r="4433">
      <c r="A4433" s="4">
        <v>4431.0</v>
      </c>
      <c r="B4433" s="5" t="s">
        <v>13300</v>
      </c>
      <c r="C4433" s="4">
        <v>1.0</v>
      </c>
      <c r="D4433" s="5" t="s">
        <v>13301</v>
      </c>
      <c r="E4433" s="5" t="s">
        <v>13302</v>
      </c>
      <c r="F4433" s="6" t="str">
        <f>IFERROR(__xludf.DUMMYFUNCTION("GOOGLETRANSLATE(D4433,""en"",""it"")"),"Mi piacciono gli impiegati più degli uffici.")</f>
        <v>Mi piacciono gli impiegati più degli uffici.</v>
      </c>
      <c r="G4433" s="6" t="str">
        <f>IFERROR(__xludf.DUMMYFUNCTION("GOOGLETRANSLATE(E4433,""fr"",""it"")"),"Mi piacciono gli impiegati più degli uffici.")</f>
        <v>Mi piacciono gli impiegati più degli uffici.</v>
      </c>
    </row>
    <row r="4434">
      <c r="A4434" s="4">
        <v>4432.0</v>
      </c>
      <c r="B4434" s="5" t="s">
        <v>13303</v>
      </c>
      <c r="C4434" s="4">
        <v>1.0</v>
      </c>
      <c r="D4434" s="5" t="s">
        <v>13304</v>
      </c>
      <c r="E4434" s="5" t="s">
        <v>13305</v>
      </c>
      <c r="F4434" s="6" t="str">
        <f>IFERROR(__xludf.DUMMYFUNCTION("GOOGLETRANSLATE(D4434,""en"",""it"")"),"Mi piacciono gli uffici più dei commessi.")</f>
        <v>Mi piacciono gli uffici più dei commessi.</v>
      </c>
      <c r="G4434" s="6" t="str">
        <f>IFERROR(__xludf.DUMMYFUNCTION("GOOGLETRANSLATE(E4434,""fr"",""it"")"),"Adoro gli uffici più dei commessi.")</f>
        <v>Adoro gli uffici più dei commessi.</v>
      </c>
    </row>
    <row r="4435">
      <c r="A4435" s="4">
        <v>4433.0</v>
      </c>
      <c r="B4435" s="5" t="s">
        <v>13306</v>
      </c>
      <c r="C4435" s="4">
        <v>1.0</v>
      </c>
      <c r="D4435" s="5" t="s">
        <v>13307</v>
      </c>
      <c r="E4435" s="5" t="s">
        <v>13308</v>
      </c>
      <c r="F4435" s="6" t="str">
        <f>IFERROR(__xludf.DUMMYFUNCTION("GOOGLETRANSLATE(D4435,""en"",""it"")"),"Mi piacciono i lavoratori più degli uffici.")</f>
        <v>Mi piacciono i lavoratori più degli uffici.</v>
      </c>
      <c r="G4435" s="6" t="str">
        <f>IFERROR(__xludf.DUMMYFUNCTION("GOOGLETRANSLATE(E4435,""fr"",""it"")"),"Adoro i lavoratori più degli uffici.")</f>
        <v>Adoro i lavoratori più degli uffici.</v>
      </c>
    </row>
    <row r="4436">
      <c r="A4436" s="4">
        <v>4434.0</v>
      </c>
      <c r="B4436" s="5" t="s">
        <v>13309</v>
      </c>
      <c r="C4436" s="4">
        <v>1.0</v>
      </c>
      <c r="D4436" s="5" t="s">
        <v>13310</v>
      </c>
      <c r="E4436" s="5" t="s">
        <v>13311</v>
      </c>
      <c r="F4436" s="6" t="str">
        <f>IFERROR(__xludf.DUMMYFUNCTION("GOOGLETRANSLATE(D4436,""en"",""it"")"),"Mi piacciono i camerieri più delle fabbriche.")</f>
        <v>Mi piacciono i camerieri più delle fabbriche.</v>
      </c>
      <c r="G4436" s="6" t="str">
        <f>IFERROR(__xludf.DUMMYFUNCTION("GOOGLETRANSLATE(E4436,""fr"",""it"")"),"Mi piacciono i server più delle fabbriche.")</f>
        <v>Mi piacciono i server più delle fabbriche.</v>
      </c>
    </row>
    <row r="4437">
      <c r="A4437" s="4">
        <v>4435.0</v>
      </c>
      <c r="B4437" s="5" t="s">
        <v>13312</v>
      </c>
      <c r="C4437" s="4">
        <v>1.0</v>
      </c>
      <c r="D4437" s="5" t="s">
        <v>13313</v>
      </c>
      <c r="E4437" s="5" t="s">
        <v>13314</v>
      </c>
      <c r="F4437" s="6" t="str">
        <f>IFERROR(__xludf.DUMMYFUNCTION("GOOGLETRANSLATE(D4437,""en"",""it"")"),"Mi piacciono le fabbriche più dei camerieri.")</f>
        <v>Mi piacciono le fabbriche più dei camerieri.</v>
      </c>
      <c r="G4437" s="6" t="str">
        <f>IFERROR(__xludf.DUMMYFUNCTION("GOOGLETRANSLATE(E4437,""fr"",""it"")"),"Mi piacciono le piante più dei server.")</f>
        <v>Mi piacciono le piante più dei server.</v>
      </c>
    </row>
    <row r="4438">
      <c r="A4438" s="4">
        <v>4436.0</v>
      </c>
      <c r="B4438" s="5" t="s">
        <v>13315</v>
      </c>
      <c r="C4438" s="4">
        <v>0.0</v>
      </c>
      <c r="D4438" s="5" t="s">
        <v>13316</v>
      </c>
      <c r="E4438" s="5" t="s">
        <v>13317</v>
      </c>
      <c r="F4438" s="6" t="str">
        <f>IFERROR(__xludf.DUMMYFUNCTION("GOOGLETRANSLATE(D4438,""en"",""it"")"),"Mi piacciono i camerieri più dei lavoratori.")</f>
        <v>Mi piacciono i camerieri più dei lavoratori.</v>
      </c>
      <c r="G4438" s="6" t="str">
        <f>IFERROR(__xludf.DUMMYFUNCTION("GOOGLETRANSLATE(E4438,""fr"",""it"")"),"Amo i server più dei lavoratori.")</f>
        <v>Amo i server più dei lavoratori.</v>
      </c>
    </row>
    <row r="4439">
      <c r="A4439" s="4">
        <v>4437.0</v>
      </c>
      <c r="B4439" s="5" t="s">
        <v>13318</v>
      </c>
      <c r="C4439" s="4">
        <v>0.0</v>
      </c>
      <c r="D4439" s="5" t="s">
        <v>13319</v>
      </c>
      <c r="E4439" s="5" t="s">
        <v>13320</v>
      </c>
      <c r="F4439" s="6" t="str">
        <f>IFERROR(__xludf.DUMMYFUNCTION("GOOGLETRANSLATE(D4439,""en"",""it"")"),"Mi piacciono i lavoratori più dei camerieri.")</f>
        <v>Mi piacciono i lavoratori più dei camerieri.</v>
      </c>
      <c r="G4439" s="6" t="str">
        <f>IFERROR(__xludf.DUMMYFUNCTION("GOOGLETRANSLATE(E4439,""fr"",""it"")"),"Mi piacciono i lavoratori più dei server.")</f>
        <v>Mi piacciono i lavoratori più dei server.</v>
      </c>
    </row>
    <row r="4440">
      <c r="A4440" s="4">
        <v>4438.0</v>
      </c>
      <c r="B4440" s="5" t="s">
        <v>13321</v>
      </c>
      <c r="C4440" s="4">
        <v>1.0</v>
      </c>
      <c r="D4440" s="5" t="s">
        <v>13322</v>
      </c>
      <c r="E4440" s="5" t="s">
        <v>13323</v>
      </c>
      <c r="F4440" s="6" t="str">
        <f>IFERROR(__xludf.DUMMYFUNCTION("GOOGLETRANSLATE(D4440,""en"",""it"")"),"Mi piacciono i camerieri più dei ristoranti.")</f>
        <v>Mi piacciono i camerieri più dei ristoranti.</v>
      </c>
      <c r="G4440" s="6" t="str">
        <f>IFERROR(__xludf.DUMMYFUNCTION("GOOGLETRANSLATE(E4440,""fr"",""it"")"),"Mi piacciono i server più dei ristoranti.")</f>
        <v>Mi piacciono i server più dei ristoranti.</v>
      </c>
    </row>
    <row r="4441">
      <c r="A4441" s="4">
        <v>4439.0</v>
      </c>
      <c r="B4441" s="5" t="s">
        <v>13324</v>
      </c>
      <c r="C4441" s="4">
        <v>1.0</v>
      </c>
      <c r="D4441" s="5" t="s">
        <v>13325</v>
      </c>
      <c r="E4441" s="5" t="s">
        <v>13326</v>
      </c>
      <c r="F4441" s="6" t="str">
        <f>IFERROR(__xludf.DUMMYFUNCTION("GOOGLETRANSLATE(D4441,""en"",""it"")"),"Mi piacciono i ristoranti più dei camerieri.")</f>
        <v>Mi piacciono i ristoranti più dei camerieri.</v>
      </c>
      <c r="G4441" s="6" t="str">
        <f>IFERROR(__xludf.DUMMYFUNCTION("GOOGLETRANSLATE(E4441,""fr"",""it"")"),"Mi piacciono i ristoranti più dei server.")</f>
        <v>Mi piacciono i ristoranti più dei server.</v>
      </c>
    </row>
    <row r="4442">
      <c r="A4442" s="4">
        <v>4440.0</v>
      </c>
      <c r="B4442" s="5" t="s">
        <v>13327</v>
      </c>
      <c r="C4442" s="4">
        <v>1.0</v>
      </c>
      <c r="D4442" s="5" t="s">
        <v>13328</v>
      </c>
      <c r="E4442" s="5" t="s">
        <v>13329</v>
      </c>
      <c r="F4442" s="6" t="str">
        <f>IFERROR(__xludf.DUMMYFUNCTION("GOOGLETRANSLATE(D4442,""en"",""it"")"),"Mi piacciono i camerieri più delle scuole.")</f>
        <v>Mi piacciono i camerieri più delle scuole.</v>
      </c>
      <c r="G4442" s="6" t="str">
        <f>IFERROR(__xludf.DUMMYFUNCTION("GOOGLETRANSLATE(E4442,""fr"",""it"")"),"Mi piacciono i server più delle scuole.")</f>
        <v>Mi piacciono i server più delle scuole.</v>
      </c>
    </row>
    <row r="4443">
      <c r="A4443" s="4">
        <v>4441.0</v>
      </c>
      <c r="B4443" s="5" t="s">
        <v>13330</v>
      </c>
      <c r="C4443" s="4">
        <v>1.0</v>
      </c>
      <c r="D4443" s="5" t="s">
        <v>13331</v>
      </c>
      <c r="E4443" s="5" t="s">
        <v>13332</v>
      </c>
      <c r="F4443" s="6" t="str">
        <f>IFERROR(__xludf.DUMMYFUNCTION("GOOGLETRANSLATE(D4443,""en"",""it"")"),"Mi piacciono le scuole più dei camerieri.")</f>
        <v>Mi piacciono le scuole più dei camerieri.</v>
      </c>
      <c r="G4443" s="6" t="str">
        <f>IFERROR(__xludf.DUMMYFUNCTION("GOOGLETRANSLATE(E4443,""fr"",""it"")"),"Mi piacciono le scuole più dei server.")</f>
        <v>Mi piacciono le scuole più dei server.</v>
      </c>
    </row>
    <row r="4444">
      <c r="A4444" s="4">
        <v>4442.0</v>
      </c>
      <c r="B4444" s="5" t="s">
        <v>13333</v>
      </c>
      <c r="C4444" s="4">
        <v>1.0</v>
      </c>
      <c r="D4444" s="5" t="s">
        <v>13334</v>
      </c>
      <c r="E4444" s="5" t="s">
        <v>13335</v>
      </c>
      <c r="F4444" s="6" t="str">
        <f>IFERROR(__xludf.DUMMYFUNCTION("GOOGLETRANSLATE(D4444,""en"",""it"")"),"Mi piacciono i camerieri più degli uffici.")</f>
        <v>Mi piacciono i camerieri più degli uffici.</v>
      </c>
      <c r="G4444" s="6" t="str">
        <f>IFERROR(__xludf.DUMMYFUNCTION("GOOGLETRANSLATE(E4444,""fr"",""it"")"),"Mi piacciono i server più degli uffici.")</f>
        <v>Mi piacciono i server più degli uffici.</v>
      </c>
    </row>
    <row r="4445">
      <c r="A4445" s="4">
        <v>4443.0</v>
      </c>
      <c r="B4445" s="5" t="s">
        <v>13336</v>
      </c>
      <c r="C4445" s="4">
        <v>1.0</v>
      </c>
      <c r="D4445" s="5" t="s">
        <v>13337</v>
      </c>
      <c r="E4445" s="5" t="s">
        <v>13338</v>
      </c>
      <c r="F4445" s="6" t="str">
        <f>IFERROR(__xludf.DUMMYFUNCTION("GOOGLETRANSLATE(D4445,""en"",""it"")"),"Mi piacciono gli uffici più dei camerieri.")</f>
        <v>Mi piacciono gli uffici più dei camerieri.</v>
      </c>
      <c r="G4445" s="6" t="str">
        <f>IFERROR(__xludf.DUMMYFUNCTION("GOOGLETRANSLATE(E4445,""fr"",""it"")"),"Mi piacciono gli uffici più dei camerieri.")</f>
        <v>Mi piacciono gli uffici più dei camerieri.</v>
      </c>
    </row>
    <row r="4446">
      <c r="A4446" s="4">
        <v>4444.0</v>
      </c>
      <c r="B4446" s="5" t="s">
        <v>13339</v>
      </c>
      <c r="C4446" s="4">
        <v>1.0</v>
      </c>
      <c r="D4446" s="5" t="s">
        <v>13340</v>
      </c>
      <c r="E4446" s="5" t="s">
        <v>13341</v>
      </c>
      <c r="F4446" s="6" t="str">
        <f>IFERROR(__xludf.DUMMYFUNCTION("GOOGLETRANSLATE(D4446,""en"",""it"")"),"Mi piacciono i custodi più delle fabbriche.")</f>
        <v>Mi piacciono i custodi più delle fabbriche.</v>
      </c>
      <c r="G4446" s="6" t="str">
        <f>IFERROR(__xludf.DUMMYFUNCTION("GOOGLETRANSLATE(E4446,""fr"",""it"")"),"Mi piacciono i guardiani più delle fabbriche.")</f>
        <v>Mi piacciono i guardiani più delle fabbriche.</v>
      </c>
    </row>
    <row r="4447">
      <c r="A4447" s="4">
        <v>4445.0</v>
      </c>
      <c r="B4447" s="5" t="s">
        <v>13342</v>
      </c>
      <c r="C4447" s="4">
        <v>1.0</v>
      </c>
      <c r="D4447" s="5" t="s">
        <v>13343</v>
      </c>
      <c r="E4447" s="5" t="s">
        <v>13344</v>
      </c>
      <c r="F4447" s="6" t="str">
        <f>IFERROR(__xludf.DUMMYFUNCTION("GOOGLETRANSLATE(D4447,""en"",""it"")"),"Mi piacciono le fabbriche più dei custodi.")</f>
        <v>Mi piacciono le fabbriche più dei custodi.</v>
      </c>
      <c r="G4447" s="6" t="str">
        <f>IFERROR(__xludf.DUMMYFUNCTION("GOOGLETRANSLATE(E4447,""fr"",""it"")"),"Amo le fabbriche più delle guardie.")</f>
        <v>Amo le fabbriche più delle guardie.</v>
      </c>
    </row>
    <row r="4448">
      <c r="A4448" s="4">
        <v>4446.0</v>
      </c>
      <c r="B4448" s="5" t="s">
        <v>13345</v>
      </c>
      <c r="C4448" s="4">
        <v>0.0</v>
      </c>
      <c r="D4448" s="5" t="s">
        <v>13346</v>
      </c>
      <c r="E4448" s="5" t="s">
        <v>13347</v>
      </c>
      <c r="F4448" s="6" t="str">
        <f>IFERROR(__xludf.DUMMYFUNCTION("GOOGLETRANSLATE(D4448,""en"",""it"")"),"Mi piacciono i custodi più dei lavoratori.")</f>
        <v>Mi piacciono i custodi più dei lavoratori.</v>
      </c>
      <c r="G4448" s="6" t="str">
        <f>IFERROR(__xludf.DUMMYFUNCTION("GOOGLETRANSLATE(E4448,""fr"",""it"")"),"Mi piacciono i guardiani più dei lavoratori.")</f>
        <v>Mi piacciono i guardiani più dei lavoratori.</v>
      </c>
    </row>
    <row r="4449">
      <c r="A4449" s="4">
        <v>4447.0</v>
      </c>
      <c r="B4449" s="5" t="s">
        <v>13348</v>
      </c>
      <c r="C4449" s="4">
        <v>0.0</v>
      </c>
      <c r="D4449" s="5" t="s">
        <v>13349</v>
      </c>
      <c r="E4449" s="5" t="s">
        <v>13350</v>
      </c>
      <c r="F4449" s="6" t="str">
        <f>IFERROR(__xludf.DUMMYFUNCTION("GOOGLETRANSLATE(D4449,""en"",""it"")"),"Mi piacciono i lavoratori più dei custodi.")</f>
        <v>Mi piacciono i lavoratori più dei custodi.</v>
      </c>
      <c r="G4449" s="6" t="str">
        <f>IFERROR(__xludf.DUMMYFUNCTION("GOOGLETRANSLATE(E4449,""fr"",""it"")"),"Adoro i lavoratori più delle guardie.")</f>
        <v>Adoro i lavoratori più delle guardie.</v>
      </c>
    </row>
    <row r="4450">
      <c r="A4450" s="4">
        <v>4448.0</v>
      </c>
      <c r="B4450" s="5" t="s">
        <v>13351</v>
      </c>
      <c r="C4450" s="4">
        <v>1.0</v>
      </c>
      <c r="D4450" s="5" t="s">
        <v>13352</v>
      </c>
      <c r="E4450" s="5" t="s">
        <v>13353</v>
      </c>
      <c r="F4450" s="6" t="str">
        <f>IFERROR(__xludf.DUMMYFUNCTION("GOOGLETRANSLATE(D4450,""en"",""it"")"),"Mi piacciono i custodi più dei ristoranti.")</f>
        <v>Mi piacciono i custodi più dei ristoranti.</v>
      </c>
      <c r="G4450" s="6" t="str">
        <f>IFERROR(__xludf.DUMMYFUNCTION("GOOGLETRANSLATE(E4450,""fr"",""it"")"),"Mi piacciono i guardiani più dei ristoranti.")</f>
        <v>Mi piacciono i guardiani più dei ristoranti.</v>
      </c>
    </row>
    <row r="4451">
      <c r="A4451" s="4">
        <v>4449.0</v>
      </c>
      <c r="B4451" s="5" t="s">
        <v>13354</v>
      </c>
      <c r="C4451" s="4">
        <v>1.0</v>
      </c>
      <c r="D4451" s="5" t="s">
        <v>13355</v>
      </c>
      <c r="E4451" s="5" t="s">
        <v>13356</v>
      </c>
      <c r="F4451" s="6" t="str">
        <f>IFERROR(__xludf.DUMMYFUNCTION("GOOGLETRANSLATE(D4451,""en"",""it"")"),"Mi piacciono i ristoranti più dei custodi.")</f>
        <v>Mi piacciono i ristoranti più dei custodi.</v>
      </c>
      <c r="G4451" s="6" t="str">
        <f>IFERROR(__xludf.DUMMYFUNCTION("GOOGLETRANSLATE(E4451,""fr"",""it"")"),"Mi piacciono i ristoranti più delle guardie.")</f>
        <v>Mi piacciono i ristoranti più delle guardie.</v>
      </c>
    </row>
    <row r="4452">
      <c r="A4452" s="4">
        <v>4450.0</v>
      </c>
      <c r="B4452" s="5" t="s">
        <v>13357</v>
      </c>
      <c r="C4452" s="4">
        <v>1.0</v>
      </c>
      <c r="D4452" s="5" t="s">
        <v>13358</v>
      </c>
      <c r="E4452" s="5" t="s">
        <v>13359</v>
      </c>
      <c r="F4452" s="6" t="str">
        <f>IFERROR(__xludf.DUMMYFUNCTION("GOOGLETRANSLATE(D4452,""en"",""it"")"),"Mi piacciono i custodi più delle scuole.")</f>
        <v>Mi piacciono i custodi più delle scuole.</v>
      </c>
      <c r="G4452" s="6" t="str">
        <f>IFERROR(__xludf.DUMMYFUNCTION("GOOGLETRANSLATE(E4452,""fr"",""it"")"),"Amo le guardie più delle scuole.")</f>
        <v>Amo le guardie più delle scuole.</v>
      </c>
    </row>
    <row r="4453">
      <c r="A4453" s="4">
        <v>4451.0</v>
      </c>
      <c r="B4453" s="5" t="s">
        <v>13360</v>
      </c>
      <c r="C4453" s="4">
        <v>1.0</v>
      </c>
      <c r="D4453" s="5" t="s">
        <v>13361</v>
      </c>
      <c r="E4453" s="5" t="s">
        <v>13362</v>
      </c>
      <c r="F4453" s="6" t="str">
        <f>IFERROR(__xludf.DUMMYFUNCTION("GOOGLETRANSLATE(D4453,""en"",""it"")"),"Mi piacciono le scuole più dei custodi.")</f>
        <v>Mi piacciono le scuole più dei custodi.</v>
      </c>
      <c r="G4453" s="6" t="str">
        <f>IFERROR(__xludf.DUMMYFUNCTION("GOOGLETRANSLATE(E4453,""fr"",""it"")"),"Mi piacciono le scuole più delle guardie.")</f>
        <v>Mi piacciono le scuole più delle guardie.</v>
      </c>
    </row>
    <row r="4454">
      <c r="A4454" s="4">
        <v>4452.0</v>
      </c>
      <c r="B4454" s="5" t="s">
        <v>13363</v>
      </c>
      <c r="C4454" s="4">
        <v>1.0</v>
      </c>
      <c r="D4454" s="5" t="s">
        <v>13364</v>
      </c>
      <c r="E4454" s="5" t="s">
        <v>13365</v>
      </c>
      <c r="F4454" s="6" t="str">
        <f>IFERROR(__xludf.DUMMYFUNCTION("GOOGLETRANSLATE(D4454,""en"",""it"")"),"Mi piacciono i custodi più degli uffici.")</f>
        <v>Mi piacciono i custodi più degli uffici.</v>
      </c>
      <c r="G4454" s="6" t="str">
        <f>IFERROR(__xludf.DUMMYFUNCTION("GOOGLETRANSLATE(E4454,""fr"",""it"")"),"Mi piacciono i guardiani più degli uffici.")</f>
        <v>Mi piacciono i guardiani più degli uffici.</v>
      </c>
    </row>
    <row r="4455">
      <c r="A4455" s="4">
        <v>4453.0</v>
      </c>
      <c r="B4455" s="5" t="s">
        <v>13366</v>
      </c>
      <c r="C4455" s="4">
        <v>1.0</v>
      </c>
      <c r="D4455" s="5" t="s">
        <v>13367</v>
      </c>
      <c r="E4455" s="5" t="s">
        <v>13368</v>
      </c>
      <c r="F4455" s="6" t="str">
        <f>IFERROR(__xludf.DUMMYFUNCTION("GOOGLETRANSLATE(D4455,""en"",""it"")"),"Mi piacciono gli uffici più dei custodi.")</f>
        <v>Mi piacciono gli uffici più dei custodi.</v>
      </c>
      <c r="G4455" s="6" t="str">
        <f>IFERROR(__xludf.DUMMYFUNCTION("GOOGLETRANSLATE(E4455,""fr"",""it"")"),"Adoro gli uffici più delle guardie.")</f>
        <v>Adoro gli uffici più delle guardie.</v>
      </c>
    </row>
    <row r="4456">
      <c r="A4456" s="4">
        <v>4454.0</v>
      </c>
      <c r="B4456" s="5" t="s">
        <v>13369</v>
      </c>
      <c r="C4456" s="4">
        <v>1.0</v>
      </c>
      <c r="D4456" s="5" t="s">
        <v>13370</v>
      </c>
      <c r="E4456" s="5" t="s">
        <v>13371</v>
      </c>
      <c r="F4456" s="6" t="str">
        <f>IFERROR(__xludf.DUMMYFUNCTION("GOOGLETRANSLATE(D4456,""en"",""it"")"),"Mi piacciono i professori più delle fabbriche.")</f>
        <v>Mi piacciono i professori più delle fabbriche.</v>
      </c>
      <c r="G4456" s="6" t="str">
        <f>IFERROR(__xludf.DUMMYFUNCTION("GOOGLETRANSLATE(E4456,""fr"",""it"")"),"Amo gli insegnanti più delle fabbriche.")</f>
        <v>Amo gli insegnanti più delle fabbriche.</v>
      </c>
    </row>
    <row r="4457">
      <c r="A4457" s="4">
        <v>4455.0</v>
      </c>
      <c r="B4457" s="5" t="s">
        <v>13372</v>
      </c>
      <c r="C4457" s="4">
        <v>1.0</v>
      </c>
      <c r="D4457" s="5" t="s">
        <v>13373</v>
      </c>
      <c r="E4457" s="5" t="s">
        <v>13374</v>
      </c>
      <c r="F4457" s="6" t="str">
        <f>IFERROR(__xludf.DUMMYFUNCTION("GOOGLETRANSLATE(D4457,""en"",""it"")"),"Mi piacciono le fabbriche più dei professori.")</f>
        <v>Mi piacciono le fabbriche più dei professori.</v>
      </c>
      <c r="G4457" s="6" t="str">
        <f>IFERROR(__xludf.DUMMYFUNCTION("GOOGLETRANSLATE(E4457,""fr"",""it"")"),"Mi piacciono le fabbriche più degli insegnanti.")</f>
        <v>Mi piacciono le fabbriche più degli insegnanti.</v>
      </c>
    </row>
    <row r="4458">
      <c r="A4458" s="4">
        <v>4456.0</v>
      </c>
      <c r="B4458" s="5" t="s">
        <v>13375</v>
      </c>
      <c r="C4458" s="4">
        <v>0.0</v>
      </c>
      <c r="D4458" s="5" t="s">
        <v>13376</v>
      </c>
      <c r="E4458" s="5" t="s">
        <v>13377</v>
      </c>
      <c r="F4458" s="6" t="str">
        <f>IFERROR(__xludf.DUMMYFUNCTION("GOOGLETRANSLATE(D4458,""en"",""it"")"),"Mi piacciono i professori più dei lavoratori.")</f>
        <v>Mi piacciono i professori più dei lavoratori.</v>
      </c>
      <c r="G4458" s="6" t="str">
        <f>IFERROR(__xludf.DUMMYFUNCTION("GOOGLETRANSLATE(E4458,""fr"",""it"")"),"Amo gli insegnanti più dei lavoratori.")</f>
        <v>Amo gli insegnanti più dei lavoratori.</v>
      </c>
    </row>
    <row r="4459">
      <c r="A4459" s="4">
        <v>4457.0</v>
      </c>
      <c r="B4459" s="5" t="s">
        <v>13378</v>
      </c>
      <c r="C4459" s="4">
        <v>0.0</v>
      </c>
      <c r="D4459" s="5" t="s">
        <v>13379</v>
      </c>
      <c r="E4459" s="5" t="s">
        <v>13380</v>
      </c>
      <c r="F4459" s="6" t="str">
        <f>IFERROR(__xludf.DUMMYFUNCTION("GOOGLETRANSLATE(D4459,""en"",""it"")"),"Mi piacciono i lavoratori più dei professori.")</f>
        <v>Mi piacciono i lavoratori più dei professori.</v>
      </c>
      <c r="G4459" s="6" t="str">
        <f>IFERROR(__xludf.DUMMYFUNCTION("GOOGLETRANSLATE(E4459,""fr"",""it"")"),"Adoro i lavoratori più degli insegnanti.")</f>
        <v>Adoro i lavoratori più degli insegnanti.</v>
      </c>
    </row>
    <row r="4460">
      <c r="A4460" s="4">
        <v>4458.0</v>
      </c>
      <c r="B4460" s="5" t="s">
        <v>13381</v>
      </c>
      <c r="C4460" s="4">
        <v>1.0</v>
      </c>
      <c r="D4460" s="5" t="s">
        <v>13382</v>
      </c>
      <c r="E4460" s="5" t="s">
        <v>13383</v>
      </c>
      <c r="F4460" s="6" t="str">
        <f>IFERROR(__xludf.DUMMYFUNCTION("GOOGLETRANSLATE(D4460,""en"",""it"")"),"Mi piacciono i professori più dei ristoranti.")</f>
        <v>Mi piacciono i professori più dei ristoranti.</v>
      </c>
      <c r="G4460" s="6" t="str">
        <f>IFERROR(__xludf.DUMMYFUNCTION("GOOGLETRANSLATE(E4460,""fr"",""it"")"),"Amo gli insegnanti più dei ristoranti.")</f>
        <v>Amo gli insegnanti più dei ristoranti.</v>
      </c>
    </row>
    <row r="4461">
      <c r="A4461" s="4">
        <v>4459.0</v>
      </c>
      <c r="B4461" s="5" t="s">
        <v>13384</v>
      </c>
      <c r="C4461" s="4">
        <v>1.0</v>
      </c>
      <c r="D4461" s="5" t="s">
        <v>13385</v>
      </c>
      <c r="E4461" s="5" t="s">
        <v>13386</v>
      </c>
      <c r="F4461" s="6" t="str">
        <f>IFERROR(__xludf.DUMMYFUNCTION("GOOGLETRANSLATE(D4461,""en"",""it"")"),"Mi piacciono i ristoranti più dei professori.")</f>
        <v>Mi piacciono i ristoranti più dei professori.</v>
      </c>
      <c r="G4461" s="6" t="str">
        <f>IFERROR(__xludf.DUMMYFUNCTION("GOOGLETRANSLATE(E4461,""fr"",""it"")"),"Mi piacciono i ristoranti più degli insegnanti.")</f>
        <v>Mi piacciono i ristoranti più degli insegnanti.</v>
      </c>
    </row>
    <row r="4462">
      <c r="A4462" s="4">
        <v>4460.0</v>
      </c>
      <c r="B4462" s="5" t="s">
        <v>13387</v>
      </c>
      <c r="C4462" s="4">
        <v>1.0</v>
      </c>
      <c r="D4462" s="5" t="s">
        <v>13388</v>
      </c>
      <c r="E4462" s="5" t="s">
        <v>13389</v>
      </c>
      <c r="F4462" s="6" t="str">
        <f>IFERROR(__xludf.DUMMYFUNCTION("GOOGLETRANSLATE(D4462,""en"",""it"")"),"Mi piacciono i professori più delle scuole.")</f>
        <v>Mi piacciono i professori più delle scuole.</v>
      </c>
      <c r="G4462" s="6" t="str">
        <f>IFERROR(__xludf.DUMMYFUNCTION("GOOGLETRANSLATE(E4462,""fr"",""it"")"),"Mi piacciono gli insegnanti più delle scuole.")</f>
        <v>Mi piacciono gli insegnanti più delle scuole.</v>
      </c>
    </row>
    <row r="4463">
      <c r="A4463" s="4">
        <v>4461.0</v>
      </c>
      <c r="B4463" s="5" t="s">
        <v>13390</v>
      </c>
      <c r="C4463" s="4">
        <v>1.0</v>
      </c>
      <c r="D4463" s="5" t="s">
        <v>13391</v>
      </c>
      <c r="E4463" s="5" t="s">
        <v>13392</v>
      </c>
      <c r="F4463" s="6" t="str">
        <f>IFERROR(__xludf.DUMMYFUNCTION("GOOGLETRANSLATE(D4463,""en"",""it"")"),"Mi piacciono le scuole più dei professori.")</f>
        <v>Mi piacciono le scuole più dei professori.</v>
      </c>
      <c r="G4463" s="6" t="str">
        <f>IFERROR(__xludf.DUMMYFUNCTION("GOOGLETRANSLATE(E4463,""fr"",""it"")"),"Mi piacciono le scuole più degli insegnanti.")</f>
        <v>Mi piacciono le scuole più degli insegnanti.</v>
      </c>
    </row>
    <row r="4464">
      <c r="A4464" s="4">
        <v>4462.0</v>
      </c>
      <c r="B4464" s="5" t="s">
        <v>13393</v>
      </c>
      <c r="C4464" s="4">
        <v>1.0</v>
      </c>
      <c r="D4464" s="5" t="s">
        <v>13394</v>
      </c>
      <c r="E4464" s="5" t="s">
        <v>13395</v>
      </c>
      <c r="F4464" s="6" t="str">
        <f>IFERROR(__xludf.DUMMYFUNCTION("GOOGLETRANSLATE(D4464,""en"",""it"")"),"Mi piacciono i professori più degli uffici.")</f>
        <v>Mi piacciono i professori più degli uffici.</v>
      </c>
      <c r="G4464" s="6" t="str">
        <f>IFERROR(__xludf.DUMMYFUNCTION("GOOGLETRANSLATE(E4464,""fr"",""it"")"),"Amo gli insegnanti più degli uffici.")</f>
        <v>Amo gli insegnanti più degli uffici.</v>
      </c>
    </row>
    <row r="4465">
      <c r="A4465" s="4">
        <v>4463.0</v>
      </c>
      <c r="B4465" s="5" t="s">
        <v>13396</v>
      </c>
      <c r="C4465" s="4">
        <v>1.0</v>
      </c>
      <c r="D4465" s="5" t="s">
        <v>13397</v>
      </c>
      <c r="E4465" s="5" t="s">
        <v>13398</v>
      </c>
      <c r="F4465" s="6" t="str">
        <f>IFERROR(__xludf.DUMMYFUNCTION("GOOGLETRANSLATE(D4465,""en"",""it"")"),"Mi piacciono gli uffici più dei professori.")</f>
        <v>Mi piacciono gli uffici più dei professori.</v>
      </c>
      <c r="G4465" s="6" t="str">
        <f>IFERROR(__xludf.DUMMYFUNCTION("GOOGLETRANSLATE(E4465,""fr"",""it"")"),"Adoro gli uffici più degli insegnanti.")</f>
        <v>Adoro gli uffici più degli insegnanti.</v>
      </c>
    </row>
    <row r="4466">
      <c r="A4466" s="4">
        <v>4464.0</v>
      </c>
      <c r="B4466" s="5" t="s">
        <v>13399</v>
      </c>
      <c r="C4466" s="4">
        <v>1.0</v>
      </c>
      <c r="D4466" s="5" t="s">
        <v>13400</v>
      </c>
      <c r="E4466" s="5" t="s">
        <v>13401</v>
      </c>
      <c r="F4466" s="6" t="str">
        <f>IFERROR(__xludf.DUMMYFUNCTION("GOOGLETRANSLATE(D4466,""en"",""it"")"),"Mi piacciono i biologi più dei impiegati.")</f>
        <v>Mi piacciono i biologi più dei impiegati.</v>
      </c>
      <c r="G4466" s="6" t="str">
        <f>IFERROR(__xludf.DUMMYFUNCTION("GOOGLETRANSLATE(E4466,""fr"",""it"")"),"Mi piacciono i biologi più dei impiegati.")</f>
        <v>Mi piacciono i biologi più dei impiegati.</v>
      </c>
    </row>
    <row r="4467">
      <c r="A4467" s="4">
        <v>4465.0</v>
      </c>
      <c r="B4467" s="5" t="s">
        <v>13402</v>
      </c>
      <c r="C4467" s="4">
        <v>1.0</v>
      </c>
      <c r="D4467" s="5" t="s">
        <v>13403</v>
      </c>
      <c r="E4467" s="5" t="s">
        <v>13404</v>
      </c>
      <c r="F4467" s="6" t="str">
        <f>IFERROR(__xludf.DUMMYFUNCTION("GOOGLETRANSLATE(D4467,""en"",""it"")"),"Mi piacciono gli impiegati più dei biologi.")</f>
        <v>Mi piacciono gli impiegati più dei biologi.</v>
      </c>
      <c r="G4467" s="6" t="str">
        <f>IFERROR(__xludf.DUMMYFUNCTION("GOOGLETRANSLATE(E4467,""fr"",""it"")"),"Mi piacciono gli impiegati più dei biologi.")</f>
        <v>Mi piacciono gli impiegati più dei biologi.</v>
      </c>
    </row>
    <row r="4468">
      <c r="A4468" s="4">
        <v>4466.0</v>
      </c>
      <c r="B4468" s="5" t="s">
        <v>13405</v>
      </c>
      <c r="C4468" s="4">
        <v>0.0</v>
      </c>
      <c r="D4468" s="5" t="s">
        <v>13406</v>
      </c>
      <c r="E4468" s="5" t="s">
        <v>13407</v>
      </c>
      <c r="F4468" s="6" t="str">
        <f>IFERROR(__xludf.DUMMYFUNCTION("GOOGLETRANSLATE(D4468,""en"",""it"")"),"Mi piacciono i biologi più degli scienziati.")</f>
        <v>Mi piacciono i biologi più degli scienziati.</v>
      </c>
      <c r="G4468" s="6" t="str">
        <f>IFERROR(__xludf.DUMMYFUNCTION("GOOGLETRANSLATE(E4468,""fr"",""it"")"),"Mi piacciono i biologi più degli scienziati.")</f>
        <v>Mi piacciono i biologi più degli scienziati.</v>
      </c>
    </row>
    <row r="4469">
      <c r="A4469" s="4">
        <v>4467.0</v>
      </c>
      <c r="B4469" s="5" t="s">
        <v>13408</v>
      </c>
      <c r="C4469" s="4">
        <v>0.0</v>
      </c>
      <c r="D4469" s="5" t="s">
        <v>13409</v>
      </c>
      <c r="E4469" s="5" t="s">
        <v>13410</v>
      </c>
      <c r="F4469" s="6" t="str">
        <f>IFERROR(__xludf.DUMMYFUNCTION("GOOGLETRANSLATE(D4469,""en"",""it"")"),"Mi piacciono gli scienziati più dei biologi.")</f>
        <v>Mi piacciono gli scienziati più dei biologi.</v>
      </c>
      <c r="G4469" s="6" t="str">
        <f>IFERROR(__xludf.DUMMYFUNCTION("GOOGLETRANSLATE(E4469,""fr"",""it"")"),"Mi piacciono gli scienziati più dei biologi.")</f>
        <v>Mi piacciono gli scienziati più dei biologi.</v>
      </c>
    </row>
    <row r="4470">
      <c r="A4470" s="4">
        <v>4468.0</v>
      </c>
      <c r="B4470" s="5" t="s">
        <v>13411</v>
      </c>
      <c r="C4470" s="4">
        <v>1.0</v>
      </c>
      <c r="D4470" s="5" t="s">
        <v>13412</v>
      </c>
      <c r="E4470" s="5" t="s">
        <v>13413</v>
      </c>
      <c r="F4470" s="6" t="str">
        <f>IFERROR(__xludf.DUMMYFUNCTION("GOOGLETRANSLATE(D4470,""en"",""it"")"),"Mi piacciono gli scienziati più dei commessi.")</f>
        <v>Mi piacciono gli scienziati più dei commessi.</v>
      </c>
      <c r="G4470" s="6" t="str">
        <f>IFERROR(__xludf.DUMMYFUNCTION("GOOGLETRANSLATE(E4470,""fr"",""it"")"),"Mi piacciono gli scienziati più dei commessi.")</f>
        <v>Mi piacciono gli scienziati più dei commessi.</v>
      </c>
    </row>
    <row r="4471">
      <c r="A4471" s="4">
        <v>4469.0</v>
      </c>
      <c r="B4471" s="5" t="s">
        <v>13414</v>
      </c>
      <c r="C4471" s="4">
        <v>1.0</v>
      </c>
      <c r="D4471" s="5" t="s">
        <v>13415</v>
      </c>
      <c r="E4471" s="5" t="s">
        <v>13416</v>
      </c>
      <c r="F4471" s="6" t="str">
        <f>IFERROR(__xludf.DUMMYFUNCTION("GOOGLETRANSLATE(D4471,""en"",""it"")"),"Mi piacciono i biologi più dei camerieri.")</f>
        <v>Mi piacciono i biologi più dei camerieri.</v>
      </c>
      <c r="G4471" s="6" t="str">
        <f>IFERROR(__xludf.DUMMYFUNCTION("GOOGLETRANSLATE(E4471,""fr"",""it"")"),"Mi piacciono i biologi più dei camerieri.")</f>
        <v>Mi piacciono i biologi più dei camerieri.</v>
      </c>
    </row>
    <row r="4472">
      <c r="A4472" s="4">
        <v>4470.0</v>
      </c>
      <c r="B4472" s="5" t="s">
        <v>13417</v>
      </c>
      <c r="C4472" s="4">
        <v>1.0</v>
      </c>
      <c r="D4472" s="5" t="s">
        <v>13418</v>
      </c>
      <c r="E4472" s="5" t="s">
        <v>13419</v>
      </c>
      <c r="F4472" s="6" t="str">
        <f>IFERROR(__xludf.DUMMYFUNCTION("GOOGLETRANSLATE(D4472,""en"",""it"")"),"Mi piacciono i camerieri più dei biologi.")</f>
        <v>Mi piacciono i camerieri più dei biologi.</v>
      </c>
      <c r="G4472" s="6" t="str">
        <f>IFERROR(__xludf.DUMMYFUNCTION("GOOGLETRANSLATE(E4472,""fr"",""it"")"),"Mi piacciono i server più dei biologi.")</f>
        <v>Mi piacciono i server più dei biologi.</v>
      </c>
    </row>
    <row r="4473">
      <c r="A4473" s="4">
        <v>4471.0</v>
      </c>
      <c r="B4473" s="5" t="s">
        <v>13420</v>
      </c>
      <c r="C4473" s="4">
        <v>1.0</v>
      </c>
      <c r="D4473" s="5" t="s">
        <v>13421</v>
      </c>
      <c r="E4473" s="5" t="s">
        <v>13422</v>
      </c>
      <c r="F4473" s="6" t="str">
        <f>IFERROR(__xludf.DUMMYFUNCTION("GOOGLETRANSLATE(D4473,""en"",""it"")"),"Mi piacciono gli scienziati più dei camerieri.")</f>
        <v>Mi piacciono gli scienziati più dei camerieri.</v>
      </c>
      <c r="G4473" s="6" t="str">
        <f>IFERROR(__xludf.DUMMYFUNCTION("GOOGLETRANSLATE(E4473,""fr"",""it"")"),"Mi piacciono gli scienziati più dei server.")</f>
        <v>Mi piacciono gli scienziati più dei server.</v>
      </c>
    </row>
    <row r="4474">
      <c r="A4474" s="4">
        <v>4472.0</v>
      </c>
      <c r="B4474" s="5" t="s">
        <v>13423</v>
      </c>
      <c r="C4474" s="4">
        <v>1.0</v>
      </c>
      <c r="D4474" s="5" t="s">
        <v>13424</v>
      </c>
      <c r="E4474" s="5" t="s">
        <v>13425</v>
      </c>
      <c r="F4474" s="6" t="str">
        <f>IFERROR(__xludf.DUMMYFUNCTION("GOOGLETRANSLATE(D4474,""en"",""it"")"),"Mi piacciono i biologi più dei custodi.")</f>
        <v>Mi piacciono i biologi più dei custodi.</v>
      </c>
      <c r="G4474" s="6" t="str">
        <f>IFERROR(__xludf.DUMMYFUNCTION("GOOGLETRANSLATE(E4474,""fr"",""it"")"),"Adoro i biologi più delle guardie.")</f>
        <v>Adoro i biologi più delle guardie.</v>
      </c>
    </row>
    <row r="4475">
      <c r="A4475" s="4">
        <v>4473.0</v>
      </c>
      <c r="B4475" s="5" t="s">
        <v>13426</v>
      </c>
      <c r="C4475" s="4">
        <v>1.0</v>
      </c>
      <c r="D4475" s="5" t="s">
        <v>13427</v>
      </c>
      <c r="E4475" s="5" t="s">
        <v>13428</v>
      </c>
      <c r="F4475" s="6" t="str">
        <f>IFERROR(__xludf.DUMMYFUNCTION("GOOGLETRANSLATE(D4475,""en"",""it"")"),"Mi piacciono i custodi più dei biologi.")</f>
        <v>Mi piacciono i custodi più dei biologi.</v>
      </c>
      <c r="G4475" s="6" t="str">
        <f>IFERROR(__xludf.DUMMYFUNCTION("GOOGLETRANSLATE(E4475,""fr"",""it"")"),"Mi piacciono i guardiani più dei biologi.")</f>
        <v>Mi piacciono i guardiani più dei biologi.</v>
      </c>
    </row>
    <row r="4476">
      <c r="A4476" s="4">
        <v>4474.0</v>
      </c>
      <c r="B4476" s="5" t="s">
        <v>13429</v>
      </c>
      <c r="C4476" s="4">
        <v>1.0</v>
      </c>
      <c r="D4476" s="5" t="s">
        <v>13430</v>
      </c>
      <c r="E4476" s="5" t="s">
        <v>13431</v>
      </c>
      <c r="F4476" s="6" t="str">
        <f>IFERROR(__xludf.DUMMYFUNCTION("GOOGLETRANSLATE(D4476,""en"",""it"")"),"Mi piacciono gli scienziati più dei custodi.")</f>
        <v>Mi piacciono gli scienziati più dei custodi.</v>
      </c>
      <c r="G4476" s="6" t="str">
        <f>IFERROR(__xludf.DUMMYFUNCTION("GOOGLETRANSLATE(E4476,""fr"",""it"")"),"Adoro gli scienziati più delle guardie.")</f>
        <v>Adoro gli scienziati più delle guardie.</v>
      </c>
    </row>
    <row r="4477">
      <c r="A4477" s="4">
        <v>4475.0</v>
      </c>
      <c r="B4477" s="5" t="s">
        <v>13432</v>
      </c>
      <c r="C4477" s="4">
        <v>1.0</v>
      </c>
      <c r="D4477" s="5" t="s">
        <v>13433</v>
      </c>
      <c r="E4477" s="5" t="s">
        <v>13434</v>
      </c>
      <c r="F4477" s="6" t="str">
        <f>IFERROR(__xludf.DUMMYFUNCTION("GOOGLETRANSLATE(D4477,""en"",""it"")"),"Mi piacciono i biologi più dei bidello.")</f>
        <v>Mi piacciono i biologi più dei bidello.</v>
      </c>
      <c r="G4477" s="6" t="str">
        <f>IFERROR(__xludf.DUMMYFUNCTION("GOOGLETRANSLATE(E4477,""fr"",""it"")"),"Mi piacciono i biologi più dei porciere.")</f>
        <v>Mi piacciono i biologi più dei porciere.</v>
      </c>
    </row>
    <row r="4478">
      <c r="A4478" s="4">
        <v>4476.0</v>
      </c>
      <c r="B4478" s="5" t="s">
        <v>13435</v>
      </c>
      <c r="C4478" s="4">
        <v>1.0</v>
      </c>
      <c r="D4478" s="5" t="s">
        <v>13436</v>
      </c>
      <c r="E4478" s="5" t="s">
        <v>13437</v>
      </c>
      <c r="F4478" s="6" t="str">
        <f>IFERROR(__xludf.DUMMYFUNCTION("GOOGLETRANSLATE(D4478,""en"",""it"")"),"Mi piacciono i bidelli più dei biologi.")</f>
        <v>Mi piacciono i bidelli più dei biologi.</v>
      </c>
      <c r="G4478" s="6" t="str">
        <f>IFERROR(__xludf.DUMMYFUNCTION("GOOGLETRANSLATE(E4478,""fr"",""it"")"),"Mi piacciono i concierges più dei biologi.")</f>
        <v>Mi piacciono i concierges più dei biologi.</v>
      </c>
    </row>
    <row r="4479">
      <c r="A4479" s="4">
        <v>4477.0</v>
      </c>
      <c r="B4479" s="5" t="s">
        <v>13438</v>
      </c>
      <c r="C4479" s="4">
        <v>1.0</v>
      </c>
      <c r="D4479" s="5" t="s">
        <v>13439</v>
      </c>
      <c r="E4479" s="5" t="s">
        <v>13440</v>
      </c>
      <c r="F4479" s="6" t="str">
        <f>IFERROR(__xludf.DUMMYFUNCTION("GOOGLETRANSLATE(D4479,""en"",""it"")"),"Mi piacciono gli scienziati più dei bidello.")</f>
        <v>Mi piacciono gli scienziati più dei bidello.</v>
      </c>
      <c r="G4479" s="6" t="str">
        <f>IFERROR(__xludf.DUMMYFUNCTION("GOOGLETRANSLATE(E4479,""fr"",""it"")"),"Mi piacciono gli scienziati più dei porciere.")</f>
        <v>Mi piacciono gli scienziati più dei porciere.</v>
      </c>
    </row>
    <row r="4480">
      <c r="A4480" s="4">
        <v>4478.0</v>
      </c>
      <c r="B4480" s="5" t="s">
        <v>13441</v>
      </c>
      <c r="C4480" s="4">
        <v>1.0</v>
      </c>
      <c r="D4480" s="5" t="s">
        <v>13442</v>
      </c>
      <c r="E4480" s="5" t="s">
        <v>13443</v>
      </c>
      <c r="F4480" s="6" t="str">
        <f>IFERROR(__xludf.DUMMYFUNCTION("GOOGLETRANSLATE(D4480,""en"",""it"")"),"Mi piacciono i genetisti più dei commessi.")</f>
        <v>Mi piacciono i genetisti più dei commessi.</v>
      </c>
      <c r="G4480" s="6" t="str">
        <f>IFERROR(__xludf.DUMMYFUNCTION("GOOGLETRANSLATE(E4480,""fr"",""it"")"),"Mi piacciono i genetisti più dei commessi.")</f>
        <v>Mi piacciono i genetisti più dei commessi.</v>
      </c>
    </row>
    <row r="4481">
      <c r="A4481" s="4">
        <v>4479.0</v>
      </c>
      <c r="B4481" s="5" t="s">
        <v>13444</v>
      </c>
      <c r="C4481" s="4">
        <v>1.0</v>
      </c>
      <c r="D4481" s="5" t="s">
        <v>13445</v>
      </c>
      <c r="E4481" s="5" t="s">
        <v>13446</v>
      </c>
      <c r="F4481" s="6" t="str">
        <f>IFERROR(__xludf.DUMMYFUNCTION("GOOGLETRANSLATE(D4481,""en"",""it"")"),"Mi piacciono gli impiegati più dei genetisti.")</f>
        <v>Mi piacciono gli impiegati più dei genetisti.</v>
      </c>
      <c r="G4481" s="6" t="str">
        <f>IFERROR(__xludf.DUMMYFUNCTION("GOOGLETRANSLATE(E4481,""fr"",""it"")"),"Mi piacciono gli impiegati più dei genetisti.")</f>
        <v>Mi piacciono gli impiegati più dei genetisti.</v>
      </c>
    </row>
    <row r="4482">
      <c r="A4482" s="4">
        <v>4480.0</v>
      </c>
      <c r="B4482" s="5" t="s">
        <v>13447</v>
      </c>
      <c r="C4482" s="4">
        <v>0.0</v>
      </c>
      <c r="D4482" s="5" t="s">
        <v>13448</v>
      </c>
      <c r="E4482" s="5" t="s">
        <v>13449</v>
      </c>
      <c r="F4482" s="6" t="str">
        <f>IFERROR(__xludf.DUMMYFUNCTION("GOOGLETRANSLATE(D4482,""en"",""it"")"),"Mi piacciono i genetisti più degli scienziati.")</f>
        <v>Mi piacciono i genetisti più degli scienziati.</v>
      </c>
      <c r="G4482" s="6" t="str">
        <f>IFERROR(__xludf.DUMMYFUNCTION("GOOGLETRANSLATE(E4482,""fr"",""it"")"),"Mi piacciono i genetisti più degli scienziati.")</f>
        <v>Mi piacciono i genetisti più degli scienziati.</v>
      </c>
    </row>
    <row r="4483">
      <c r="A4483" s="4">
        <v>4481.0</v>
      </c>
      <c r="B4483" s="5" t="s">
        <v>13450</v>
      </c>
      <c r="C4483" s="4">
        <v>0.0</v>
      </c>
      <c r="D4483" s="5" t="s">
        <v>13451</v>
      </c>
      <c r="E4483" s="5" t="s">
        <v>13452</v>
      </c>
      <c r="F4483" s="6" t="str">
        <f>IFERROR(__xludf.DUMMYFUNCTION("GOOGLETRANSLATE(D4483,""en"",""it"")"),"Mi piacciono gli scienziati più dei genetisti.")</f>
        <v>Mi piacciono gli scienziati più dei genetisti.</v>
      </c>
      <c r="G4483" s="6" t="str">
        <f>IFERROR(__xludf.DUMMYFUNCTION("GOOGLETRANSLATE(E4483,""fr"",""it"")"),"Mi piacciono gli scienziati più dei genetisti.")</f>
        <v>Mi piacciono gli scienziati più dei genetisti.</v>
      </c>
    </row>
    <row r="4484">
      <c r="A4484" s="4">
        <v>4482.0</v>
      </c>
      <c r="B4484" s="5" t="s">
        <v>13453</v>
      </c>
      <c r="C4484" s="4">
        <v>1.0</v>
      </c>
      <c r="D4484" s="5" t="s">
        <v>13454</v>
      </c>
      <c r="E4484" s="5" t="s">
        <v>13455</v>
      </c>
      <c r="F4484" s="6" t="str">
        <f>IFERROR(__xludf.DUMMYFUNCTION("GOOGLETRANSLATE(D4484,""en"",""it"")"),"Mi piacciono i genetisti più dei camerieri.")</f>
        <v>Mi piacciono i genetisti più dei camerieri.</v>
      </c>
      <c r="G4484" s="6" t="str">
        <f>IFERROR(__xludf.DUMMYFUNCTION("GOOGLETRANSLATE(E4484,""fr"",""it"")"),"Mi piacciono i geneticiani più dei server.")</f>
        <v>Mi piacciono i geneticiani più dei server.</v>
      </c>
    </row>
    <row r="4485">
      <c r="A4485" s="4">
        <v>4483.0</v>
      </c>
      <c r="B4485" s="5" t="s">
        <v>13456</v>
      </c>
      <c r="C4485" s="4">
        <v>1.0</v>
      </c>
      <c r="D4485" s="5" t="s">
        <v>13457</v>
      </c>
      <c r="E4485" s="5" t="s">
        <v>13458</v>
      </c>
      <c r="F4485" s="6" t="str">
        <f>IFERROR(__xludf.DUMMYFUNCTION("GOOGLETRANSLATE(D4485,""en"",""it"")"),"Mi piacciono i camerieri più dei genetisti.")</f>
        <v>Mi piacciono i camerieri più dei genetisti.</v>
      </c>
      <c r="G4485" s="6" t="str">
        <f>IFERROR(__xludf.DUMMYFUNCTION("GOOGLETRANSLATE(E4485,""fr"",""it"")"),"Mi piacciono i server più dei genetisti.")</f>
        <v>Mi piacciono i server più dei genetisti.</v>
      </c>
    </row>
    <row r="4486">
      <c r="A4486" s="4">
        <v>4484.0</v>
      </c>
      <c r="B4486" s="5" t="s">
        <v>13459</v>
      </c>
      <c r="C4486" s="4">
        <v>1.0</v>
      </c>
      <c r="D4486" s="5" t="s">
        <v>13460</v>
      </c>
      <c r="E4486" s="5" t="s">
        <v>13461</v>
      </c>
      <c r="F4486" s="6" t="str">
        <f>IFERROR(__xludf.DUMMYFUNCTION("GOOGLETRANSLATE(D4486,""en"",""it"")"),"Mi piacciono i genetisti più dei custodi.")</f>
        <v>Mi piacciono i genetisti più dei custodi.</v>
      </c>
      <c r="G4486" s="6" t="str">
        <f>IFERROR(__xludf.DUMMYFUNCTION("GOOGLETRANSLATE(E4486,""fr"",""it"")"),"Mi piacciono i geneticiani più delle guardie.")</f>
        <v>Mi piacciono i geneticiani più delle guardie.</v>
      </c>
    </row>
    <row r="4487">
      <c r="A4487" s="4">
        <v>4485.0</v>
      </c>
      <c r="B4487" s="5" t="s">
        <v>13462</v>
      </c>
      <c r="C4487" s="4">
        <v>1.0</v>
      </c>
      <c r="D4487" s="5" t="s">
        <v>13463</v>
      </c>
      <c r="E4487" s="5" t="s">
        <v>13464</v>
      </c>
      <c r="F4487" s="6" t="str">
        <f>IFERROR(__xludf.DUMMYFUNCTION("GOOGLETRANSLATE(D4487,""en"",""it"")"),"Mi piacciono i custodi più dei genetisti.")</f>
        <v>Mi piacciono i custodi più dei genetisti.</v>
      </c>
      <c r="G4487" s="6" t="str">
        <f>IFERROR(__xludf.DUMMYFUNCTION("GOOGLETRANSLATE(E4487,""fr"",""it"")"),"Mi piacciono i guardiani più dei genetisti.")</f>
        <v>Mi piacciono i guardiani più dei genetisti.</v>
      </c>
    </row>
    <row r="4488">
      <c r="A4488" s="4">
        <v>4486.0</v>
      </c>
      <c r="B4488" s="5" t="s">
        <v>13465</v>
      </c>
      <c r="C4488" s="4">
        <v>1.0</v>
      </c>
      <c r="D4488" s="5" t="s">
        <v>13466</v>
      </c>
      <c r="E4488" s="5" t="s">
        <v>13467</v>
      </c>
      <c r="F4488" s="6" t="str">
        <f>IFERROR(__xludf.DUMMYFUNCTION("GOOGLETRANSLATE(D4488,""en"",""it"")"),"Mi piacciono i genetisti più dei bidello.")</f>
        <v>Mi piacciono i genetisti più dei bidello.</v>
      </c>
      <c r="G4488" s="6" t="str">
        <f>IFERROR(__xludf.DUMMYFUNCTION("GOOGLETRANSLATE(E4488,""fr"",""it"")"),"Mi piacciono i genetisti più dei porciere.")</f>
        <v>Mi piacciono i genetisti più dei porciere.</v>
      </c>
    </row>
    <row r="4489">
      <c r="A4489" s="4">
        <v>4487.0</v>
      </c>
      <c r="B4489" s="5" t="s">
        <v>13468</v>
      </c>
      <c r="C4489" s="4">
        <v>1.0</v>
      </c>
      <c r="D4489" s="5" t="s">
        <v>13469</v>
      </c>
      <c r="E4489" s="5" t="s">
        <v>13470</v>
      </c>
      <c r="F4489" s="6" t="str">
        <f>IFERROR(__xludf.DUMMYFUNCTION("GOOGLETRANSLATE(D4489,""en"",""it"")"),"Mi piacciono i bidelli più dei genetisti.")</f>
        <v>Mi piacciono i bidelli più dei genetisti.</v>
      </c>
      <c r="G4489" s="6" t="str">
        <f>IFERROR(__xludf.DUMMYFUNCTION("GOOGLETRANSLATE(E4489,""fr"",""it"")"),"Mi piacciono i concierges più dei genetisti.")</f>
        <v>Mi piacciono i concierges più dei genetisti.</v>
      </c>
    </row>
    <row r="4490">
      <c r="A4490" s="4">
        <v>4488.0</v>
      </c>
      <c r="B4490" s="5" t="s">
        <v>13471</v>
      </c>
      <c r="C4490" s="4">
        <v>1.0</v>
      </c>
      <c r="D4490" s="5" t="s">
        <v>13472</v>
      </c>
      <c r="E4490" s="5" t="s">
        <v>13473</v>
      </c>
      <c r="F4490" s="6" t="str">
        <f>IFERROR(__xludf.DUMMYFUNCTION("GOOGLETRANSLATE(D4490,""en"",""it"")"),"Mi piacciono gli astronomi più dei commessi.")</f>
        <v>Mi piacciono gli astronomi più dei commessi.</v>
      </c>
      <c r="G4490" s="6" t="str">
        <f>IFERROR(__xludf.DUMMYFUNCTION("GOOGLETRANSLATE(E4490,""fr"",""it"")"),"Mi piacciono gli astronomi più dei commessi.")</f>
        <v>Mi piacciono gli astronomi più dei commessi.</v>
      </c>
    </row>
    <row r="4491">
      <c r="A4491" s="4">
        <v>4489.0</v>
      </c>
      <c r="B4491" s="5" t="s">
        <v>13474</v>
      </c>
      <c r="C4491" s="4">
        <v>1.0</v>
      </c>
      <c r="D4491" s="5" t="s">
        <v>13475</v>
      </c>
      <c r="E4491" s="5" t="s">
        <v>13476</v>
      </c>
      <c r="F4491" s="6" t="str">
        <f>IFERROR(__xludf.DUMMYFUNCTION("GOOGLETRANSLATE(D4491,""en"",""it"")"),"Mi piacciono gli impiegati più degli astronomi.")</f>
        <v>Mi piacciono gli impiegati più degli astronomi.</v>
      </c>
      <c r="G4491" s="6" t="str">
        <f>IFERROR(__xludf.DUMMYFUNCTION("GOOGLETRANSLATE(E4491,""fr"",""it"")"),"Mi piacciono gli impiegati più degli astronomi.")</f>
        <v>Mi piacciono gli impiegati più degli astronomi.</v>
      </c>
    </row>
    <row r="4492">
      <c r="A4492" s="4">
        <v>4490.0</v>
      </c>
      <c r="B4492" s="5" t="s">
        <v>13477</v>
      </c>
      <c r="C4492" s="4">
        <v>0.0</v>
      </c>
      <c r="D4492" s="5" t="s">
        <v>13478</v>
      </c>
      <c r="E4492" s="5" t="s">
        <v>13479</v>
      </c>
      <c r="F4492" s="6" t="str">
        <f>IFERROR(__xludf.DUMMYFUNCTION("GOOGLETRANSLATE(D4492,""en"",""it"")"),"Mi piacciono gli astronomi più degli scienziati.")</f>
        <v>Mi piacciono gli astronomi più degli scienziati.</v>
      </c>
      <c r="G4492" s="6" t="str">
        <f>IFERROR(__xludf.DUMMYFUNCTION("GOOGLETRANSLATE(E4492,""fr"",""it"")"),"Adoro gli astronomi più degli scienziati.")</f>
        <v>Adoro gli astronomi più degli scienziati.</v>
      </c>
    </row>
    <row r="4493">
      <c r="A4493" s="4">
        <v>4491.0</v>
      </c>
      <c r="B4493" s="5" t="s">
        <v>13480</v>
      </c>
      <c r="C4493" s="4">
        <v>0.0</v>
      </c>
      <c r="D4493" s="5" t="s">
        <v>13481</v>
      </c>
      <c r="E4493" s="5" t="s">
        <v>13482</v>
      </c>
      <c r="F4493" s="6" t="str">
        <f>IFERROR(__xludf.DUMMYFUNCTION("GOOGLETRANSLATE(D4493,""en"",""it"")"),"Mi piacciono gli scienziati più degli astronomi.")</f>
        <v>Mi piacciono gli scienziati più degli astronomi.</v>
      </c>
      <c r="G4493" s="6" t="str">
        <f>IFERROR(__xludf.DUMMYFUNCTION("GOOGLETRANSLATE(E4493,""fr"",""it"")"),"Mi piacciono gli scienziati più degli astronomi.")</f>
        <v>Mi piacciono gli scienziati più degli astronomi.</v>
      </c>
    </row>
    <row r="4494">
      <c r="A4494" s="4">
        <v>4492.0</v>
      </c>
      <c r="B4494" s="5" t="s">
        <v>13483</v>
      </c>
      <c r="C4494" s="4">
        <v>1.0</v>
      </c>
      <c r="D4494" s="5" t="s">
        <v>13484</v>
      </c>
      <c r="E4494" s="5" t="s">
        <v>13485</v>
      </c>
      <c r="F4494" s="6" t="str">
        <f>IFERROR(__xludf.DUMMYFUNCTION("GOOGLETRANSLATE(D4494,""en"",""it"")"),"Mi piacciono gli astronomi più dei camerieri.")</f>
        <v>Mi piacciono gli astronomi più dei camerieri.</v>
      </c>
      <c r="G4494" s="6" t="str">
        <f>IFERROR(__xludf.DUMMYFUNCTION("GOOGLETRANSLATE(E4494,""fr"",""it"")"),"Mi piacciono gli astronomi più dei camerieri.")</f>
        <v>Mi piacciono gli astronomi più dei camerieri.</v>
      </c>
    </row>
    <row r="4495">
      <c r="A4495" s="4">
        <v>4493.0</v>
      </c>
      <c r="B4495" s="5" t="s">
        <v>13486</v>
      </c>
      <c r="C4495" s="4">
        <v>1.0</v>
      </c>
      <c r="D4495" s="5" t="s">
        <v>13487</v>
      </c>
      <c r="E4495" s="5" t="s">
        <v>13488</v>
      </c>
      <c r="F4495" s="6" t="str">
        <f>IFERROR(__xludf.DUMMYFUNCTION("GOOGLETRANSLATE(D4495,""en"",""it"")"),"Mi piacciono i camerieri più degli astronomi.")</f>
        <v>Mi piacciono i camerieri più degli astronomi.</v>
      </c>
      <c r="G4495" s="6" t="str">
        <f>IFERROR(__xludf.DUMMYFUNCTION("GOOGLETRANSLATE(E4495,""fr"",""it"")"),"Mi piacciono i server più degli astronomi.")</f>
        <v>Mi piacciono i server più degli astronomi.</v>
      </c>
    </row>
    <row r="4496">
      <c r="A4496" s="4">
        <v>4494.0</v>
      </c>
      <c r="B4496" s="5" t="s">
        <v>13489</v>
      </c>
      <c r="C4496" s="4">
        <v>1.0</v>
      </c>
      <c r="D4496" s="5" t="s">
        <v>13490</v>
      </c>
      <c r="E4496" s="5" t="s">
        <v>13491</v>
      </c>
      <c r="F4496" s="6" t="str">
        <f>IFERROR(__xludf.DUMMYFUNCTION("GOOGLETRANSLATE(D4496,""en"",""it"")"),"Mi piacciono gli astronomi più dei custodi.")</f>
        <v>Mi piacciono gli astronomi più dei custodi.</v>
      </c>
      <c r="G4496" s="6" t="str">
        <f>IFERROR(__xludf.DUMMYFUNCTION("GOOGLETRANSLATE(E4496,""fr"",""it"")"),"Adoro gli astronomi più delle guardie.")</f>
        <v>Adoro gli astronomi più delle guardie.</v>
      </c>
    </row>
    <row r="4497">
      <c r="A4497" s="4">
        <v>4495.0</v>
      </c>
      <c r="B4497" s="5" t="s">
        <v>13492</v>
      </c>
      <c r="C4497" s="4">
        <v>1.0</v>
      </c>
      <c r="D4497" s="5" t="s">
        <v>13493</v>
      </c>
      <c r="E4497" s="5" t="s">
        <v>13494</v>
      </c>
      <c r="F4497" s="6" t="str">
        <f>IFERROR(__xludf.DUMMYFUNCTION("GOOGLETRANSLATE(D4497,""en"",""it"")"),"Mi piacciono i custodi più degli astronomi.")</f>
        <v>Mi piacciono i custodi più degli astronomi.</v>
      </c>
      <c r="G4497" s="6" t="str">
        <f>IFERROR(__xludf.DUMMYFUNCTION("GOOGLETRANSLATE(E4497,""fr"",""it"")"),"Adoro i guardiani più degli astronomi.")</f>
        <v>Adoro i guardiani più degli astronomi.</v>
      </c>
    </row>
    <row r="4498">
      <c r="A4498" s="4">
        <v>4496.0</v>
      </c>
      <c r="B4498" s="5" t="s">
        <v>13495</v>
      </c>
      <c r="C4498" s="4">
        <v>1.0</v>
      </c>
      <c r="D4498" s="5" t="s">
        <v>13496</v>
      </c>
      <c r="E4498" s="5" t="s">
        <v>13497</v>
      </c>
      <c r="F4498" s="6" t="str">
        <f>IFERROR(__xludf.DUMMYFUNCTION("GOOGLETRANSLATE(D4498,""en"",""it"")"),"Mi piacciono gli astronomi più dei bidelli.")</f>
        <v>Mi piacciono gli astronomi più dei bidelli.</v>
      </c>
      <c r="G4498" s="6" t="str">
        <f>IFERROR(__xludf.DUMMYFUNCTION("GOOGLETRANSLATE(E4498,""fr"",""it"")"),"Adoro gli astronomi più dei conciergie.")</f>
        <v>Adoro gli astronomi più dei conciergie.</v>
      </c>
    </row>
    <row r="4499">
      <c r="A4499" s="4">
        <v>4497.0</v>
      </c>
      <c r="B4499" s="5" t="s">
        <v>13498</v>
      </c>
      <c r="C4499" s="4">
        <v>1.0</v>
      </c>
      <c r="D4499" s="5" t="s">
        <v>13499</v>
      </c>
      <c r="E4499" s="5" t="s">
        <v>13500</v>
      </c>
      <c r="F4499" s="6" t="str">
        <f>IFERROR(__xludf.DUMMYFUNCTION("GOOGLETRANSLATE(D4499,""en"",""it"")"),"Mi piacciono i bidelli più degli astronomi.")</f>
        <v>Mi piacciono i bidelli più degli astronomi.</v>
      </c>
      <c r="G4499" s="6" t="str">
        <f>IFERROR(__xludf.DUMMYFUNCTION("GOOGLETRANSLATE(E4499,""fr"",""it"")"),"Mi piacciono i concierges più degli astronomi.")</f>
        <v>Mi piacciono i concierges più degli astronomi.</v>
      </c>
    </row>
    <row r="4500">
      <c r="A4500" s="4">
        <v>4498.0</v>
      </c>
      <c r="B4500" s="5" t="s">
        <v>13501</v>
      </c>
      <c r="C4500" s="4">
        <v>1.0</v>
      </c>
      <c r="D4500" s="5" t="s">
        <v>13502</v>
      </c>
      <c r="E4500" s="5" t="s">
        <v>13503</v>
      </c>
      <c r="F4500" s="6" t="str">
        <f>IFERROR(__xludf.DUMMYFUNCTION("GOOGLETRANSLATE(D4500,""en"",""it"")"),"Mi piacciono i fisici più dei commessi.")</f>
        <v>Mi piacciono i fisici più dei commessi.</v>
      </c>
      <c r="G4500" s="6" t="str">
        <f>IFERROR(__xludf.DUMMYFUNCTION("GOOGLETRANSLATE(E4500,""fr"",""it"")"),"Mi piacciono i fisici più dei commessi.")</f>
        <v>Mi piacciono i fisici più dei commessi.</v>
      </c>
    </row>
    <row r="4501">
      <c r="A4501" s="4">
        <v>4499.0</v>
      </c>
      <c r="B4501" s="5" t="s">
        <v>13504</v>
      </c>
      <c r="C4501" s="4">
        <v>1.0</v>
      </c>
      <c r="D4501" s="5" t="s">
        <v>13505</v>
      </c>
      <c r="E4501" s="5" t="s">
        <v>13506</v>
      </c>
      <c r="F4501" s="6" t="str">
        <f>IFERROR(__xludf.DUMMYFUNCTION("GOOGLETRANSLATE(D4501,""en"",""it"")"),"Mi piacciono gli impiegati più dei fisici.")</f>
        <v>Mi piacciono gli impiegati più dei fisici.</v>
      </c>
      <c r="G4501" s="6" t="str">
        <f>IFERROR(__xludf.DUMMYFUNCTION("GOOGLETRANSLATE(E4501,""fr"",""it"")"),"Mi piacciono gli impiegati più dei fisici.")</f>
        <v>Mi piacciono gli impiegati più dei fisici.</v>
      </c>
    </row>
    <row r="4502">
      <c r="A4502" s="4">
        <v>4500.0</v>
      </c>
      <c r="B4502" s="5" t="s">
        <v>13507</v>
      </c>
      <c r="C4502" s="4">
        <v>0.0</v>
      </c>
      <c r="D4502" s="5" t="s">
        <v>13508</v>
      </c>
      <c r="E4502" s="5" t="s">
        <v>13509</v>
      </c>
      <c r="F4502" s="6" t="str">
        <f>IFERROR(__xludf.DUMMYFUNCTION("GOOGLETRANSLATE(D4502,""en"",""it"")"),"Mi piacciono i fisici più degli scienziati.")</f>
        <v>Mi piacciono i fisici più degli scienziati.</v>
      </c>
      <c r="G4502" s="6" t="str">
        <f>IFERROR(__xludf.DUMMYFUNCTION("GOOGLETRANSLATE(E4502,""fr"",""it"")"),"Mi piacciono i fisici più degli scienziati.")</f>
        <v>Mi piacciono i fisici più degli scienziati.</v>
      </c>
    </row>
    <row r="4503">
      <c r="A4503" s="4">
        <v>4501.0</v>
      </c>
      <c r="B4503" s="5" t="s">
        <v>13510</v>
      </c>
      <c r="C4503" s="4">
        <v>0.0</v>
      </c>
      <c r="D4503" s="5" t="s">
        <v>13511</v>
      </c>
      <c r="E4503" s="5" t="s">
        <v>13512</v>
      </c>
      <c r="F4503" s="6" t="str">
        <f>IFERROR(__xludf.DUMMYFUNCTION("GOOGLETRANSLATE(D4503,""en"",""it"")"),"Mi piacciono gli scienziati più dei fisici.")</f>
        <v>Mi piacciono gli scienziati più dei fisici.</v>
      </c>
      <c r="G4503" s="6" t="str">
        <f>IFERROR(__xludf.DUMMYFUNCTION("GOOGLETRANSLATE(E4503,""fr"",""it"")"),"Mi piacciono gli scienziati più dei fisici.")</f>
        <v>Mi piacciono gli scienziati più dei fisici.</v>
      </c>
    </row>
    <row r="4504">
      <c r="A4504" s="4">
        <v>4502.0</v>
      </c>
      <c r="B4504" s="5" t="s">
        <v>13513</v>
      </c>
      <c r="C4504" s="4">
        <v>1.0</v>
      </c>
      <c r="D4504" s="5" t="s">
        <v>13514</v>
      </c>
      <c r="E4504" s="5" t="s">
        <v>13515</v>
      </c>
      <c r="F4504" s="6" t="str">
        <f>IFERROR(__xludf.DUMMYFUNCTION("GOOGLETRANSLATE(D4504,""en"",""it"")"),"Mi piacciono i fisici più dei camerieri.")</f>
        <v>Mi piacciono i fisici più dei camerieri.</v>
      </c>
      <c r="G4504" s="6" t="str">
        <f>IFERROR(__xludf.DUMMYFUNCTION("GOOGLETRANSLATE(E4504,""fr"",""it"")"),"Mi piacciono i fisici più dei server.")</f>
        <v>Mi piacciono i fisici più dei server.</v>
      </c>
    </row>
    <row r="4505">
      <c r="A4505" s="4">
        <v>4503.0</v>
      </c>
      <c r="B4505" s="5" t="s">
        <v>13516</v>
      </c>
      <c r="C4505" s="4">
        <v>1.0</v>
      </c>
      <c r="D4505" s="5" t="s">
        <v>13517</v>
      </c>
      <c r="E4505" s="5" t="s">
        <v>13518</v>
      </c>
      <c r="F4505" s="6" t="str">
        <f>IFERROR(__xludf.DUMMYFUNCTION("GOOGLETRANSLATE(D4505,""en"",""it"")"),"Mi piacciono i camerieri più dei fisici.")</f>
        <v>Mi piacciono i camerieri più dei fisici.</v>
      </c>
      <c r="G4505" s="6" t="str">
        <f>IFERROR(__xludf.DUMMYFUNCTION("GOOGLETRANSLATE(E4505,""fr"",""it"")"),"Mi piacciono i server più dei fisici.")</f>
        <v>Mi piacciono i server più dei fisici.</v>
      </c>
    </row>
    <row r="4506">
      <c r="A4506" s="4">
        <v>4504.0</v>
      </c>
      <c r="B4506" s="5" t="s">
        <v>13519</v>
      </c>
      <c r="C4506" s="4">
        <v>1.0</v>
      </c>
      <c r="D4506" s="5" t="s">
        <v>13520</v>
      </c>
      <c r="E4506" s="5" t="s">
        <v>13521</v>
      </c>
      <c r="F4506" s="6" t="str">
        <f>IFERROR(__xludf.DUMMYFUNCTION("GOOGLETRANSLATE(D4506,""en"",""it"")"),"Mi piacciono i fisici più dei custodi.")</f>
        <v>Mi piacciono i fisici più dei custodi.</v>
      </c>
      <c r="G4506" s="6" t="str">
        <f>IFERROR(__xludf.DUMMYFUNCTION("GOOGLETRANSLATE(E4506,""fr"",""it"")"),"Mi piacciono i fisici più delle guardie.")</f>
        <v>Mi piacciono i fisici più delle guardie.</v>
      </c>
    </row>
    <row r="4507">
      <c r="A4507" s="4">
        <v>4505.0</v>
      </c>
      <c r="B4507" s="5" t="s">
        <v>13522</v>
      </c>
      <c r="C4507" s="4">
        <v>1.0</v>
      </c>
      <c r="D4507" s="5" t="s">
        <v>13523</v>
      </c>
      <c r="E4507" s="5" t="s">
        <v>13524</v>
      </c>
      <c r="F4507" s="6" t="str">
        <f>IFERROR(__xludf.DUMMYFUNCTION("GOOGLETRANSLATE(D4507,""en"",""it"")"),"Mi piacciono i custodi più dei fisici.")</f>
        <v>Mi piacciono i custodi più dei fisici.</v>
      </c>
      <c r="G4507" s="6" t="str">
        <f>IFERROR(__xludf.DUMMYFUNCTION("GOOGLETRANSLATE(E4507,""fr"",""it"")"),"Mi piacciono i guardiani più dei fisici.")</f>
        <v>Mi piacciono i guardiani più dei fisici.</v>
      </c>
    </row>
    <row r="4508">
      <c r="A4508" s="4">
        <v>4506.0</v>
      </c>
      <c r="B4508" s="5" t="s">
        <v>13525</v>
      </c>
      <c r="C4508" s="4">
        <v>1.0</v>
      </c>
      <c r="D4508" s="5" t="s">
        <v>13526</v>
      </c>
      <c r="E4508" s="5" t="s">
        <v>13527</v>
      </c>
      <c r="F4508" s="6" t="str">
        <f>IFERROR(__xludf.DUMMYFUNCTION("GOOGLETRANSLATE(D4508,""en"",""it"")"),"Mi piacciono i fisici più dei bidelli.")</f>
        <v>Mi piacciono i fisici più dei bidelli.</v>
      </c>
      <c r="G4508" s="6" t="str">
        <f>IFERROR(__xludf.DUMMYFUNCTION("GOOGLETRANSLATE(E4508,""fr"",""it"")"),"Mi piacciono i fisici più dei concieti.")</f>
        <v>Mi piacciono i fisici più dei concieti.</v>
      </c>
    </row>
    <row r="4509">
      <c r="A4509" s="4">
        <v>4507.0</v>
      </c>
      <c r="B4509" s="5" t="s">
        <v>13528</v>
      </c>
      <c r="C4509" s="4">
        <v>1.0</v>
      </c>
      <c r="D4509" s="5" t="s">
        <v>13529</v>
      </c>
      <c r="E4509" s="5" t="s">
        <v>13530</v>
      </c>
      <c r="F4509" s="6" t="str">
        <f>IFERROR(__xludf.DUMMYFUNCTION("GOOGLETRANSLATE(D4509,""en"",""it"")"),"Mi piacciono i bidelli più dei fisici.")</f>
        <v>Mi piacciono i bidelli più dei fisici.</v>
      </c>
      <c r="G4509" s="6" t="str">
        <f>IFERROR(__xludf.DUMMYFUNCTION("GOOGLETRANSLATE(E4509,""fr"",""it"")"),"Mi piacciono i concierges più dei fisici.")</f>
        <v>Mi piacciono i concierges più dei fisici.</v>
      </c>
    </row>
    <row r="4510">
      <c r="A4510" s="4">
        <v>4508.0</v>
      </c>
      <c r="B4510" s="5" t="s">
        <v>13531</v>
      </c>
      <c r="C4510" s="4">
        <v>0.0</v>
      </c>
      <c r="D4510" s="5" t="s">
        <v>13532</v>
      </c>
      <c r="E4510" s="5" t="s">
        <v>13533</v>
      </c>
      <c r="F4510" s="6" t="str">
        <f>IFERROR(__xludf.DUMMYFUNCTION("GOOGLETRANSLATE(D4510,""en"",""it"")"),"Mi piacciono i husky, tranne i cani.")</f>
        <v>Mi piacciono i husky, tranne i cani.</v>
      </c>
      <c r="G4510" s="6" t="str">
        <f>IFERROR(__xludf.DUMMYFUNCTION("GOOGLETRANSLATE(E4510,""fr"",""it"")"),"Mi piacciono i husky, tranne i cani.")</f>
        <v>Mi piacciono i husky, tranne i cani.</v>
      </c>
    </row>
    <row r="4511">
      <c r="A4511" s="4">
        <v>4509.0</v>
      </c>
      <c r="B4511" s="5" t="s">
        <v>13534</v>
      </c>
      <c r="C4511" s="4">
        <v>0.0</v>
      </c>
      <c r="D4511" s="5" t="s">
        <v>13535</v>
      </c>
      <c r="E4511" s="5" t="s">
        <v>13536</v>
      </c>
      <c r="F4511" s="6" t="str">
        <f>IFERROR(__xludf.DUMMYFUNCTION("GOOGLETRANSLATE(D4511,""en"",""it"")"),"Si fida della sua vista, tranne le voci.")</f>
        <v>Si fida della sua vista, tranne le voci.</v>
      </c>
      <c r="G4511" s="6" t="str">
        <f>IFERROR(__xludf.DUMMYFUNCTION("GOOGLETRANSLATE(E4511,""fr"",""it"")"),"Si fida della sua visione, tranne le voci.")</f>
        <v>Si fida della sua visione, tranne le voci.</v>
      </c>
    </row>
    <row r="4512">
      <c r="A4512" s="4">
        <v>4510.0</v>
      </c>
      <c r="B4512" s="5" t="s">
        <v>13537</v>
      </c>
      <c r="C4512" s="4">
        <v>0.0</v>
      </c>
      <c r="D4512" s="5" t="s">
        <v>13538</v>
      </c>
      <c r="E4512" s="5" t="s">
        <v>13539</v>
      </c>
      <c r="F4512" s="6" t="str">
        <f>IFERROR(__xludf.DUMMYFUNCTION("GOOGLETRANSLATE(D4512,""en"",""it"")"),"Si fida delle voci, tranne la sua vista.")</f>
        <v>Si fida delle voci, tranne la sua vista.</v>
      </c>
      <c r="G4512" s="6" t="str">
        <f>IFERROR(__xludf.DUMMYFUNCTION("GOOGLETRANSLATE(E4512,""fr"",""it"")"),"Si fida delle voci, tranne che per la sua visione.")</f>
        <v>Si fida delle voci, tranne che per la sua visione.</v>
      </c>
    </row>
    <row r="4513">
      <c r="A4513" s="4">
        <v>4511.0</v>
      </c>
      <c r="B4513" s="5" t="s">
        <v>13540</v>
      </c>
      <c r="C4513" s="4">
        <v>0.0</v>
      </c>
      <c r="D4513" s="5" t="s">
        <v>13541</v>
      </c>
      <c r="E4513" s="5" t="s">
        <v>13542</v>
      </c>
      <c r="F4513" s="6" t="str">
        <f>IFERROR(__xludf.DUMMYFUNCTION("GOOGLETRANSLATE(D4513,""en"",""it"")"),"Si fida della sua vista, tranne i suoi sensi.")</f>
        <v>Si fida della sua vista, tranne i suoi sensi.</v>
      </c>
      <c r="G4513" s="6" t="str">
        <f>IFERROR(__xludf.DUMMYFUNCTION("GOOGLETRANSLATE(E4513,""fr"",""it"")"),"Si fida della sua visione, tranne i suoi sensi.")</f>
        <v>Si fida della sua visione, tranne i suoi sensi.</v>
      </c>
    </row>
    <row r="4514">
      <c r="A4514" s="4">
        <v>4512.0</v>
      </c>
      <c r="B4514" s="5" t="s">
        <v>13543</v>
      </c>
      <c r="C4514" s="4">
        <v>1.0</v>
      </c>
      <c r="D4514" s="5" t="s">
        <v>13544</v>
      </c>
      <c r="E4514" s="5" t="s">
        <v>13545</v>
      </c>
      <c r="F4514" s="6" t="str">
        <f>IFERROR(__xludf.DUMMYFUNCTION("GOOGLETRANSLATE(D4514,""en"",""it"")"),"Si fida dei suoi sensi, tranne la sua vista.")</f>
        <v>Si fida dei suoi sensi, tranne la sua vista.</v>
      </c>
      <c r="G4514" s="6" t="str">
        <f>IFERROR(__xludf.DUMMYFUNCTION("GOOGLETRANSLATE(E4514,""fr"",""it"")"),"Si fida dei suoi sensi tranne la sua visione.")</f>
        <v>Si fida dei suoi sensi tranne la sua visione.</v>
      </c>
    </row>
    <row r="4515">
      <c r="A4515" s="4">
        <v>4513.0</v>
      </c>
      <c r="B4515" s="5" t="s">
        <v>13546</v>
      </c>
      <c r="C4515" s="4">
        <v>0.0</v>
      </c>
      <c r="D4515" s="5" t="s">
        <v>13547</v>
      </c>
      <c r="E4515" s="5" t="s">
        <v>13548</v>
      </c>
      <c r="F4515" s="6" t="str">
        <f>IFERROR(__xludf.DUMMYFUNCTION("GOOGLETRANSLATE(D4515,""en"",""it"")"),"Si fida dei suoi sensi, tranne le voci.")</f>
        <v>Si fida dei suoi sensi, tranne le voci.</v>
      </c>
      <c r="G4515" s="6" t="str">
        <f>IFERROR(__xludf.DUMMYFUNCTION("GOOGLETRANSLATE(E4515,""fr"",""it"")"),"Si fida dei suoi sensi tranne le voci.")</f>
        <v>Si fida dei suoi sensi tranne le voci.</v>
      </c>
    </row>
    <row r="4516">
      <c r="A4516" s="4">
        <v>4514.0</v>
      </c>
      <c r="B4516" s="5" t="s">
        <v>13549</v>
      </c>
      <c r="C4516" s="4">
        <v>0.0</v>
      </c>
      <c r="D4516" s="5" t="s">
        <v>13550</v>
      </c>
      <c r="E4516" s="5" t="s">
        <v>13551</v>
      </c>
      <c r="F4516" s="6" t="str">
        <f>IFERROR(__xludf.DUMMYFUNCTION("GOOGLETRANSLATE(D4516,""en"",""it"")"),"Si fida della sua vista, tranne i rapporti.")</f>
        <v>Si fida della sua vista, tranne i rapporti.</v>
      </c>
      <c r="G4516" s="6" t="str">
        <f>IFERROR(__xludf.DUMMYFUNCTION("GOOGLETRANSLATE(E4516,""fr"",""it"")"),"Si fida della sua visione, ad eccezione dei rapporti.")</f>
        <v>Si fida della sua visione, ad eccezione dei rapporti.</v>
      </c>
    </row>
    <row r="4517">
      <c r="A4517" s="4">
        <v>4515.0</v>
      </c>
      <c r="B4517" s="5" t="s">
        <v>13552</v>
      </c>
      <c r="C4517" s="4">
        <v>0.0</v>
      </c>
      <c r="D4517" s="5" t="s">
        <v>13553</v>
      </c>
      <c r="E4517" s="5" t="s">
        <v>13554</v>
      </c>
      <c r="F4517" s="6" t="str">
        <f>IFERROR(__xludf.DUMMYFUNCTION("GOOGLETRANSLATE(D4517,""en"",""it"")"),"Si fida dei rapporti, tranne la sua vista.")</f>
        <v>Si fida dei rapporti, tranne la sua vista.</v>
      </c>
      <c r="G4517" s="6" t="str">
        <f>IFERROR(__xludf.DUMMYFUNCTION("GOOGLETRANSLATE(E4517,""fr"",""it"")"),"Si fida dei rapporti, tranne la sua visione.")</f>
        <v>Si fida dei rapporti, tranne la sua visione.</v>
      </c>
    </row>
    <row r="4518">
      <c r="A4518" s="4">
        <v>4516.0</v>
      </c>
      <c r="B4518" s="5" t="s">
        <v>13555</v>
      </c>
      <c r="C4518" s="4">
        <v>0.0</v>
      </c>
      <c r="D4518" s="5" t="s">
        <v>13556</v>
      </c>
      <c r="E4518" s="5" t="s">
        <v>13557</v>
      </c>
      <c r="F4518" s="6" t="str">
        <f>IFERROR(__xludf.DUMMYFUNCTION("GOOGLETRANSLATE(D4518,""en"",""it"")"),"Si fida dei suoi sensi, tranne i rapporti.")</f>
        <v>Si fida dei suoi sensi, tranne i rapporti.</v>
      </c>
      <c r="G4518" s="6" t="str">
        <f>IFERROR(__xludf.DUMMYFUNCTION("GOOGLETRANSLATE(E4518,""fr"",""it"")"),"Si fida dei suoi sensi tranne i rapporti.")</f>
        <v>Si fida dei suoi sensi tranne i rapporti.</v>
      </c>
    </row>
    <row r="4519">
      <c r="A4519" s="4">
        <v>4517.0</v>
      </c>
      <c r="B4519" s="5" t="s">
        <v>13558</v>
      </c>
      <c r="C4519" s="4">
        <v>0.0</v>
      </c>
      <c r="D4519" s="5" t="s">
        <v>13559</v>
      </c>
      <c r="E4519" s="5" t="s">
        <v>13560</v>
      </c>
      <c r="F4519" s="6" t="str">
        <f>IFERROR(__xludf.DUMMYFUNCTION("GOOGLETRANSLATE(D4519,""en"",""it"")"),"Si fida della sua vista, tranne la ricostruzione.")</f>
        <v>Si fida della sua vista, tranne la ricostruzione.</v>
      </c>
      <c r="G4519" s="6" t="str">
        <f>IFERROR(__xludf.DUMMYFUNCTION("GOOGLETRANSLATE(E4519,""fr"",""it"")"),"Si fida della sua visione, tranne la ricostruzione.")</f>
        <v>Si fida della sua visione, tranne la ricostruzione.</v>
      </c>
    </row>
    <row r="4520">
      <c r="A4520" s="4">
        <v>4518.0</v>
      </c>
      <c r="B4520" s="5" t="s">
        <v>13561</v>
      </c>
      <c r="C4520" s="4">
        <v>0.0</v>
      </c>
      <c r="D4520" s="5" t="s">
        <v>13562</v>
      </c>
      <c r="E4520" s="5" t="s">
        <v>13563</v>
      </c>
      <c r="F4520" s="6" t="str">
        <f>IFERROR(__xludf.DUMMYFUNCTION("GOOGLETRANSLATE(D4520,""en"",""it"")"),"Si fida di ricostruzioni, tranne la sua vista.")</f>
        <v>Si fida di ricostruzioni, tranne la sua vista.</v>
      </c>
      <c r="G4520" s="6" t="str">
        <f>IFERROR(__xludf.DUMMYFUNCTION("GOOGLETRANSLATE(E4520,""fr"",""it"")"),"Si fida di ricostruzioni, tranne la sua visione.")</f>
        <v>Si fida di ricostruzioni, tranne la sua visione.</v>
      </c>
    </row>
    <row r="4521">
      <c r="A4521" s="4">
        <v>4519.0</v>
      </c>
      <c r="B4521" s="5" t="s">
        <v>13564</v>
      </c>
      <c r="C4521" s="4">
        <v>0.0</v>
      </c>
      <c r="D4521" s="5" t="s">
        <v>13565</v>
      </c>
      <c r="E4521" s="5" t="s">
        <v>13566</v>
      </c>
      <c r="F4521" s="6" t="str">
        <f>IFERROR(__xludf.DUMMYFUNCTION("GOOGLETRANSLATE(D4521,""en"",""it"")"),"Si fida dei suoi sensi, tranne la ricostruzione.")</f>
        <v>Si fida dei suoi sensi, tranne la ricostruzione.</v>
      </c>
      <c r="G4521" s="6" t="str">
        <f>IFERROR(__xludf.DUMMYFUNCTION("GOOGLETRANSLATE(E4521,""fr"",""it"")"),"Si fida dei suoi sensi tranne la ricostruzione.")</f>
        <v>Si fida dei suoi sensi tranne la ricostruzione.</v>
      </c>
    </row>
    <row r="4522">
      <c r="A4522" s="4">
        <v>4520.0</v>
      </c>
      <c r="B4522" s="5" t="s">
        <v>13567</v>
      </c>
      <c r="C4522" s="4">
        <v>0.0</v>
      </c>
      <c r="D4522" s="5" t="s">
        <v>13568</v>
      </c>
      <c r="E4522" s="5" t="s">
        <v>13569</v>
      </c>
      <c r="F4522" s="6" t="str">
        <f>IFERROR(__xludf.DUMMYFUNCTION("GOOGLETRANSLATE(D4522,""en"",""it"")"),"Si fida della sua vista, tranne ipotesi.")</f>
        <v>Si fida della sua vista, tranne ipotesi.</v>
      </c>
      <c r="G4522" s="6" t="str">
        <f>IFERROR(__xludf.DUMMYFUNCTION("GOOGLETRANSLATE(E4522,""fr"",""it"")"),"Si fida della sua visione, tranne ipotesi.")</f>
        <v>Si fida della sua visione, tranne ipotesi.</v>
      </c>
    </row>
    <row r="4523">
      <c r="A4523" s="4">
        <v>4521.0</v>
      </c>
      <c r="B4523" s="5" t="s">
        <v>13570</v>
      </c>
      <c r="C4523" s="4">
        <v>0.0</v>
      </c>
      <c r="D4523" s="5" t="s">
        <v>13571</v>
      </c>
      <c r="E4523" s="5" t="s">
        <v>13572</v>
      </c>
      <c r="F4523" s="6" t="str">
        <f>IFERROR(__xludf.DUMMYFUNCTION("GOOGLETRANSLATE(D4523,""en"",""it"")"),"Si fida indovina, tranne la sua vista.")</f>
        <v>Si fida indovina, tranne la sua vista.</v>
      </c>
      <c r="G4523" s="6" t="str">
        <f>IFERROR(__xludf.DUMMYFUNCTION("GOOGLETRANSLATE(E4523,""fr"",""it"")"),"Si fida deipotesi, tranne la sua visione.")</f>
        <v>Si fida deipotesi, tranne la sua visione.</v>
      </c>
    </row>
    <row r="4524">
      <c r="A4524" s="4">
        <v>4522.0</v>
      </c>
      <c r="B4524" s="5" t="s">
        <v>13573</v>
      </c>
      <c r="C4524" s="4">
        <v>0.0</v>
      </c>
      <c r="D4524" s="5" t="s">
        <v>13574</v>
      </c>
      <c r="E4524" s="5" t="s">
        <v>13575</v>
      </c>
      <c r="F4524" s="6" t="str">
        <f>IFERROR(__xludf.DUMMYFUNCTION("GOOGLETRANSLATE(D4524,""en"",""it"")"),"Si fida dei suoi sensi, tranne ipotesi.")</f>
        <v>Si fida dei suoi sensi, tranne ipotesi.</v>
      </c>
      <c r="G4524" s="6" t="str">
        <f>IFERROR(__xludf.DUMMYFUNCTION("GOOGLETRANSLATE(E4524,""fr"",""it"")"),"Si fida dei suoi sensi tranne ipotesi.")</f>
        <v>Si fida dei suoi sensi tranne ipotesi.</v>
      </c>
    </row>
    <row r="4525">
      <c r="A4525" s="4">
        <v>4523.0</v>
      </c>
      <c r="B4525" s="5" t="s">
        <v>13576</v>
      </c>
      <c r="C4525" s="4">
        <v>0.0</v>
      </c>
      <c r="D4525" s="5" t="s">
        <v>13577</v>
      </c>
      <c r="E4525" s="5" t="s">
        <v>13578</v>
      </c>
      <c r="F4525" s="6" t="str">
        <f>IFERROR(__xludf.DUMMYFUNCTION("GOOGLETRANSLATE(D4525,""en"",""it"")"),"Mi piacciono i bobtail, tranne i gatti.")</f>
        <v>Mi piacciono i bobtail, tranne i gatti.</v>
      </c>
      <c r="G4525" s="6" t="str">
        <f>IFERROR(__xludf.DUMMYFUNCTION("GOOGLETRANSLATE(E4525,""fr"",""it"")"),"Mi piacciono i bobtail, tranne i gatti.")</f>
        <v>Mi piacciono i bobtail, tranne i gatti.</v>
      </c>
    </row>
    <row r="4526">
      <c r="A4526" s="4">
        <v>4524.0</v>
      </c>
      <c r="B4526" s="5" t="s">
        <v>13579</v>
      </c>
      <c r="C4526" s="4">
        <v>0.0</v>
      </c>
      <c r="D4526" s="5" t="s">
        <v>13580</v>
      </c>
      <c r="E4526" s="5" t="s">
        <v>13581</v>
      </c>
      <c r="F4526" s="6" t="str">
        <f>IFERROR(__xludf.DUMMYFUNCTION("GOOGLETRANSLATE(D4526,""en"",""it"")"),"Si fida del suo udito, tranne le voci.")</f>
        <v>Si fida del suo udito, tranne le voci.</v>
      </c>
      <c r="G4526" s="6" t="str">
        <f>IFERROR(__xludf.DUMMYFUNCTION("GOOGLETRANSLATE(E4526,""fr"",""it"")"),"Si fida del suo odore, tranne le voci.")</f>
        <v>Si fida del suo odore, tranne le voci.</v>
      </c>
    </row>
    <row r="4527">
      <c r="A4527" s="4">
        <v>4525.0</v>
      </c>
      <c r="B4527" s="5" t="s">
        <v>13582</v>
      </c>
      <c r="C4527" s="4">
        <v>0.0</v>
      </c>
      <c r="D4527" s="5" t="s">
        <v>13583</v>
      </c>
      <c r="E4527" s="5" t="s">
        <v>13584</v>
      </c>
      <c r="F4527" s="6" t="str">
        <f>IFERROR(__xludf.DUMMYFUNCTION("GOOGLETRANSLATE(D4527,""en"",""it"")"),"Si fida delle voci, tranne il suo udito.")</f>
        <v>Si fida delle voci, tranne il suo udito.</v>
      </c>
      <c r="G4527" s="6" t="str">
        <f>IFERROR(__xludf.DUMMYFUNCTION("GOOGLETRANSLATE(E4527,""fr"",""it"")"),"Si fida delle voci, tranne il suo odore.")</f>
        <v>Si fida delle voci, tranne il suo odore.</v>
      </c>
    </row>
    <row r="4528">
      <c r="A4528" s="4">
        <v>4526.0</v>
      </c>
      <c r="B4528" s="5" t="s">
        <v>13585</v>
      </c>
      <c r="C4528" s="4">
        <v>0.0</v>
      </c>
      <c r="D4528" s="5" t="s">
        <v>13586</v>
      </c>
      <c r="E4528" s="5" t="s">
        <v>13587</v>
      </c>
      <c r="F4528" s="6" t="str">
        <f>IFERROR(__xludf.DUMMYFUNCTION("GOOGLETRANSLATE(D4528,""en"",""it"")"),"Si fida del suo udito, tranne i suoi sensi.")</f>
        <v>Si fida del suo udito, tranne i suoi sensi.</v>
      </c>
      <c r="G4528" s="6" t="str">
        <f>IFERROR(__xludf.DUMMYFUNCTION("GOOGLETRANSLATE(E4528,""fr"",""it"")"),"Si fida del suo odore, tranne i suoi sensi.")</f>
        <v>Si fida del suo odore, tranne i suoi sensi.</v>
      </c>
    </row>
    <row r="4529">
      <c r="A4529" s="4">
        <v>4527.0</v>
      </c>
      <c r="B4529" s="5" t="s">
        <v>13588</v>
      </c>
      <c r="C4529" s="4">
        <v>1.0</v>
      </c>
      <c r="D4529" s="5" t="s">
        <v>13589</v>
      </c>
      <c r="E4529" s="5" t="s">
        <v>13590</v>
      </c>
      <c r="F4529" s="6" t="str">
        <f>IFERROR(__xludf.DUMMYFUNCTION("GOOGLETRANSLATE(D4529,""en"",""it"")"),"Si fida dei suoi sensi, tranne il suo udito.")</f>
        <v>Si fida dei suoi sensi, tranne il suo udito.</v>
      </c>
      <c r="G4529" s="6" t="str">
        <f>IFERROR(__xludf.DUMMYFUNCTION("GOOGLETRANSLATE(E4529,""fr"",""it"")"),"Si fida dei suoi sensi tranne il suo odore.")</f>
        <v>Si fida dei suoi sensi tranne il suo odore.</v>
      </c>
    </row>
    <row r="4530">
      <c r="A4530" s="4">
        <v>4528.0</v>
      </c>
      <c r="B4530" s="5" t="s">
        <v>13591</v>
      </c>
      <c r="C4530" s="4">
        <v>0.0</v>
      </c>
      <c r="D4530" s="5" t="s">
        <v>13592</v>
      </c>
      <c r="E4530" s="5" t="s">
        <v>13593</v>
      </c>
      <c r="F4530" s="6" t="str">
        <f>IFERROR(__xludf.DUMMYFUNCTION("GOOGLETRANSLATE(D4530,""en"",""it"")"),"Si fida della sua udito, tranne dei rapporti.")</f>
        <v>Si fida della sua udito, tranne dei rapporti.</v>
      </c>
      <c r="G4530" s="6" t="str">
        <f>IFERROR(__xludf.DUMMYFUNCTION("GOOGLETRANSLATE(E4530,""fr"",""it"")"),"Si fida del suo odororato, tranne i rapporti.")</f>
        <v>Si fida del suo odororato, tranne i rapporti.</v>
      </c>
    </row>
    <row r="4531">
      <c r="A4531" s="4">
        <v>4529.0</v>
      </c>
      <c r="B4531" s="5" t="s">
        <v>13594</v>
      </c>
      <c r="C4531" s="4">
        <v>0.0</v>
      </c>
      <c r="D4531" s="5" t="s">
        <v>13595</v>
      </c>
      <c r="E4531" s="5" t="s">
        <v>13596</v>
      </c>
      <c r="F4531" s="6" t="str">
        <f>IFERROR(__xludf.DUMMYFUNCTION("GOOGLETRANSLATE(D4531,""en"",""it"")"),"Si fida dei rapporti, tranne il suo udito.")</f>
        <v>Si fida dei rapporti, tranne il suo udito.</v>
      </c>
      <c r="G4531" s="6" t="str">
        <f>IFERROR(__xludf.DUMMYFUNCTION("GOOGLETRANSLATE(E4531,""fr"",""it"")"),"Si fida dei rapporti tranne il suo odore.")</f>
        <v>Si fida dei rapporti tranne il suo odore.</v>
      </c>
    </row>
    <row r="4532">
      <c r="A4532" s="4">
        <v>4530.0</v>
      </c>
      <c r="B4532" s="5" t="s">
        <v>13597</v>
      </c>
      <c r="C4532" s="4">
        <v>0.0</v>
      </c>
      <c r="D4532" s="5" t="s">
        <v>13598</v>
      </c>
      <c r="E4532" s="5" t="s">
        <v>13599</v>
      </c>
      <c r="F4532" s="6" t="str">
        <f>IFERROR(__xludf.DUMMYFUNCTION("GOOGLETRANSLATE(D4532,""en"",""it"")"),"Si fida della sua udito, tranne la ricostruzione.")</f>
        <v>Si fida della sua udito, tranne la ricostruzione.</v>
      </c>
      <c r="G4532" s="6" t="str">
        <f>IFERROR(__xludf.DUMMYFUNCTION("GOOGLETRANSLATE(E4532,""fr"",""it"")"),"Si fida del suo odore, tranne la ricostruzione.")</f>
        <v>Si fida del suo odore, tranne la ricostruzione.</v>
      </c>
    </row>
    <row r="4533">
      <c r="A4533" s="4">
        <v>4531.0</v>
      </c>
      <c r="B4533" s="5" t="s">
        <v>13600</v>
      </c>
      <c r="C4533" s="4">
        <v>0.0</v>
      </c>
      <c r="D4533" s="5" t="s">
        <v>13601</v>
      </c>
      <c r="E4533" s="5" t="s">
        <v>13602</v>
      </c>
      <c r="F4533" s="6" t="str">
        <f>IFERROR(__xludf.DUMMYFUNCTION("GOOGLETRANSLATE(D4533,""en"",""it"")"),"Si fida di ricostruzioni, tranne il suo udito.")</f>
        <v>Si fida di ricostruzioni, tranne il suo udito.</v>
      </c>
      <c r="G4533" s="6" t="str">
        <f>IFERROR(__xludf.DUMMYFUNCTION("GOOGLETRANSLATE(E4533,""fr"",""it"")"),"Si fida di ricostruzioni, tranne il suo odore.")</f>
        <v>Si fida di ricostruzioni, tranne il suo odore.</v>
      </c>
    </row>
    <row r="4534">
      <c r="A4534" s="4">
        <v>4532.0</v>
      </c>
      <c r="B4534" s="5" t="s">
        <v>13603</v>
      </c>
      <c r="C4534" s="4">
        <v>0.0</v>
      </c>
      <c r="D4534" s="5" t="s">
        <v>13604</v>
      </c>
      <c r="E4534" s="5" t="s">
        <v>13605</v>
      </c>
      <c r="F4534" s="6" t="str">
        <f>IFERROR(__xludf.DUMMYFUNCTION("GOOGLETRANSLATE(D4534,""en"",""it"")"),"Si fida del suo udito, tranne ipotesi.")</f>
        <v>Si fida del suo udito, tranne ipotesi.</v>
      </c>
      <c r="G4534" s="6" t="str">
        <f>IFERROR(__xludf.DUMMYFUNCTION("GOOGLETRANSLATE(E4534,""fr"",""it"")"),"Si fida del suo odore, tranne ipotesi.")</f>
        <v>Si fida del suo odore, tranne ipotesi.</v>
      </c>
    </row>
    <row r="4535">
      <c r="A4535" s="4">
        <v>4533.0</v>
      </c>
      <c r="B4535" s="5" t="s">
        <v>13606</v>
      </c>
      <c r="C4535" s="4">
        <v>0.0</v>
      </c>
      <c r="D4535" s="5" t="s">
        <v>13607</v>
      </c>
      <c r="E4535" s="5" t="s">
        <v>13608</v>
      </c>
      <c r="F4535" s="6" t="str">
        <f>IFERROR(__xludf.DUMMYFUNCTION("GOOGLETRANSLATE(D4535,""en"",""it"")"),"Si fida indovina, tranne il suo udito.")</f>
        <v>Si fida indovina, tranne il suo udito.</v>
      </c>
      <c r="G4535" s="6" t="str">
        <f>IFERROR(__xludf.DUMMYFUNCTION("GOOGLETRANSLATE(E4535,""fr"",""it"")"),"Si fida deipotesi, tranne il suo odore.")</f>
        <v>Si fida deipotesi, tranne il suo odore.</v>
      </c>
    </row>
    <row r="4536">
      <c r="A4536" s="4">
        <v>4534.0</v>
      </c>
      <c r="B4536" s="5" t="s">
        <v>13609</v>
      </c>
      <c r="C4536" s="4">
        <v>0.0</v>
      </c>
      <c r="D4536" s="5" t="s">
        <v>13610</v>
      </c>
      <c r="E4536" s="5" t="s">
        <v>13611</v>
      </c>
      <c r="F4536" s="6" t="str">
        <f>IFERROR(__xludf.DUMMYFUNCTION("GOOGLETRANSLATE(D4536,""en"",""it"")"),"Si fida del suo tocco, tranne le voci.")</f>
        <v>Si fida del suo tocco, tranne le voci.</v>
      </c>
      <c r="G4536" s="6" t="str">
        <f>IFERROR(__xludf.DUMMYFUNCTION("GOOGLETRANSLATE(E4536,""fr"",""it"")"),"Si fida del suo senso del tatto, tranne le voci.")</f>
        <v>Si fida del suo senso del tatto, tranne le voci.</v>
      </c>
    </row>
    <row r="4537">
      <c r="A4537" s="4">
        <v>4535.0</v>
      </c>
      <c r="B4537" s="5" t="s">
        <v>13612</v>
      </c>
      <c r="C4537" s="4">
        <v>0.0</v>
      </c>
      <c r="D4537" s="5" t="s">
        <v>13613</v>
      </c>
      <c r="E4537" s="5" t="s">
        <v>13614</v>
      </c>
      <c r="F4537" s="6" t="str">
        <f>IFERROR(__xludf.DUMMYFUNCTION("GOOGLETRANSLATE(D4537,""en"",""it"")"),"Si fida delle voci, tranne il suo tocco.")</f>
        <v>Si fida delle voci, tranne il suo tocco.</v>
      </c>
      <c r="G4537" s="6" t="str">
        <f>IFERROR(__xludf.DUMMYFUNCTION("GOOGLETRANSLATE(E4537,""fr"",""it"")"),"Si fida delle voci, tranne il suo senso del tatto.")</f>
        <v>Si fida delle voci, tranne il suo senso del tatto.</v>
      </c>
    </row>
    <row r="4538">
      <c r="A4538" s="4">
        <v>4536.0</v>
      </c>
      <c r="B4538" s="5" t="s">
        <v>13615</v>
      </c>
      <c r="C4538" s="4">
        <v>0.0</v>
      </c>
      <c r="D4538" s="5" t="s">
        <v>13616</v>
      </c>
      <c r="E4538" s="5" t="s">
        <v>13617</v>
      </c>
      <c r="F4538" s="6" t="str">
        <f>IFERROR(__xludf.DUMMYFUNCTION("GOOGLETRANSLATE(D4538,""en"",""it"")"),"Si fida del suo tocco, tranne i suoi sensi.")</f>
        <v>Si fida del suo tocco, tranne i suoi sensi.</v>
      </c>
      <c r="G4538" s="6" t="str">
        <f>IFERROR(__xludf.DUMMYFUNCTION("GOOGLETRANSLATE(E4538,""fr"",""it"")"),"Si fida del suo senso del tatto, tranne i suoi sensi.")</f>
        <v>Si fida del suo senso del tatto, tranne i suoi sensi.</v>
      </c>
    </row>
    <row r="4539">
      <c r="A4539" s="4">
        <v>4537.0</v>
      </c>
      <c r="B4539" s="5" t="s">
        <v>13618</v>
      </c>
      <c r="C4539" s="4">
        <v>1.0</v>
      </c>
      <c r="D4539" s="5" t="s">
        <v>13619</v>
      </c>
      <c r="E4539" s="5" t="s">
        <v>13620</v>
      </c>
      <c r="F4539" s="6" t="str">
        <f>IFERROR(__xludf.DUMMYFUNCTION("GOOGLETRANSLATE(D4539,""en"",""it"")"),"Si fida dei suoi sensi, tranne il suo tocco.")</f>
        <v>Si fida dei suoi sensi, tranne il suo tocco.</v>
      </c>
      <c r="G4539" s="6" t="str">
        <f>IFERROR(__xludf.DUMMYFUNCTION("GOOGLETRANSLATE(E4539,""fr"",""it"")"),"Si fida dei suoi sensi tranne il suo senso del tatto.")</f>
        <v>Si fida dei suoi sensi tranne il suo senso del tatto.</v>
      </c>
    </row>
    <row r="4540">
      <c r="A4540" s="4">
        <v>4538.0</v>
      </c>
      <c r="B4540" s="5" t="s">
        <v>13621</v>
      </c>
      <c r="C4540" s="4">
        <v>0.0</v>
      </c>
      <c r="D4540" s="5" t="s">
        <v>13622</v>
      </c>
      <c r="E4540" s="5" t="s">
        <v>13623</v>
      </c>
      <c r="F4540" s="6" t="str">
        <f>IFERROR(__xludf.DUMMYFUNCTION("GOOGLETRANSLATE(D4540,""en"",""it"")"),"Si fida del suo tocco, tranne dei rapporti.")</f>
        <v>Si fida del suo tocco, tranne dei rapporti.</v>
      </c>
      <c r="G4540" s="6" t="str">
        <f>IFERROR(__xludf.DUMMYFUNCTION("GOOGLETRANSLATE(E4540,""fr"",""it"")"),"Si fida del suo senso del tatto, tranne i rapporti.")</f>
        <v>Si fida del suo senso del tatto, tranne i rapporti.</v>
      </c>
    </row>
    <row r="4541">
      <c r="A4541" s="4">
        <v>4539.0</v>
      </c>
      <c r="B4541" s="5" t="s">
        <v>13624</v>
      </c>
      <c r="C4541" s="4">
        <v>0.0</v>
      </c>
      <c r="D4541" s="5" t="s">
        <v>13625</v>
      </c>
      <c r="E4541" s="5" t="s">
        <v>13626</v>
      </c>
      <c r="F4541" s="6" t="str">
        <f>IFERROR(__xludf.DUMMYFUNCTION("GOOGLETRANSLATE(D4541,""en"",""it"")"),"Si fida dei rapporti, tranne il suo tocco.")</f>
        <v>Si fida dei rapporti, tranne il suo tocco.</v>
      </c>
      <c r="G4541" s="6" t="str">
        <f>IFERROR(__xludf.DUMMYFUNCTION("GOOGLETRANSLATE(E4541,""fr"",""it"")"),"Si fida dei rapporti, tranne il suo senso del tatto.")</f>
        <v>Si fida dei rapporti, tranne il suo senso del tatto.</v>
      </c>
    </row>
    <row r="4542">
      <c r="A4542" s="4">
        <v>4540.0</v>
      </c>
      <c r="B4542" s="5" t="s">
        <v>13627</v>
      </c>
      <c r="C4542" s="4">
        <v>0.0</v>
      </c>
      <c r="D4542" s="5" t="s">
        <v>13628</v>
      </c>
      <c r="E4542" s="5" t="s">
        <v>13629</v>
      </c>
      <c r="F4542" s="6" t="str">
        <f>IFERROR(__xludf.DUMMYFUNCTION("GOOGLETRANSLATE(D4542,""en"",""it"")"),"Si fida del suo tocco, tranne la ricostruzione.")</f>
        <v>Si fida del suo tocco, tranne la ricostruzione.</v>
      </c>
      <c r="G4542" s="6" t="str">
        <f>IFERROR(__xludf.DUMMYFUNCTION("GOOGLETRANSLATE(E4542,""fr"",""it"")"),"Si fida del suo senso del tatto, tranne le ricostruzioni.")</f>
        <v>Si fida del suo senso del tatto, tranne le ricostruzioni.</v>
      </c>
    </row>
    <row r="4543">
      <c r="A4543" s="4">
        <v>4541.0</v>
      </c>
      <c r="B4543" s="5" t="s">
        <v>13630</v>
      </c>
      <c r="C4543" s="4">
        <v>0.0</v>
      </c>
      <c r="D4543" s="5" t="s">
        <v>13631</v>
      </c>
      <c r="E4543" s="5" t="s">
        <v>13632</v>
      </c>
      <c r="F4543" s="6" t="str">
        <f>IFERROR(__xludf.DUMMYFUNCTION("GOOGLETRANSLATE(D4543,""en"",""it"")"),"Si fida di ricostruzioni, tranne il suo tocco.")</f>
        <v>Si fida di ricostruzioni, tranne il suo tocco.</v>
      </c>
      <c r="G4543" s="6" t="str">
        <f>IFERROR(__xludf.DUMMYFUNCTION("GOOGLETRANSLATE(E4543,""fr"",""it"")"),"Si fida di ricostruzioni, tranne il suo senso del tatto.")</f>
        <v>Si fida di ricostruzioni, tranne il suo senso del tatto.</v>
      </c>
    </row>
    <row r="4544">
      <c r="A4544" s="4">
        <v>4542.0</v>
      </c>
      <c r="B4544" s="5" t="s">
        <v>13633</v>
      </c>
      <c r="C4544" s="4">
        <v>0.0</v>
      </c>
      <c r="D4544" s="5" t="s">
        <v>13634</v>
      </c>
      <c r="E4544" s="5" t="s">
        <v>13635</v>
      </c>
      <c r="F4544" s="6" t="str">
        <f>IFERROR(__xludf.DUMMYFUNCTION("GOOGLETRANSLATE(D4544,""en"",""it"")"),"Si fida del suo tocco, tranne ipotesi.")</f>
        <v>Si fida del suo tocco, tranne ipotesi.</v>
      </c>
      <c r="G4544" s="6" t="str">
        <f>IFERROR(__xludf.DUMMYFUNCTION("GOOGLETRANSLATE(E4544,""fr"",""it"")"),"Si fida del suo senso del tatto, tranne ipotesi.")</f>
        <v>Si fida del suo senso del tatto, tranne ipotesi.</v>
      </c>
    </row>
    <row r="4545">
      <c r="A4545" s="4">
        <v>4543.0</v>
      </c>
      <c r="B4545" s="5" t="s">
        <v>13636</v>
      </c>
      <c r="C4545" s="4">
        <v>0.0</v>
      </c>
      <c r="D4545" s="5" t="s">
        <v>13637</v>
      </c>
      <c r="E4545" s="5" t="s">
        <v>13638</v>
      </c>
      <c r="F4545" s="6" t="str">
        <f>IFERROR(__xludf.DUMMYFUNCTION("GOOGLETRANSLATE(D4545,""en"",""it"")"),"Si fida indovina, tranne il suo tocco.")</f>
        <v>Si fida indovina, tranne il suo tocco.</v>
      </c>
      <c r="G4545" s="6" t="str">
        <f>IFERROR(__xludf.DUMMYFUNCTION("GOOGLETRANSLATE(E4545,""fr"",""it"")"),"Si fida di supposizione, tranne il suo senso del tatto.")</f>
        <v>Si fida di supposizione, tranne il suo senso del tatto.</v>
      </c>
    </row>
    <row r="4546">
      <c r="A4546" s="4">
        <v>4544.0</v>
      </c>
      <c r="B4546" s="5" t="s">
        <v>13639</v>
      </c>
      <c r="C4546" s="4">
        <v>0.0</v>
      </c>
      <c r="D4546" s="5" t="s">
        <v>13640</v>
      </c>
      <c r="E4546" s="5" t="s">
        <v>13641</v>
      </c>
      <c r="F4546" s="6" t="str">
        <f>IFERROR(__xludf.DUMMYFUNCTION("GOOGLETRANSLATE(D4546,""en"",""it"")"),"Si fida dei suoi gusti, tranne le voci.")</f>
        <v>Si fida dei suoi gusti, tranne le voci.</v>
      </c>
      <c r="G4546" s="6" t="str">
        <f>IFERROR(__xludf.DUMMYFUNCTION("GOOGLETRANSLATE(E4546,""fr"",""it"")"),"Si fida del suo senso del gusto, tranne le voci.")</f>
        <v>Si fida del suo senso del gusto, tranne le voci.</v>
      </c>
    </row>
    <row r="4547">
      <c r="A4547" s="4">
        <v>4545.0</v>
      </c>
      <c r="B4547" s="5" t="s">
        <v>13642</v>
      </c>
      <c r="C4547" s="4">
        <v>0.0</v>
      </c>
      <c r="D4547" s="5" t="s">
        <v>13643</v>
      </c>
      <c r="E4547" s="5" t="s">
        <v>13644</v>
      </c>
      <c r="F4547" s="6" t="str">
        <f>IFERROR(__xludf.DUMMYFUNCTION("GOOGLETRANSLATE(D4547,""en"",""it"")"),"Si fida delle voci, tranne il suo gusto.")</f>
        <v>Si fida delle voci, tranne il suo gusto.</v>
      </c>
      <c r="G4547" s="6" t="str">
        <f>IFERROR(__xludf.DUMMYFUNCTION("GOOGLETRANSLATE(E4547,""fr"",""it"")"),"Si fida di voci, tranne il suo senso del gusto.")</f>
        <v>Si fida di voci, tranne il suo senso del gusto.</v>
      </c>
    </row>
    <row r="4548">
      <c r="A4548" s="4">
        <v>4546.0</v>
      </c>
      <c r="B4548" s="5" t="s">
        <v>13645</v>
      </c>
      <c r="C4548" s="4">
        <v>0.0</v>
      </c>
      <c r="D4548" s="5" t="s">
        <v>13646</v>
      </c>
      <c r="E4548" s="5" t="s">
        <v>13647</v>
      </c>
      <c r="F4548" s="6" t="str">
        <f>IFERROR(__xludf.DUMMYFUNCTION("GOOGLETRANSLATE(D4548,""en"",""it"")"),"Si fida del suo gusto, tranne i suoi sensi.")</f>
        <v>Si fida del suo gusto, tranne i suoi sensi.</v>
      </c>
      <c r="G4548" s="6" t="str">
        <f>IFERROR(__xludf.DUMMYFUNCTION("GOOGLETRANSLATE(E4548,""fr"",""it"")"),"Si fida del suo senso del gusto, tranne i suoi sensi.")</f>
        <v>Si fida del suo senso del gusto, tranne i suoi sensi.</v>
      </c>
    </row>
    <row r="4549">
      <c r="A4549" s="4">
        <v>4547.0</v>
      </c>
      <c r="B4549" s="5" t="s">
        <v>13648</v>
      </c>
      <c r="C4549" s="4">
        <v>1.0</v>
      </c>
      <c r="D4549" s="5" t="s">
        <v>13649</v>
      </c>
      <c r="E4549" s="5" t="s">
        <v>13650</v>
      </c>
      <c r="F4549" s="6" t="str">
        <f>IFERROR(__xludf.DUMMYFUNCTION("GOOGLETRANSLATE(D4549,""en"",""it"")"),"Si fida dei suoi sensi, tranne il suo gusto.")</f>
        <v>Si fida dei suoi sensi, tranne il suo gusto.</v>
      </c>
      <c r="G4549" s="6" t="str">
        <f>IFERROR(__xludf.DUMMYFUNCTION("GOOGLETRANSLATE(E4549,""fr"",""it"")"),"Si fida dei suoi sensi, tranne il suo senso del gusto.")</f>
        <v>Si fida dei suoi sensi, tranne il suo senso del gusto.</v>
      </c>
    </row>
    <row r="4550">
      <c r="A4550" s="4">
        <v>4548.0</v>
      </c>
      <c r="B4550" s="5" t="s">
        <v>13651</v>
      </c>
      <c r="C4550" s="4">
        <v>0.0</v>
      </c>
      <c r="D4550" s="5" t="s">
        <v>13652</v>
      </c>
      <c r="E4550" s="5" t="s">
        <v>13653</v>
      </c>
      <c r="F4550" s="6" t="str">
        <f>IFERROR(__xludf.DUMMYFUNCTION("GOOGLETRANSLATE(D4550,""en"",""it"")"),"Si fida dei suoi gusti, tranne dei rapporti.")</f>
        <v>Si fida dei suoi gusti, tranne dei rapporti.</v>
      </c>
      <c r="G4550" s="6" t="str">
        <f>IFERROR(__xludf.DUMMYFUNCTION("GOOGLETRANSLATE(E4550,""fr"",""it"")"),"Si fida del suo senso del gusto, ad eccezione dei rapporti.")</f>
        <v>Si fida del suo senso del gusto, ad eccezione dei rapporti.</v>
      </c>
    </row>
    <row r="4551">
      <c r="A4551" s="4">
        <v>4549.0</v>
      </c>
      <c r="B4551" s="5" t="s">
        <v>13654</v>
      </c>
      <c r="C4551" s="4">
        <v>0.0</v>
      </c>
      <c r="D4551" s="5" t="s">
        <v>13655</v>
      </c>
      <c r="E4551" s="5" t="s">
        <v>13656</v>
      </c>
      <c r="F4551" s="6" t="str">
        <f>IFERROR(__xludf.DUMMYFUNCTION("GOOGLETRANSLATE(D4551,""en"",""it"")"),"Si fida dei rapporti, tranne il suo gusto.")</f>
        <v>Si fida dei rapporti, tranne il suo gusto.</v>
      </c>
      <c r="G4551" s="6" t="str">
        <f>IFERROR(__xludf.DUMMYFUNCTION("GOOGLETRANSLATE(E4551,""fr"",""it"")"),"Si fida dei rapporti, tranne il suo senso del gusto.")</f>
        <v>Si fida dei rapporti, tranne il suo senso del gusto.</v>
      </c>
    </row>
    <row r="4552">
      <c r="A4552" s="4">
        <v>4550.0</v>
      </c>
      <c r="B4552" s="5" t="s">
        <v>13657</v>
      </c>
      <c r="C4552" s="4">
        <v>0.0</v>
      </c>
      <c r="D4552" s="5" t="s">
        <v>13658</v>
      </c>
      <c r="E4552" s="5" t="s">
        <v>13659</v>
      </c>
      <c r="F4552" s="6" t="str">
        <f>IFERROR(__xludf.DUMMYFUNCTION("GOOGLETRANSLATE(D4552,""en"",""it"")"),"Si fida dei suoi gusti, tranne la ricostruzione.")</f>
        <v>Si fida dei suoi gusti, tranne la ricostruzione.</v>
      </c>
      <c r="G4552" s="6" t="str">
        <f>IFERROR(__xludf.DUMMYFUNCTION("GOOGLETRANSLATE(E4552,""fr"",""it"")"),"Si fida del suo senso del gusto, tranne la ricostruzione.")</f>
        <v>Si fida del suo senso del gusto, tranne la ricostruzione.</v>
      </c>
    </row>
    <row r="4553">
      <c r="A4553" s="4">
        <v>4551.0</v>
      </c>
      <c r="B4553" s="5" t="s">
        <v>13660</v>
      </c>
      <c r="C4553" s="4">
        <v>0.0</v>
      </c>
      <c r="D4553" s="5" t="s">
        <v>13661</v>
      </c>
      <c r="E4553" s="5" t="s">
        <v>13662</v>
      </c>
      <c r="F4553" s="6" t="str">
        <f>IFERROR(__xludf.DUMMYFUNCTION("GOOGLETRANSLATE(D4553,""en"",""it"")"),"Si fida di ricostruzioni, tranne il suo gusto.")</f>
        <v>Si fida di ricostruzioni, tranne il suo gusto.</v>
      </c>
      <c r="G4553" s="6" t="str">
        <f>IFERROR(__xludf.DUMMYFUNCTION("GOOGLETRANSLATE(E4553,""fr"",""it"")"),"Si fida di ricostruzioni, tranne il suo senso del gusto.")</f>
        <v>Si fida di ricostruzioni, tranne il suo senso del gusto.</v>
      </c>
    </row>
    <row r="4554">
      <c r="A4554" s="4">
        <v>4552.0</v>
      </c>
      <c r="B4554" s="5" t="s">
        <v>13663</v>
      </c>
      <c r="C4554" s="4">
        <v>0.0</v>
      </c>
      <c r="D4554" s="5" t="s">
        <v>13664</v>
      </c>
      <c r="E4554" s="5" t="s">
        <v>13665</v>
      </c>
      <c r="F4554" s="6" t="str">
        <f>IFERROR(__xludf.DUMMYFUNCTION("GOOGLETRANSLATE(D4554,""en"",""it"")"),"Si fida dei suoi gusti, tranne ipotesi.")</f>
        <v>Si fida dei suoi gusti, tranne ipotesi.</v>
      </c>
      <c r="G4554" s="6" t="str">
        <f>IFERROR(__xludf.DUMMYFUNCTION("GOOGLETRANSLATE(E4554,""fr"",""it"")"),"Si fida del suo senso del gusto, tranne ipotesi.")</f>
        <v>Si fida del suo senso del gusto, tranne ipotesi.</v>
      </c>
    </row>
    <row r="4555">
      <c r="A4555" s="4">
        <v>4553.0</v>
      </c>
      <c r="B4555" s="5" t="s">
        <v>13666</v>
      </c>
      <c r="C4555" s="4">
        <v>0.0</v>
      </c>
      <c r="D4555" s="5" t="s">
        <v>13667</v>
      </c>
      <c r="E4555" s="5" t="s">
        <v>13668</v>
      </c>
      <c r="F4555" s="6" t="str">
        <f>IFERROR(__xludf.DUMMYFUNCTION("GOOGLETRANSLATE(D4555,""en"",""it"")"),"Si fida indovina, tranne il suo gusto.")</f>
        <v>Si fida indovina, tranne il suo gusto.</v>
      </c>
      <c r="G4555" s="6" t="str">
        <f>IFERROR(__xludf.DUMMYFUNCTION("GOOGLETRANSLATE(E4555,""fr"",""it"")"),"Si fida deipotesi, tranne il suo senso del gusto.")</f>
        <v>Si fida deipotesi, tranne il suo senso del gusto.</v>
      </c>
    </row>
    <row r="4556">
      <c r="A4556" s="4">
        <v>4554.0</v>
      </c>
      <c r="B4556" s="5" t="s">
        <v>13669</v>
      </c>
      <c r="C4556" s="4">
        <v>0.0</v>
      </c>
      <c r="D4556" s="5" t="s">
        <v>13670</v>
      </c>
      <c r="E4556" s="5" t="s">
        <v>13671</v>
      </c>
      <c r="F4556" s="6" t="str">
        <f>IFERROR(__xludf.DUMMYFUNCTION("GOOGLETRANSLATE(D4556,""en"",""it"")"),"Mi piacciono i gatti, tranne i bobtail.")</f>
        <v>Mi piacciono i gatti, tranne i bobtail.</v>
      </c>
      <c r="G4556" s="6" t="str">
        <f>IFERROR(__xludf.DUMMYFUNCTION("GOOGLETRANSLATE(E4556,""fr"",""it"")"),"Mi piacciono i gatti, tranne i bobtail.")</f>
        <v>Mi piacciono i gatti, tranne i bobtail.</v>
      </c>
    </row>
    <row r="4557">
      <c r="A4557" s="4">
        <v>4555.0</v>
      </c>
      <c r="B4557" s="5" t="s">
        <v>13672</v>
      </c>
      <c r="C4557" s="4">
        <v>0.0</v>
      </c>
      <c r="D4557" s="5" t="s">
        <v>13673</v>
      </c>
      <c r="E4557" s="5" t="s">
        <v>13674</v>
      </c>
      <c r="F4557" s="6" t="str">
        <f>IFERROR(__xludf.DUMMYFUNCTION("GOOGLETRANSLATE(D4557,""en"",""it"")"),"A lui piace la gioia, tranne la saggezza.")</f>
        <v>A lui piace la gioia, tranne la saggezza.</v>
      </c>
      <c r="G4557" s="6" t="str">
        <f>IFERROR(__xludf.DUMMYFUNCTION("GOOGLETRANSLATE(E4557,""fr"",""it"")"),"Posso capire la gioia tranne la saggezza.")</f>
        <v>Posso capire la gioia tranne la saggezza.</v>
      </c>
    </row>
    <row r="4558">
      <c r="A4558" s="4">
        <v>4556.0</v>
      </c>
      <c r="B4558" s="5" t="s">
        <v>13675</v>
      </c>
      <c r="C4558" s="4">
        <v>0.0</v>
      </c>
      <c r="D4558" s="5" t="s">
        <v>13676</v>
      </c>
      <c r="E4558" s="5" t="s">
        <v>13677</v>
      </c>
      <c r="F4558" s="6" t="str">
        <f>IFERROR(__xludf.DUMMYFUNCTION("GOOGLETRANSLATE(D4558,""en"",""it"")"),"A lui piace la saggezza, tranne la gioia.")</f>
        <v>A lui piace la saggezza, tranne la gioia.</v>
      </c>
      <c r="G4558" s="6" t="str">
        <f>IFERROR(__xludf.DUMMYFUNCTION("GOOGLETRANSLATE(E4558,""fr"",""it"")"),"Posso capire la saggezza, ad eccezione della gioia.")</f>
        <v>Posso capire la saggezza, ad eccezione della gioia.</v>
      </c>
    </row>
    <row r="4559">
      <c r="A4559" s="4">
        <v>4557.0</v>
      </c>
      <c r="B4559" s="5" t="s">
        <v>13678</v>
      </c>
      <c r="C4559" s="4">
        <v>0.0</v>
      </c>
      <c r="D4559" s="5" t="s">
        <v>13679</v>
      </c>
      <c r="E4559" s="5" t="s">
        <v>13680</v>
      </c>
      <c r="F4559" s="6" t="str">
        <f>IFERROR(__xludf.DUMMYFUNCTION("GOOGLETRANSLATE(D4559,""en"",""it"")"),"A lui piace la gioia, tranne le emozioni.")</f>
        <v>A lui piace la gioia, tranne le emozioni.</v>
      </c>
      <c r="G4559" s="6" t="str">
        <f>IFERROR(__xludf.DUMMYFUNCTION("GOOGLETRANSLATE(E4559,""fr"",""it"")"),"Posso capire la gioia tranne le emozioni.")</f>
        <v>Posso capire la gioia tranne le emozioni.</v>
      </c>
    </row>
    <row r="4560">
      <c r="A4560" s="4">
        <v>4558.0</v>
      </c>
      <c r="B4560" s="5" t="s">
        <v>13681</v>
      </c>
      <c r="C4560" s="4">
        <v>1.0</v>
      </c>
      <c r="D4560" s="5" t="s">
        <v>13682</v>
      </c>
      <c r="E4560" s="5" t="s">
        <v>13683</v>
      </c>
      <c r="F4560" s="6" t="str">
        <f>IFERROR(__xludf.DUMMYFUNCTION("GOOGLETRANSLATE(D4560,""en"",""it"")"),"Gli piace le emozioni, tranne la gioia.")</f>
        <v>Gli piace le emozioni, tranne la gioia.</v>
      </c>
      <c r="G4560" s="6" t="str">
        <f>IFERROR(__xludf.DUMMYFUNCTION("GOOGLETRANSLATE(E4560,""fr"",""it"")"),"Posso capire le emozioni, tranne la gioia.")</f>
        <v>Posso capire le emozioni, tranne la gioia.</v>
      </c>
    </row>
    <row r="4561">
      <c r="A4561" s="4">
        <v>4559.0</v>
      </c>
      <c r="B4561" s="5" t="s">
        <v>13684</v>
      </c>
      <c r="C4561" s="4">
        <v>0.0</v>
      </c>
      <c r="D4561" s="5" t="s">
        <v>13685</v>
      </c>
      <c r="E4561" s="5" t="s">
        <v>13686</v>
      </c>
      <c r="F4561" s="6" t="str">
        <f>IFERROR(__xludf.DUMMYFUNCTION("GOOGLETRANSLATE(D4561,""en"",""it"")"),"Gli piace le emozioni, tranne la saggezza.")</f>
        <v>Gli piace le emozioni, tranne la saggezza.</v>
      </c>
      <c r="G4561" s="6" t="str">
        <f>IFERROR(__xludf.DUMMYFUNCTION("GOOGLETRANSLATE(E4561,""fr"",""it"")"),"Posso capire le emozioni, tranne la saggezza.")</f>
        <v>Posso capire le emozioni, tranne la saggezza.</v>
      </c>
    </row>
    <row r="4562">
      <c r="A4562" s="4">
        <v>4560.0</v>
      </c>
      <c r="B4562" s="5" t="s">
        <v>13687</v>
      </c>
      <c r="C4562" s="4">
        <v>0.0</v>
      </c>
      <c r="D4562" s="5" t="s">
        <v>13688</v>
      </c>
      <c r="E4562" s="5" t="s">
        <v>13689</v>
      </c>
      <c r="F4562" s="6" t="str">
        <f>IFERROR(__xludf.DUMMYFUNCTION("GOOGLETRANSLATE(D4562,""en"",""it"")"),"A lui piace la gioia, tranne la stupidità.")</f>
        <v>A lui piace la gioia, tranne la stupidità.</v>
      </c>
      <c r="G4562" s="6" t="str">
        <f>IFERROR(__xludf.DUMMYFUNCTION("GOOGLETRANSLATE(E4562,""fr"",""it"")"),"Posso capire la gioia tranne la stupidità.")</f>
        <v>Posso capire la gioia tranne la stupidità.</v>
      </c>
    </row>
    <row r="4563">
      <c r="A4563" s="4">
        <v>4561.0</v>
      </c>
      <c r="B4563" s="5" t="s">
        <v>13690</v>
      </c>
      <c r="C4563" s="4">
        <v>0.0</v>
      </c>
      <c r="D4563" s="5" t="s">
        <v>13691</v>
      </c>
      <c r="E4563" s="5" t="s">
        <v>13692</v>
      </c>
      <c r="F4563" s="6" t="str">
        <f>IFERROR(__xludf.DUMMYFUNCTION("GOOGLETRANSLATE(D4563,""en"",""it"")"),"A lui piace la stupidità, tranne la gioia.")</f>
        <v>A lui piace la stupidità, tranne la gioia.</v>
      </c>
      <c r="G4563" s="6" t="str">
        <f>IFERROR(__xludf.DUMMYFUNCTION("GOOGLETRANSLATE(E4563,""fr"",""it"")"),"Posso capire la stupidità, ad eccezione della gioia.")</f>
        <v>Posso capire la stupidità, ad eccezione della gioia.</v>
      </c>
    </row>
    <row r="4564">
      <c r="A4564" s="4">
        <v>4562.0</v>
      </c>
      <c r="B4564" s="5" t="s">
        <v>13693</v>
      </c>
      <c r="C4564" s="4">
        <v>0.0</v>
      </c>
      <c r="D4564" s="5" t="s">
        <v>13694</v>
      </c>
      <c r="E4564" s="5" t="s">
        <v>13695</v>
      </c>
      <c r="F4564" s="6" t="str">
        <f>IFERROR(__xludf.DUMMYFUNCTION("GOOGLETRANSLATE(D4564,""en"",""it"")"),"Gli piace le emozioni, tranne la stupidità.")</f>
        <v>Gli piace le emozioni, tranne la stupidità.</v>
      </c>
      <c r="G4564" s="6" t="str">
        <f>IFERROR(__xludf.DUMMYFUNCTION("GOOGLETRANSLATE(E4564,""fr"",""it"")"),"Posso capire le emozioni, tranne la stupidità.")</f>
        <v>Posso capire le emozioni, tranne la stupidità.</v>
      </c>
    </row>
    <row r="4565">
      <c r="A4565" s="4">
        <v>4563.0</v>
      </c>
      <c r="B4565" s="5" t="s">
        <v>13696</v>
      </c>
      <c r="C4565" s="4">
        <v>0.0</v>
      </c>
      <c r="D4565" s="5" t="s">
        <v>13697</v>
      </c>
      <c r="E4565" s="5" t="s">
        <v>13698</v>
      </c>
      <c r="F4565" s="6" t="str">
        <f>IFERROR(__xludf.DUMMYFUNCTION("GOOGLETRANSLATE(D4565,""en"",""it"")"),"A lui piace la gioia, tranne la logica.")</f>
        <v>A lui piace la gioia, tranne la logica.</v>
      </c>
      <c r="G4565" s="6" t="str">
        <f>IFERROR(__xludf.DUMMYFUNCTION("GOOGLETRANSLATE(E4565,""fr"",""it"")"),"Posso capire la gioia tranne la logica.")</f>
        <v>Posso capire la gioia tranne la logica.</v>
      </c>
    </row>
    <row r="4566">
      <c r="A4566" s="4">
        <v>4564.0</v>
      </c>
      <c r="B4566" s="5" t="s">
        <v>13699</v>
      </c>
      <c r="C4566" s="4">
        <v>0.0</v>
      </c>
      <c r="D4566" s="5" t="s">
        <v>13700</v>
      </c>
      <c r="E4566" s="5" t="s">
        <v>13701</v>
      </c>
      <c r="F4566" s="6" t="str">
        <f>IFERROR(__xludf.DUMMYFUNCTION("GOOGLETRANSLATE(D4566,""en"",""it"")"),"Gli piace la logica, tranne la gioia.")</f>
        <v>Gli piace la logica, tranne la gioia.</v>
      </c>
      <c r="G4566" s="6" t="str">
        <f>IFERROR(__xludf.DUMMYFUNCTION("GOOGLETRANSLATE(E4566,""fr"",""it"")"),"Posso capire la logica tranne la gioia.")</f>
        <v>Posso capire la logica tranne la gioia.</v>
      </c>
    </row>
    <row r="4567">
      <c r="A4567" s="4">
        <v>4565.0</v>
      </c>
      <c r="B4567" s="5" t="s">
        <v>13702</v>
      </c>
      <c r="C4567" s="4">
        <v>0.0</v>
      </c>
      <c r="D4567" s="5" t="s">
        <v>13703</v>
      </c>
      <c r="E4567" s="5" t="s">
        <v>13704</v>
      </c>
      <c r="F4567" s="6" t="str">
        <f>IFERROR(__xludf.DUMMYFUNCTION("GOOGLETRANSLATE(D4567,""en"",""it"")"),"Gli piace le emozioni, tranne la logica.")</f>
        <v>Gli piace le emozioni, tranne la logica.</v>
      </c>
      <c r="G4567" s="6" t="str">
        <f>IFERROR(__xludf.DUMMYFUNCTION("GOOGLETRANSLATE(E4567,""fr"",""it"")"),"Posso capire le emozioni, tranne la logica.")</f>
        <v>Posso capire le emozioni, tranne la logica.</v>
      </c>
    </row>
    <row r="4568">
      <c r="A4568" s="4">
        <v>4566.0</v>
      </c>
      <c r="B4568" s="5" t="s">
        <v>13705</v>
      </c>
      <c r="C4568" s="4">
        <v>0.0</v>
      </c>
      <c r="D4568" s="5" t="s">
        <v>13706</v>
      </c>
      <c r="E4568" s="5" t="s">
        <v>13707</v>
      </c>
      <c r="F4568" s="6" t="str">
        <f>IFERROR(__xludf.DUMMYFUNCTION("GOOGLETRANSLATE(D4568,""en"",""it"")"),"A lui piace la gioia, tranne i calcoli.")</f>
        <v>A lui piace la gioia, tranne i calcoli.</v>
      </c>
      <c r="G4568" s="6" t="str">
        <f>IFERROR(__xludf.DUMMYFUNCTION("GOOGLETRANSLATE(E4568,""fr"",""it"")"),"Posso capire la gioia tranne i calcoli.")</f>
        <v>Posso capire la gioia tranne i calcoli.</v>
      </c>
    </row>
    <row r="4569">
      <c r="A4569" s="4">
        <v>4567.0</v>
      </c>
      <c r="B4569" s="5" t="s">
        <v>13708</v>
      </c>
      <c r="C4569" s="4">
        <v>0.0</v>
      </c>
      <c r="D4569" s="5" t="s">
        <v>13709</v>
      </c>
      <c r="E4569" s="5" t="s">
        <v>13710</v>
      </c>
      <c r="F4569" s="6" t="str">
        <f>IFERROR(__xludf.DUMMYFUNCTION("GOOGLETRANSLATE(D4569,""en"",""it"")"),"Gli piacciono i calcoli, ad eccezione della gioia.")</f>
        <v>Gli piacciono i calcoli, ad eccezione della gioia.</v>
      </c>
      <c r="G4569" s="6" t="str">
        <f>IFERROR(__xludf.DUMMYFUNCTION("GOOGLETRANSLATE(E4569,""fr"",""it"")"),"Posso capire i calcoli, ad eccezione della gioia.")</f>
        <v>Posso capire i calcoli, ad eccezione della gioia.</v>
      </c>
    </row>
    <row r="4570">
      <c r="A4570" s="4">
        <v>4568.0</v>
      </c>
      <c r="B4570" s="5" t="s">
        <v>13711</v>
      </c>
      <c r="C4570" s="4">
        <v>0.0</v>
      </c>
      <c r="D4570" s="5" t="s">
        <v>13712</v>
      </c>
      <c r="E4570" s="5" t="s">
        <v>13713</v>
      </c>
      <c r="F4570" s="6" t="str">
        <f>IFERROR(__xludf.DUMMYFUNCTION("GOOGLETRANSLATE(D4570,""en"",""it"")"),"Gli piace le emozioni, tranne i calcoli.")</f>
        <v>Gli piace le emozioni, tranne i calcoli.</v>
      </c>
      <c r="G4570" s="6" t="str">
        <f>IFERROR(__xludf.DUMMYFUNCTION("GOOGLETRANSLATE(E4570,""fr"",""it"")"),"Posso capire le emozioni, tranne calcoli.")</f>
        <v>Posso capire le emozioni, tranne calcoli.</v>
      </c>
    </row>
    <row r="4571">
      <c r="A4571" s="4">
        <v>4569.0</v>
      </c>
      <c r="B4571" s="5" t="s">
        <v>13714</v>
      </c>
      <c r="C4571" s="4">
        <v>0.0</v>
      </c>
      <c r="D4571" s="5" t="s">
        <v>13715</v>
      </c>
      <c r="E4571" s="5" t="s">
        <v>13716</v>
      </c>
      <c r="F4571" s="6" t="str">
        <f>IFERROR(__xludf.DUMMYFUNCTION("GOOGLETRANSLATE(D4571,""en"",""it"")"),"Gli piace la paura, tranne la saggezza.")</f>
        <v>Gli piace la paura, tranne la saggezza.</v>
      </c>
      <c r="G4571" s="6" t="str">
        <f>IFERROR(__xludf.DUMMYFUNCTION("GOOGLETRANSLATE(E4571,""fr"",""it"")"),"Posso capire la paura tranne la saggezza.")</f>
        <v>Posso capire la paura tranne la saggezza.</v>
      </c>
    </row>
    <row r="4572">
      <c r="A4572" s="4">
        <v>4570.0</v>
      </c>
      <c r="B4572" s="5" t="s">
        <v>13717</v>
      </c>
      <c r="C4572" s="4">
        <v>0.0</v>
      </c>
      <c r="D4572" s="5" t="s">
        <v>13718</v>
      </c>
      <c r="E4572" s="5" t="s">
        <v>13719</v>
      </c>
      <c r="F4572" s="6" t="str">
        <f>IFERROR(__xludf.DUMMYFUNCTION("GOOGLETRANSLATE(D4572,""en"",""it"")"),"A lui piace la saggezza, tranne la paura.")</f>
        <v>A lui piace la saggezza, tranne la paura.</v>
      </c>
      <c r="G4572" s="6" t="str">
        <f>IFERROR(__xludf.DUMMYFUNCTION("GOOGLETRANSLATE(E4572,""fr"",""it"")"),"Posso capire la saggezza, tranne la paura.")</f>
        <v>Posso capire la saggezza, tranne la paura.</v>
      </c>
    </row>
    <row r="4573">
      <c r="A4573" s="4">
        <v>4571.0</v>
      </c>
      <c r="B4573" s="5" t="s">
        <v>13720</v>
      </c>
      <c r="C4573" s="4">
        <v>0.0</v>
      </c>
      <c r="D4573" s="5" t="s">
        <v>13721</v>
      </c>
      <c r="E4573" s="5" t="s">
        <v>13722</v>
      </c>
      <c r="F4573" s="6" t="str">
        <f>IFERROR(__xludf.DUMMYFUNCTION("GOOGLETRANSLATE(D4573,""en"",""it"")"),"Gli piace la paura, tranne le emozioni.")</f>
        <v>Gli piace la paura, tranne le emozioni.</v>
      </c>
      <c r="G4573" s="6" t="str">
        <f>IFERROR(__xludf.DUMMYFUNCTION("GOOGLETRANSLATE(E4573,""fr"",""it"")"),"Posso capire la paura tranne le emozioni.")</f>
        <v>Posso capire la paura tranne le emozioni.</v>
      </c>
    </row>
    <row r="4574">
      <c r="A4574" s="4">
        <v>4572.0</v>
      </c>
      <c r="B4574" s="5" t="s">
        <v>13723</v>
      </c>
      <c r="C4574" s="4">
        <v>1.0</v>
      </c>
      <c r="D4574" s="5" t="s">
        <v>13724</v>
      </c>
      <c r="E4574" s="5" t="s">
        <v>13725</v>
      </c>
      <c r="F4574" s="6" t="str">
        <f>IFERROR(__xludf.DUMMYFUNCTION("GOOGLETRANSLATE(D4574,""en"",""it"")"),"A lui piace le emozioni, tranne la paura.")</f>
        <v>A lui piace le emozioni, tranne la paura.</v>
      </c>
      <c r="G4574" s="6" t="str">
        <f>IFERROR(__xludf.DUMMYFUNCTION("GOOGLETRANSLATE(E4574,""fr"",""it"")"),"Posso capire le emozioni, tranne la paura.")</f>
        <v>Posso capire le emozioni, tranne la paura.</v>
      </c>
    </row>
    <row r="4575">
      <c r="A4575" s="4">
        <v>4573.0</v>
      </c>
      <c r="B4575" s="5" t="s">
        <v>13726</v>
      </c>
      <c r="C4575" s="4">
        <v>0.0</v>
      </c>
      <c r="D4575" s="5" t="s">
        <v>13727</v>
      </c>
      <c r="E4575" s="5" t="s">
        <v>13728</v>
      </c>
      <c r="F4575" s="6" t="str">
        <f>IFERROR(__xludf.DUMMYFUNCTION("GOOGLETRANSLATE(D4575,""en"",""it"")"),"Gli piace la paura, tranne la stupidità.")</f>
        <v>Gli piace la paura, tranne la stupidità.</v>
      </c>
      <c r="G4575" s="6" t="str">
        <f>IFERROR(__xludf.DUMMYFUNCTION("GOOGLETRANSLATE(E4575,""fr"",""it"")"),"Posso capire la paura, tranne la stupidità.")</f>
        <v>Posso capire la paura, tranne la stupidità.</v>
      </c>
    </row>
    <row r="4576">
      <c r="A4576" s="4">
        <v>4574.0</v>
      </c>
      <c r="B4576" s="5" t="s">
        <v>13729</v>
      </c>
      <c r="C4576" s="4">
        <v>0.0</v>
      </c>
      <c r="D4576" s="5" t="s">
        <v>13730</v>
      </c>
      <c r="E4576" s="5" t="s">
        <v>13731</v>
      </c>
      <c r="F4576" s="6" t="str">
        <f>IFERROR(__xludf.DUMMYFUNCTION("GOOGLETRANSLATE(D4576,""en"",""it"")"),"A lui piace la stupidità, tranne la paura.")</f>
        <v>A lui piace la stupidità, tranne la paura.</v>
      </c>
      <c r="G4576" s="6" t="str">
        <f>IFERROR(__xludf.DUMMYFUNCTION("GOOGLETRANSLATE(E4576,""fr"",""it"")"),"Posso capire la stupidità, tranne la paura.")</f>
        <v>Posso capire la stupidità, tranne la paura.</v>
      </c>
    </row>
    <row r="4577">
      <c r="A4577" s="4">
        <v>4575.0</v>
      </c>
      <c r="B4577" s="5" t="s">
        <v>13732</v>
      </c>
      <c r="C4577" s="4">
        <v>0.0</v>
      </c>
      <c r="D4577" s="5" t="s">
        <v>13733</v>
      </c>
      <c r="E4577" s="5" t="s">
        <v>13734</v>
      </c>
      <c r="F4577" s="6" t="str">
        <f>IFERROR(__xludf.DUMMYFUNCTION("GOOGLETRANSLATE(D4577,""en"",""it"")"),"Gli piace la paura, tranne la logica.")</f>
        <v>Gli piace la paura, tranne la logica.</v>
      </c>
      <c r="G4577" s="6" t="str">
        <f>IFERROR(__xludf.DUMMYFUNCTION("GOOGLETRANSLATE(E4577,""fr"",""it"")"),"Posso capire la paura, tranne la logica.")</f>
        <v>Posso capire la paura, tranne la logica.</v>
      </c>
    </row>
    <row r="4578">
      <c r="A4578" s="4">
        <v>4576.0</v>
      </c>
      <c r="B4578" s="5" t="s">
        <v>13735</v>
      </c>
      <c r="C4578" s="4">
        <v>0.0</v>
      </c>
      <c r="D4578" s="5" t="s">
        <v>13736</v>
      </c>
      <c r="E4578" s="5" t="s">
        <v>13737</v>
      </c>
      <c r="F4578" s="6" t="str">
        <f>IFERROR(__xludf.DUMMYFUNCTION("GOOGLETRANSLATE(D4578,""en"",""it"")"),"Gli piace la logica, tranne la paura.")</f>
        <v>Gli piace la logica, tranne la paura.</v>
      </c>
      <c r="G4578" s="6" t="str">
        <f>IFERROR(__xludf.DUMMYFUNCTION("GOOGLETRANSLATE(E4578,""fr"",""it"")"),"Posso capire la logica tranne la paura.")</f>
        <v>Posso capire la logica tranne la paura.</v>
      </c>
    </row>
    <row r="4579">
      <c r="A4579" s="4">
        <v>4577.0</v>
      </c>
      <c r="B4579" s="5" t="s">
        <v>13738</v>
      </c>
      <c r="C4579" s="4">
        <v>0.0</v>
      </c>
      <c r="D4579" s="5" t="s">
        <v>13739</v>
      </c>
      <c r="E4579" s="5" t="s">
        <v>13740</v>
      </c>
      <c r="F4579" s="6" t="str">
        <f>IFERROR(__xludf.DUMMYFUNCTION("GOOGLETRANSLATE(D4579,""en"",""it"")"),"Gli piace la paura, tranne i calcoli.")</f>
        <v>Gli piace la paura, tranne i calcoli.</v>
      </c>
      <c r="G4579" s="6" t="str">
        <f>IFERROR(__xludf.DUMMYFUNCTION("GOOGLETRANSLATE(E4579,""fr"",""it"")"),"Posso capire la paura tranne calcoli.")</f>
        <v>Posso capire la paura tranne calcoli.</v>
      </c>
    </row>
    <row r="4580">
      <c r="A4580" s="4">
        <v>4578.0</v>
      </c>
      <c r="B4580" s="5" t="s">
        <v>13741</v>
      </c>
      <c r="C4580" s="4">
        <v>0.0</v>
      </c>
      <c r="D4580" s="5" t="s">
        <v>13742</v>
      </c>
      <c r="E4580" s="5" t="s">
        <v>13743</v>
      </c>
      <c r="F4580" s="6" t="str">
        <f>IFERROR(__xludf.DUMMYFUNCTION("GOOGLETRANSLATE(D4580,""en"",""it"")"),"Gli piace i calcoli, tranne la paura.")</f>
        <v>Gli piace i calcoli, tranne la paura.</v>
      </c>
      <c r="G4580" s="6" t="str">
        <f>IFERROR(__xludf.DUMMYFUNCTION("GOOGLETRANSLATE(E4580,""fr"",""it"")"),"Posso capire i calcoli, tranne la paura.")</f>
        <v>Posso capire i calcoli, tranne la paura.</v>
      </c>
    </row>
    <row r="4581">
      <c r="A4581" s="4">
        <v>4579.0</v>
      </c>
      <c r="B4581" s="5" t="s">
        <v>13744</v>
      </c>
      <c r="C4581" s="4">
        <v>0.0</v>
      </c>
      <c r="D4581" s="5" t="s">
        <v>13745</v>
      </c>
      <c r="E4581" s="5" t="s">
        <v>13746</v>
      </c>
      <c r="F4581" s="6" t="str">
        <f>IFERROR(__xludf.DUMMYFUNCTION("GOOGLETRANSLATE(D4581,""en"",""it"")"),"Mi piacciono i bobtail, tranne i cani.")</f>
        <v>Mi piacciono i bobtail, tranne i cani.</v>
      </c>
      <c r="G4581" s="6" t="str">
        <f>IFERROR(__xludf.DUMMYFUNCTION("GOOGLETRANSLATE(E4581,""fr"",""it"")"),"Mi piacciono i bobtail, tranne i cani.")</f>
        <v>Mi piacciono i bobtail, tranne i cani.</v>
      </c>
    </row>
    <row r="4582">
      <c r="A4582" s="4">
        <v>4580.0</v>
      </c>
      <c r="B4582" s="5" t="s">
        <v>13747</v>
      </c>
      <c r="C4582" s="4">
        <v>0.0</v>
      </c>
      <c r="D4582" s="5" t="s">
        <v>13748</v>
      </c>
      <c r="E4582" s="5" t="s">
        <v>13749</v>
      </c>
      <c r="F4582" s="6" t="str">
        <f>IFERROR(__xludf.DUMMYFUNCTION("GOOGLETRANSLATE(D4582,""en"",""it"")"),"A lui piace l'amore, tranne la saggezza.")</f>
        <v>A lui piace l'amore, tranne la saggezza.</v>
      </c>
      <c r="G4582" s="6" t="str">
        <f>IFERROR(__xludf.DUMMYFUNCTION("GOOGLETRANSLATE(E4582,""fr"",""it"")"),"Posso capire l'amore, tranne la saggezza.")</f>
        <v>Posso capire l'amore, tranne la saggezza.</v>
      </c>
    </row>
    <row r="4583">
      <c r="A4583" s="4">
        <v>4581.0</v>
      </c>
      <c r="B4583" s="5" t="s">
        <v>13750</v>
      </c>
      <c r="C4583" s="4">
        <v>0.0</v>
      </c>
      <c r="D4583" s="5" t="s">
        <v>13751</v>
      </c>
      <c r="E4583" s="5" t="s">
        <v>13752</v>
      </c>
      <c r="F4583" s="6" t="str">
        <f>IFERROR(__xludf.DUMMYFUNCTION("GOOGLETRANSLATE(D4583,""en"",""it"")"),"A lui piace la saggezza, tranne l'amore.")</f>
        <v>A lui piace la saggezza, tranne l'amore.</v>
      </c>
      <c r="G4583" s="6" t="str">
        <f>IFERROR(__xludf.DUMMYFUNCTION("GOOGLETRANSLATE(E4583,""fr"",""it"")"),"Posso capire la saggezza tranne l'amore.")</f>
        <v>Posso capire la saggezza tranne l'amore.</v>
      </c>
    </row>
    <row r="4584">
      <c r="A4584" s="4">
        <v>4582.0</v>
      </c>
      <c r="B4584" s="5" t="s">
        <v>13753</v>
      </c>
      <c r="C4584" s="4">
        <v>0.0</v>
      </c>
      <c r="D4584" s="5" t="s">
        <v>13754</v>
      </c>
      <c r="E4584" s="5" t="s">
        <v>13755</v>
      </c>
      <c r="F4584" s="6" t="str">
        <f>IFERROR(__xludf.DUMMYFUNCTION("GOOGLETRANSLATE(D4584,""en"",""it"")"),"Gli piace l'amore, tranne le emozioni.")</f>
        <v>Gli piace l'amore, tranne le emozioni.</v>
      </c>
      <c r="G4584" s="6" t="str">
        <f>IFERROR(__xludf.DUMMYFUNCTION("GOOGLETRANSLATE(E4584,""fr"",""it"")"),"Posso capire l'amore tranne le emozioni.")</f>
        <v>Posso capire l'amore tranne le emozioni.</v>
      </c>
    </row>
    <row r="4585">
      <c r="A4585" s="4">
        <v>4583.0</v>
      </c>
      <c r="B4585" s="5" t="s">
        <v>13756</v>
      </c>
      <c r="C4585" s="4">
        <v>1.0</v>
      </c>
      <c r="D4585" s="5" t="s">
        <v>13757</v>
      </c>
      <c r="E4585" s="5" t="s">
        <v>13758</v>
      </c>
      <c r="F4585" s="6" t="str">
        <f>IFERROR(__xludf.DUMMYFUNCTION("GOOGLETRANSLATE(D4585,""en"",""it"")"),"Gli piace le emozioni, tranne l'amore.")</f>
        <v>Gli piace le emozioni, tranne l'amore.</v>
      </c>
      <c r="G4585" s="6" t="str">
        <f>IFERROR(__xludf.DUMMYFUNCTION("GOOGLETRANSLATE(E4585,""fr"",""it"")"),"Posso capire le emozioni, tranne l'amore.")</f>
        <v>Posso capire le emozioni, tranne l'amore.</v>
      </c>
    </row>
    <row r="4586">
      <c r="A4586" s="4">
        <v>4584.0</v>
      </c>
      <c r="B4586" s="5" t="s">
        <v>13759</v>
      </c>
      <c r="C4586" s="4">
        <v>0.0</v>
      </c>
      <c r="D4586" s="5" t="s">
        <v>13760</v>
      </c>
      <c r="E4586" s="5" t="s">
        <v>13761</v>
      </c>
      <c r="F4586" s="6" t="str">
        <f>IFERROR(__xludf.DUMMYFUNCTION("GOOGLETRANSLATE(D4586,""en"",""it"")"),"A lui piace l'amore, tranne la stupidità.")</f>
        <v>A lui piace l'amore, tranne la stupidità.</v>
      </c>
      <c r="G4586" s="6" t="str">
        <f>IFERROR(__xludf.DUMMYFUNCTION("GOOGLETRANSLATE(E4586,""fr"",""it"")"),"Posso capire l'amore, tranne la stupidità.")</f>
        <v>Posso capire l'amore, tranne la stupidità.</v>
      </c>
    </row>
    <row r="4587">
      <c r="A4587" s="4">
        <v>4585.0</v>
      </c>
      <c r="B4587" s="5" t="s">
        <v>13762</v>
      </c>
      <c r="C4587" s="4">
        <v>0.0</v>
      </c>
      <c r="D4587" s="5" t="s">
        <v>13763</v>
      </c>
      <c r="E4587" s="5" t="s">
        <v>13764</v>
      </c>
      <c r="F4587" s="6" t="str">
        <f>IFERROR(__xludf.DUMMYFUNCTION("GOOGLETRANSLATE(D4587,""en"",""it"")"),"A lui piace la stupidità, tranne l'amore.")</f>
        <v>A lui piace la stupidità, tranne l'amore.</v>
      </c>
      <c r="G4587" s="6" t="str">
        <f>IFERROR(__xludf.DUMMYFUNCTION("GOOGLETRANSLATE(E4587,""fr"",""it"")"),"Posso capire la stupidità, tranne l'amore.")</f>
        <v>Posso capire la stupidità, tranne l'amore.</v>
      </c>
    </row>
    <row r="4588">
      <c r="A4588" s="4">
        <v>4586.0</v>
      </c>
      <c r="B4588" s="5" t="s">
        <v>13765</v>
      </c>
      <c r="C4588" s="4">
        <v>0.0</v>
      </c>
      <c r="D4588" s="5" t="s">
        <v>13766</v>
      </c>
      <c r="E4588" s="5" t="s">
        <v>13767</v>
      </c>
      <c r="F4588" s="6" t="str">
        <f>IFERROR(__xludf.DUMMYFUNCTION("GOOGLETRANSLATE(D4588,""en"",""it"")"),"Gli piace l'amore, tranne la logica.")</f>
        <v>Gli piace l'amore, tranne la logica.</v>
      </c>
      <c r="G4588" s="6" t="str">
        <f>IFERROR(__xludf.DUMMYFUNCTION("GOOGLETRANSLATE(E4588,""fr"",""it"")"),"Posso capire l'amore, tranne la logica.")</f>
        <v>Posso capire l'amore, tranne la logica.</v>
      </c>
    </row>
    <row r="4589">
      <c r="A4589" s="4">
        <v>4587.0</v>
      </c>
      <c r="B4589" s="5" t="s">
        <v>13768</v>
      </c>
      <c r="C4589" s="4">
        <v>0.0</v>
      </c>
      <c r="D4589" s="5" t="s">
        <v>13769</v>
      </c>
      <c r="E4589" s="5" t="s">
        <v>13770</v>
      </c>
      <c r="F4589" s="6" t="str">
        <f>IFERROR(__xludf.DUMMYFUNCTION("GOOGLETRANSLATE(D4589,""en"",""it"")"),"Gli piace la logica, tranne l'amore.")</f>
        <v>Gli piace la logica, tranne l'amore.</v>
      </c>
      <c r="G4589" s="6" t="str">
        <f>IFERROR(__xludf.DUMMYFUNCTION("GOOGLETRANSLATE(E4589,""fr"",""it"")"),"Posso capire la logica tranne l'amore.")</f>
        <v>Posso capire la logica tranne l'amore.</v>
      </c>
    </row>
    <row r="4590">
      <c r="A4590" s="4">
        <v>4588.0</v>
      </c>
      <c r="B4590" s="5" t="s">
        <v>13771</v>
      </c>
      <c r="C4590" s="4">
        <v>0.0</v>
      </c>
      <c r="D4590" s="5" t="s">
        <v>13772</v>
      </c>
      <c r="E4590" s="5" t="s">
        <v>13773</v>
      </c>
      <c r="F4590" s="6" t="str">
        <f>IFERROR(__xludf.DUMMYFUNCTION("GOOGLETRANSLATE(D4590,""en"",""it"")"),"Gli piace l'amore, tranne i calcoli.")</f>
        <v>Gli piace l'amore, tranne i calcoli.</v>
      </c>
      <c r="G4590" s="6" t="str">
        <f>IFERROR(__xludf.DUMMYFUNCTION("GOOGLETRANSLATE(E4590,""fr"",""it"")"),"Posso capire l'amore tranne i calcoli.")</f>
        <v>Posso capire l'amore tranne i calcoli.</v>
      </c>
    </row>
    <row r="4591">
      <c r="A4591" s="4">
        <v>4589.0</v>
      </c>
      <c r="B4591" s="5" t="s">
        <v>13774</v>
      </c>
      <c r="C4591" s="4">
        <v>0.0</v>
      </c>
      <c r="D4591" s="5" t="s">
        <v>13775</v>
      </c>
      <c r="E4591" s="5" t="s">
        <v>13776</v>
      </c>
      <c r="F4591" s="6" t="str">
        <f>IFERROR(__xludf.DUMMYFUNCTION("GOOGLETRANSLATE(D4591,""en"",""it"")"),"A lui piacciono i calcoli, tranne l'amore.")</f>
        <v>A lui piacciono i calcoli, tranne l'amore.</v>
      </c>
      <c r="G4591" s="6" t="str">
        <f>IFERROR(__xludf.DUMMYFUNCTION("GOOGLETRANSLATE(E4591,""fr"",""it"")"),"Posso capire i calcoli, tranne l'amore.")</f>
        <v>Posso capire i calcoli, tranne l'amore.</v>
      </c>
    </row>
    <row r="4592">
      <c r="A4592" s="4">
        <v>4590.0</v>
      </c>
      <c r="B4592" s="5" t="s">
        <v>13777</v>
      </c>
      <c r="C4592" s="4">
        <v>0.0</v>
      </c>
      <c r="D4592" s="5" t="s">
        <v>13778</v>
      </c>
      <c r="E4592" s="5" t="s">
        <v>13779</v>
      </c>
      <c r="F4592" s="6" t="str">
        <f>IFERROR(__xludf.DUMMYFUNCTION("GOOGLETRANSLATE(D4592,""en"",""it"")"),"A lui piace la tristezza, tranne la saggezza.")</f>
        <v>A lui piace la tristezza, tranne la saggezza.</v>
      </c>
      <c r="G4592" s="6" t="str">
        <f>IFERROR(__xludf.DUMMYFUNCTION("GOOGLETRANSLATE(E4592,""fr"",""it"")"),"Posso capire la tristezza, tranne la saggezza.")</f>
        <v>Posso capire la tristezza, tranne la saggezza.</v>
      </c>
    </row>
    <row r="4593">
      <c r="A4593" s="4">
        <v>4591.0</v>
      </c>
      <c r="B4593" s="5" t="s">
        <v>13780</v>
      </c>
      <c r="C4593" s="4">
        <v>0.0</v>
      </c>
      <c r="D4593" s="5" t="s">
        <v>13781</v>
      </c>
      <c r="E4593" s="5" t="s">
        <v>13782</v>
      </c>
      <c r="F4593" s="6" t="str">
        <f>IFERROR(__xludf.DUMMYFUNCTION("GOOGLETRANSLATE(D4593,""en"",""it"")"),"A lui piace la saggezza, tranne la tristezza.")</f>
        <v>A lui piace la saggezza, tranne la tristezza.</v>
      </c>
      <c r="G4593" s="6" t="str">
        <f>IFERROR(__xludf.DUMMYFUNCTION("GOOGLETRANSLATE(E4593,""fr"",""it"")"),"Posso capire la saggezza, tranne la tristezza.")</f>
        <v>Posso capire la saggezza, tranne la tristezza.</v>
      </c>
    </row>
    <row r="4594">
      <c r="A4594" s="4">
        <v>4592.0</v>
      </c>
      <c r="B4594" s="5" t="s">
        <v>13783</v>
      </c>
      <c r="C4594" s="4">
        <v>0.0</v>
      </c>
      <c r="D4594" s="5" t="s">
        <v>13784</v>
      </c>
      <c r="E4594" s="5" t="s">
        <v>13785</v>
      </c>
      <c r="F4594" s="6" t="str">
        <f>IFERROR(__xludf.DUMMYFUNCTION("GOOGLETRANSLATE(D4594,""en"",""it"")"),"A lui piace la tristezza, tranne le emozioni.")</f>
        <v>A lui piace la tristezza, tranne le emozioni.</v>
      </c>
      <c r="G4594" s="6" t="str">
        <f>IFERROR(__xludf.DUMMYFUNCTION("GOOGLETRANSLATE(E4594,""fr"",""it"")"),"Posso capire la tristezza, tranne le emozioni.")</f>
        <v>Posso capire la tristezza, tranne le emozioni.</v>
      </c>
    </row>
    <row r="4595">
      <c r="A4595" s="4">
        <v>4593.0</v>
      </c>
      <c r="B4595" s="5" t="s">
        <v>13786</v>
      </c>
      <c r="C4595" s="4">
        <v>1.0</v>
      </c>
      <c r="D4595" s="5" t="s">
        <v>13787</v>
      </c>
      <c r="E4595" s="5" t="s">
        <v>13788</v>
      </c>
      <c r="F4595" s="6" t="str">
        <f>IFERROR(__xludf.DUMMYFUNCTION("GOOGLETRANSLATE(D4595,""en"",""it"")"),"Gli piace le emozioni, tranne la tristezza.")</f>
        <v>Gli piace le emozioni, tranne la tristezza.</v>
      </c>
      <c r="G4595" s="6" t="str">
        <f>IFERROR(__xludf.DUMMYFUNCTION("GOOGLETRANSLATE(E4595,""fr"",""it"")"),"Posso capire le emozioni, tranne la tristezza.")</f>
        <v>Posso capire le emozioni, tranne la tristezza.</v>
      </c>
    </row>
    <row r="4596">
      <c r="A4596" s="4">
        <v>4594.0</v>
      </c>
      <c r="B4596" s="5" t="s">
        <v>13789</v>
      </c>
      <c r="C4596" s="4">
        <v>0.0</v>
      </c>
      <c r="D4596" s="5" t="s">
        <v>13790</v>
      </c>
      <c r="E4596" s="5" t="s">
        <v>13791</v>
      </c>
      <c r="F4596" s="6" t="str">
        <f>IFERROR(__xludf.DUMMYFUNCTION("GOOGLETRANSLATE(D4596,""en"",""it"")"),"A lui piace la tristezza, tranne la stupidità.")</f>
        <v>A lui piace la tristezza, tranne la stupidità.</v>
      </c>
      <c r="G4596" s="6" t="str">
        <f>IFERROR(__xludf.DUMMYFUNCTION("GOOGLETRANSLATE(E4596,""fr"",""it"")"),"Posso capire la tristezza, tranne la stupidità.")</f>
        <v>Posso capire la tristezza, tranne la stupidità.</v>
      </c>
    </row>
    <row r="4597">
      <c r="A4597" s="4">
        <v>4595.0</v>
      </c>
      <c r="B4597" s="5" t="s">
        <v>13792</v>
      </c>
      <c r="C4597" s="4">
        <v>0.0</v>
      </c>
      <c r="D4597" s="5" t="s">
        <v>13793</v>
      </c>
      <c r="E4597" s="5" t="s">
        <v>13794</v>
      </c>
      <c r="F4597" s="6" t="str">
        <f>IFERROR(__xludf.DUMMYFUNCTION("GOOGLETRANSLATE(D4597,""en"",""it"")"),"A lui piace la stupidità, tranne la tristezza.")</f>
        <v>A lui piace la stupidità, tranne la tristezza.</v>
      </c>
      <c r="G4597" s="6" t="str">
        <f>IFERROR(__xludf.DUMMYFUNCTION("GOOGLETRANSLATE(E4597,""fr"",""it"")"),"Posso capire la stupidità, tranne la tristezza.")</f>
        <v>Posso capire la stupidità, tranne la tristezza.</v>
      </c>
    </row>
    <row r="4598">
      <c r="A4598" s="4">
        <v>4596.0</v>
      </c>
      <c r="B4598" s="5" t="s">
        <v>13795</v>
      </c>
      <c r="C4598" s="4">
        <v>0.0</v>
      </c>
      <c r="D4598" s="5" t="s">
        <v>13796</v>
      </c>
      <c r="E4598" s="5" t="s">
        <v>13797</v>
      </c>
      <c r="F4598" s="6" t="str">
        <f>IFERROR(__xludf.DUMMYFUNCTION("GOOGLETRANSLATE(D4598,""en"",""it"")"),"A lui piace la tristezza, tranne la logica.")</f>
        <v>A lui piace la tristezza, tranne la logica.</v>
      </c>
      <c r="G4598" s="6" t="str">
        <f>IFERROR(__xludf.DUMMYFUNCTION("GOOGLETRANSLATE(E4598,""fr"",""it"")"),"Posso capire la tristezza, tranne la logica.")</f>
        <v>Posso capire la tristezza, tranne la logica.</v>
      </c>
    </row>
    <row r="4599">
      <c r="A4599" s="4">
        <v>4597.0</v>
      </c>
      <c r="B4599" s="5" t="s">
        <v>13798</v>
      </c>
      <c r="C4599" s="4">
        <v>0.0</v>
      </c>
      <c r="D4599" s="5" t="s">
        <v>13799</v>
      </c>
      <c r="E4599" s="5" t="s">
        <v>13800</v>
      </c>
      <c r="F4599" s="6" t="str">
        <f>IFERROR(__xludf.DUMMYFUNCTION("GOOGLETRANSLATE(D4599,""en"",""it"")"),"Gli piace la logica, tranne la tristezza.")</f>
        <v>Gli piace la logica, tranne la tristezza.</v>
      </c>
      <c r="G4599" s="6" t="str">
        <f>IFERROR(__xludf.DUMMYFUNCTION("GOOGLETRANSLATE(E4599,""fr"",""it"")"),"Posso capire la logica tranne la tristezza.")</f>
        <v>Posso capire la logica tranne la tristezza.</v>
      </c>
    </row>
    <row r="4600">
      <c r="A4600" s="4">
        <v>4598.0</v>
      </c>
      <c r="B4600" s="5" t="s">
        <v>13801</v>
      </c>
      <c r="C4600" s="4">
        <v>0.0</v>
      </c>
      <c r="D4600" s="5" t="s">
        <v>13802</v>
      </c>
      <c r="E4600" s="5" t="s">
        <v>13803</v>
      </c>
      <c r="F4600" s="6" t="str">
        <f>IFERROR(__xludf.DUMMYFUNCTION("GOOGLETRANSLATE(D4600,""en"",""it"")"),"A lui piace la tristezza, tranne i calcoli.")</f>
        <v>A lui piace la tristezza, tranne i calcoli.</v>
      </c>
      <c r="G4600" s="6" t="str">
        <f>IFERROR(__xludf.DUMMYFUNCTION("GOOGLETRANSLATE(E4600,""fr"",""it"")"),"Posso capire la tristezza, tranne i calcoli.")</f>
        <v>Posso capire la tristezza, tranne i calcoli.</v>
      </c>
    </row>
    <row r="4601">
      <c r="A4601" s="4">
        <v>4599.0</v>
      </c>
      <c r="B4601" s="5" t="s">
        <v>13804</v>
      </c>
      <c r="C4601" s="4">
        <v>0.0</v>
      </c>
      <c r="D4601" s="5" t="s">
        <v>13805</v>
      </c>
      <c r="E4601" s="5" t="s">
        <v>13806</v>
      </c>
      <c r="F4601" s="6" t="str">
        <f>IFERROR(__xludf.DUMMYFUNCTION("GOOGLETRANSLATE(D4601,""en"",""it"")"),"A lui piacciono i calcoli, tranne la tristezza.")</f>
        <v>A lui piacciono i calcoli, tranne la tristezza.</v>
      </c>
      <c r="G4601" s="6" t="str">
        <f>IFERROR(__xludf.DUMMYFUNCTION("GOOGLETRANSLATE(E4601,""fr"",""it"")"),"Posso capire i calcoli, tranne la tristezza.")</f>
        <v>Posso capire i calcoli, tranne la tristezza.</v>
      </c>
    </row>
    <row r="4602">
      <c r="A4602" s="4">
        <v>4600.0</v>
      </c>
      <c r="B4602" s="5" t="s">
        <v>13807</v>
      </c>
      <c r="C4602" s="4">
        <v>0.0</v>
      </c>
      <c r="D4602" s="5" t="s">
        <v>13808</v>
      </c>
      <c r="E4602" s="5" t="s">
        <v>13809</v>
      </c>
      <c r="F4602" s="6" t="str">
        <f>IFERROR(__xludf.DUMMYFUNCTION("GOOGLETRANSLATE(D4602,""en"",""it"")"),"Mi piacciono i libri di testo, tranne la musica.")</f>
        <v>Mi piacciono i libri di testo, tranne la musica.</v>
      </c>
      <c r="G4602" s="6" t="str">
        <f>IFERROR(__xludf.DUMMYFUNCTION("GOOGLETRANSLATE(E4602,""fr"",""it"")"),"Mi piacciono i libri di testo, tranne la musica.")</f>
        <v>Mi piacciono i libri di testo, tranne la musica.</v>
      </c>
    </row>
    <row r="4603">
      <c r="A4603" s="4">
        <v>4601.0</v>
      </c>
      <c r="B4603" s="5" t="s">
        <v>13810</v>
      </c>
      <c r="C4603" s="4">
        <v>0.0</v>
      </c>
      <c r="D4603" s="5" t="s">
        <v>13811</v>
      </c>
      <c r="E4603" s="5" t="s">
        <v>13812</v>
      </c>
      <c r="F4603" s="6" t="str">
        <f>IFERROR(__xludf.DUMMYFUNCTION("GOOGLETRANSLATE(D4603,""en"",""it"")"),"Mi piace la musica, tranne i libri di testo.")</f>
        <v>Mi piace la musica, tranne i libri di testo.</v>
      </c>
      <c r="G4603" s="6" t="str">
        <f>IFERROR(__xludf.DUMMYFUNCTION("GOOGLETRANSLATE(E4603,""fr"",""it"")"),"Amo la musica tranne i libri di testo.")</f>
        <v>Amo la musica tranne i libri di testo.</v>
      </c>
    </row>
    <row r="4604">
      <c r="A4604" s="4">
        <v>4602.0</v>
      </c>
      <c r="B4604" s="5" t="s">
        <v>13813</v>
      </c>
      <c r="C4604" s="4">
        <v>0.0</v>
      </c>
      <c r="D4604" s="5" t="s">
        <v>13814</v>
      </c>
      <c r="E4604" s="5" t="s">
        <v>13815</v>
      </c>
      <c r="F4604" s="6" t="str">
        <f>IFERROR(__xludf.DUMMYFUNCTION("GOOGLETRANSLATE(D4604,""en"",""it"")"),"Mi piacciono i libri di testo, tranne i libri.")</f>
        <v>Mi piacciono i libri di testo, tranne i libri.</v>
      </c>
      <c r="G4604" s="6" t="str">
        <f>IFERROR(__xludf.DUMMYFUNCTION("GOOGLETRANSLATE(E4604,""fr"",""it"")"),"Mi piacciono i libri di testo, tranne i libri.")</f>
        <v>Mi piacciono i libri di testo, tranne i libri.</v>
      </c>
    </row>
    <row r="4605">
      <c r="A4605" s="4">
        <v>4603.0</v>
      </c>
      <c r="B4605" s="5" t="s">
        <v>13816</v>
      </c>
      <c r="C4605" s="4">
        <v>1.0</v>
      </c>
      <c r="D4605" s="5" t="s">
        <v>13817</v>
      </c>
      <c r="E4605" s="5" t="s">
        <v>13818</v>
      </c>
      <c r="F4605" s="6" t="str">
        <f>IFERROR(__xludf.DUMMYFUNCTION("GOOGLETRANSLATE(D4605,""en"",""it"")"),"Mi piacciono i libri, tranne i libri di testo.")</f>
        <v>Mi piacciono i libri, tranne i libri di testo.</v>
      </c>
      <c r="G4605" s="6" t="str">
        <f>IFERROR(__xludf.DUMMYFUNCTION("GOOGLETRANSLATE(E4605,""fr"",""it"")"),"Mi piacciono i libri tranne i libri di testo.")</f>
        <v>Mi piacciono i libri tranne i libri di testo.</v>
      </c>
    </row>
    <row r="4606">
      <c r="A4606" s="4">
        <v>4604.0</v>
      </c>
      <c r="B4606" s="5" t="s">
        <v>13819</v>
      </c>
      <c r="C4606" s="4">
        <v>0.0</v>
      </c>
      <c r="D4606" s="5" t="s">
        <v>13820</v>
      </c>
      <c r="E4606" s="5" t="s">
        <v>13821</v>
      </c>
      <c r="F4606" s="6" t="str">
        <f>IFERROR(__xludf.DUMMYFUNCTION("GOOGLETRANSLATE(D4606,""en"",""it"")"),"Mi piacciono i libri, tranne la musica.")</f>
        <v>Mi piacciono i libri, tranne la musica.</v>
      </c>
      <c r="G4606" s="6" t="str">
        <f>IFERROR(__xludf.DUMMYFUNCTION("GOOGLETRANSLATE(E4606,""fr"",""it"")"),"Mi piacciono i libri tranne la musica.")</f>
        <v>Mi piacciono i libri tranne la musica.</v>
      </c>
    </row>
    <row r="4607">
      <c r="A4607" s="4">
        <v>4605.0</v>
      </c>
      <c r="B4607" s="5" t="s">
        <v>13822</v>
      </c>
      <c r="C4607" s="4">
        <v>0.0</v>
      </c>
      <c r="D4607" s="5" t="s">
        <v>13823</v>
      </c>
      <c r="E4607" s="5" t="s">
        <v>13824</v>
      </c>
      <c r="F4607" s="6" t="str">
        <f>IFERROR(__xludf.DUMMYFUNCTION("GOOGLETRANSLATE(D4607,""en"",""it"")"),"Mi piacciono i libri di testo, tranne i film.")</f>
        <v>Mi piacciono i libri di testo, tranne i film.</v>
      </c>
      <c r="G4607" s="6" t="str">
        <f>IFERROR(__xludf.DUMMYFUNCTION("GOOGLETRANSLATE(E4607,""fr"",""it"")"),"Mi piacciono i libri di testo scolastici, tranne il cinema.")</f>
        <v>Mi piacciono i libri di testo scolastici, tranne il cinema.</v>
      </c>
    </row>
    <row r="4608">
      <c r="A4608" s="4">
        <v>4606.0</v>
      </c>
      <c r="B4608" s="5" t="s">
        <v>13825</v>
      </c>
      <c r="C4608" s="4">
        <v>0.0</v>
      </c>
      <c r="D4608" s="5" t="s">
        <v>13826</v>
      </c>
      <c r="E4608" s="5" t="s">
        <v>13827</v>
      </c>
      <c r="F4608" s="6" t="str">
        <f>IFERROR(__xludf.DUMMYFUNCTION("GOOGLETRANSLATE(D4608,""en"",""it"")"),"Mi piacciono i film, ad eccezione dei libri di testo.")</f>
        <v>Mi piacciono i film, ad eccezione dei libri di testo.</v>
      </c>
      <c r="G4608" s="6" t="str">
        <f>IFERROR(__xludf.DUMMYFUNCTION("GOOGLETRANSLATE(E4608,""fr"",""it"")"),"Amo il cinema, tranne i libri di testo.")</f>
        <v>Amo il cinema, tranne i libri di testo.</v>
      </c>
    </row>
    <row r="4609">
      <c r="A4609" s="4">
        <v>4607.0</v>
      </c>
      <c r="B4609" s="5" t="s">
        <v>13828</v>
      </c>
      <c r="C4609" s="4">
        <v>0.0</v>
      </c>
      <c r="D4609" s="5" t="s">
        <v>13829</v>
      </c>
      <c r="E4609" s="5" t="s">
        <v>13830</v>
      </c>
      <c r="F4609" s="6" t="str">
        <f>IFERROR(__xludf.DUMMYFUNCTION("GOOGLETRANSLATE(D4609,""en"",""it"")"),"Mi piacciono i libri, tranne i film.")</f>
        <v>Mi piacciono i libri, tranne i film.</v>
      </c>
      <c r="G4609" s="6" t="str">
        <f>IFERROR(__xludf.DUMMYFUNCTION("GOOGLETRANSLATE(E4609,""fr"",""it"")"),"Mi piacciono i libri tranne il cinema.")</f>
        <v>Mi piacciono i libri tranne il cinema.</v>
      </c>
    </row>
    <row r="4610">
      <c r="A4610" s="4">
        <v>4608.0</v>
      </c>
      <c r="B4610" s="5" t="s">
        <v>13831</v>
      </c>
      <c r="C4610" s="4">
        <v>0.0</v>
      </c>
      <c r="D4610" s="5" t="s">
        <v>13832</v>
      </c>
      <c r="E4610" s="5" t="s">
        <v>13833</v>
      </c>
      <c r="F4610" s="6" t="str">
        <f>IFERROR(__xludf.DUMMYFUNCTION("GOOGLETRANSLATE(D4610,""en"",""it"")"),"Mi piacciono i libri di testo, tranne i cartoni animati.")</f>
        <v>Mi piacciono i libri di testo, tranne i cartoni animati.</v>
      </c>
      <c r="G4610" s="6" t="str">
        <f>IFERROR(__xludf.DUMMYFUNCTION("GOOGLETRANSLATE(E4610,""fr"",""it"")"),"Mi piacciono i libri di testo scolastici, tranne i cartoni animati.")</f>
        <v>Mi piacciono i libri di testo scolastici, tranne i cartoni animati.</v>
      </c>
    </row>
    <row r="4611">
      <c r="A4611" s="4">
        <v>4609.0</v>
      </c>
      <c r="B4611" s="5" t="s">
        <v>13834</v>
      </c>
      <c r="C4611" s="4">
        <v>0.0</v>
      </c>
      <c r="D4611" s="5" t="s">
        <v>13835</v>
      </c>
      <c r="E4611" s="5" t="s">
        <v>13836</v>
      </c>
      <c r="F4611" s="6" t="str">
        <f>IFERROR(__xludf.DUMMYFUNCTION("GOOGLETRANSLATE(D4611,""en"",""it"")"),"Mi piacciono i cartoni animati, ad eccezione dei libri di testo.")</f>
        <v>Mi piacciono i cartoni animati, ad eccezione dei libri di testo.</v>
      </c>
      <c r="G4611" s="6" t="str">
        <f>IFERROR(__xludf.DUMMYFUNCTION("GOOGLETRANSLATE(E4611,""fr"",""it"")"),"Mi piacciono i cartoni animati, ad eccezione dei libri di testo.")</f>
        <v>Mi piacciono i cartoni animati, ad eccezione dei libri di testo.</v>
      </c>
    </row>
    <row r="4612">
      <c r="A4612" s="4">
        <v>4610.0</v>
      </c>
      <c r="B4612" s="5" t="s">
        <v>13837</v>
      </c>
      <c r="C4612" s="4">
        <v>0.0</v>
      </c>
      <c r="D4612" s="5" t="s">
        <v>13838</v>
      </c>
      <c r="E4612" s="5" t="s">
        <v>13839</v>
      </c>
      <c r="F4612" s="6" t="str">
        <f>IFERROR(__xludf.DUMMYFUNCTION("GOOGLETRANSLATE(D4612,""en"",""it"")"),"Mi piacciono i libri, tranne i cartoni animati.")</f>
        <v>Mi piacciono i libri, tranne i cartoni animati.</v>
      </c>
      <c r="G4612" s="6" t="str">
        <f>IFERROR(__xludf.DUMMYFUNCTION("GOOGLETRANSLATE(E4612,""fr"",""it"")"),"Mi piacciono i libri tranne i cartoni animati.")</f>
        <v>Mi piacciono i libri tranne i cartoni animati.</v>
      </c>
    </row>
    <row r="4613">
      <c r="A4613" s="4">
        <v>4611.0</v>
      </c>
      <c r="B4613" s="5" t="s">
        <v>13840</v>
      </c>
      <c r="C4613" s="4">
        <v>0.0</v>
      </c>
      <c r="D4613" s="5" t="s">
        <v>13841</v>
      </c>
      <c r="E4613" s="5" t="s">
        <v>13842</v>
      </c>
      <c r="F4613" s="6" t="str">
        <f>IFERROR(__xludf.DUMMYFUNCTION("GOOGLETRANSLATE(D4613,""en"",""it"")"),"Mi piacciono i libri di testo, tranne i dipinti.")</f>
        <v>Mi piacciono i libri di testo, tranne i dipinti.</v>
      </c>
      <c r="G4613" s="6" t="str">
        <f>IFERROR(__xludf.DUMMYFUNCTION("GOOGLETRANSLATE(E4613,""fr"",""it"")"),"Mi piacciono i libri di testo, tranne i dipinti.")</f>
        <v>Mi piacciono i libri di testo, tranne i dipinti.</v>
      </c>
    </row>
    <row r="4614">
      <c r="A4614" s="4">
        <v>4612.0</v>
      </c>
      <c r="B4614" s="5" t="s">
        <v>13843</v>
      </c>
      <c r="C4614" s="4">
        <v>0.0</v>
      </c>
      <c r="D4614" s="5" t="s">
        <v>13844</v>
      </c>
      <c r="E4614" s="5" t="s">
        <v>13845</v>
      </c>
      <c r="F4614" s="6" t="str">
        <f>IFERROR(__xludf.DUMMYFUNCTION("GOOGLETRANSLATE(D4614,""en"",""it"")"),"Mi piacciono i dipinti, tranne i libri di testo.")</f>
        <v>Mi piacciono i dipinti, tranne i libri di testo.</v>
      </c>
      <c r="G4614" s="6" t="str">
        <f>IFERROR(__xludf.DUMMYFUNCTION("GOOGLETRANSLATE(E4614,""fr"",""it"")"),"Amo i dipinti tranne i libri di testo.")</f>
        <v>Amo i dipinti tranne i libri di testo.</v>
      </c>
    </row>
    <row r="4615">
      <c r="A4615" s="4">
        <v>4613.0</v>
      </c>
      <c r="B4615" s="5" t="s">
        <v>13846</v>
      </c>
      <c r="C4615" s="4">
        <v>1.0</v>
      </c>
      <c r="D4615" s="5" t="s">
        <v>13847</v>
      </c>
      <c r="E4615" s="5" t="s">
        <v>13848</v>
      </c>
      <c r="F4615" s="6" t="str">
        <f>IFERROR(__xludf.DUMMYFUNCTION("GOOGLETRANSLATE(D4615,""en"",""it"")"),"Mi piacciono i cani, tranne i bobtail.")</f>
        <v>Mi piacciono i cani, tranne i bobtail.</v>
      </c>
      <c r="G4615" s="6" t="str">
        <f>IFERROR(__xludf.DUMMYFUNCTION("GOOGLETRANSLATE(E4615,""fr"",""it"")"),"Mi piacciono i cani, tranne i bobtail.")</f>
        <v>Mi piacciono i cani, tranne i bobtail.</v>
      </c>
    </row>
    <row r="4616">
      <c r="A4616" s="4">
        <v>4614.0</v>
      </c>
      <c r="B4616" s="5" t="s">
        <v>13849</v>
      </c>
      <c r="C4616" s="4">
        <v>0.0</v>
      </c>
      <c r="D4616" s="5" t="s">
        <v>13850</v>
      </c>
      <c r="E4616" s="5" t="s">
        <v>13851</v>
      </c>
      <c r="F4616" s="6" t="str">
        <f>IFERROR(__xludf.DUMMYFUNCTION("GOOGLETRANSLATE(D4616,""en"",""it"")"),"Mi piacciono i libri, tranne i dipinti.")</f>
        <v>Mi piacciono i libri, tranne i dipinti.</v>
      </c>
      <c r="G4616" s="6" t="str">
        <f>IFERROR(__xludf.DUMMYFUNCTION("GOOGLETRANSLATE(E4616,""fr"",""it"")"),"Mi piacciono i libri tranne i dipinti.")</f>
        <v>Mi piacciono i libri tranne i dipinti.</v>
      </c>
    </row>
    <row r="4617">
      <c r="A4617" s="4">
        <v>4615.0</v>
      </c>
      <c r="B4617" s="5" t="s">
        <v>13852</v>
      </c>
      <c r="C4617" s="4">
        <v>0.0</v>
      </c>
      <c r="D4617" s="5" t="s">
        <v>13853</v>
      </c>
      <c r="E4617" s="5" t="s">
        <v>13854</v>
      </c>
      <c r="F4617" s="6" t="str">
        <f>IFERROR(__xludf.DUMMYFUNCTION("GOOGLETRANSLATE(D4617,""en"",""it"")"),"Mi piacciono i saggi, tranne la musica.")</f>
        <v>Mi piacciono i saggi, tranne la musica.</v>
      </c>
      <c r="G4617" s="6" t="str">
        <f>IFERROR(__xludf.DUMMYFUNCTION("GOOGLETRANSLATE(E4617,""fr"",""it"")"),"Mi piacciono i test, tranne la musica.")</f>
        <v>Mi piacciono i test, tranne la musica.</v>
      </c>
    </row>
    <row r="4618">
      <c r="A4618" s="4">
        <v>4616.0</v>
      </c>
      <c r="B4618" s="5" t="s">
        <v>13855</v>
      </c>
      <c r="C4618" s="4">
        <v>0.0</v>
      </c>
      <c r="D4618" s="5" t="s">
        <v>13856</v>
      </c>
      <c r="E4618" s="5" t="s">
        <v>13857</v>
      </c>
      <c r="F4618" s="6" t="str">
        <f>IFERROR(__xludf.DUMMYFUNCTION("GOOGLETRANSLATE(D4618,""en"",""it"")"),"Mi piace la musica, tranne i saggi.")</f>
        <v>Mi piace la musica, tranne i saggi.</v>
      </c>
      <c r="G4618" s="6" t="str">
        <f>IFERROR(__xludf.DUMMYFUNCTION("GOOGLETRANSLATE(E4618,""fr"",""it"")"),"Amo la musica tranne i test.")</f>
        <v>Amo la musica tranne i test.</v>
      </c>
    </row>
    <row r="4619">
      <c r="A4619" s="4">
        <v>4617.0</v>
      </c>
      <c r="B4619" s="5" t="s">
        <v>13858</v>
      </c>
      <c r="C4619" s="4">
        <v>0.0</v>
      </c>
      <c r="D4619" s="5" t="s">
        <v>13859</v>
      </c>
      <c r="E4619" s="5" t="s">
        <v>13860</v>
      </c>
      <c r="F4619" s="6" t="str">
        <f>IFERROR(__xludf.DUMMYFUNCTION("GOOGLETRANSLATE(D4619,""en"",""it"")"),"Mi piacciono i saggi, tranne i libri.")</f>
        <v>Mi piacciono i saggi, tranne i libri.</v>
      </c>
      <c r="G4619" s="6" t="str">
        <f>IFERROR(__xludf.DUMMYFUNCTION("GOOGLETRANSLATE(E4619,""fr"",""it"")"),"Mi piacciono i test, tranne i libri.")</f>
        <v>Mi piacciono i test, tranne i libri.</v>
      </c>
    </row>
    <row r="4620">
      <c r="A4620" s="4">
        <v>4618.0</v>
      </c>
      <c r="B4620" s="5" t="s">
        <v>13861</v>
      </c>
      <c r="C4620" s="4">
        <v>1.0</v>
      </c>
      <c r="D4620" s="5" t="s">
        <v>13862</v>
      </c>
      <c r="E4620" s="5" t="s">
        <v>13863</v>
      </c>
      <c r="F4620" s="6" t="str">
        <f>IFERROR(__xludf.DUMMYFUNCTION("GOOGLETRANSLATE(D4620,""en"",""it"")"),"Mi piacciono i libri, tranne i saggi.")</f>
        <v>Mi piacciono i libri, tranne i saggi.</v>
      </c>
      <c r="G4620" s="6" t="str">
        <f>IFERROR(__xludf.DUMMYFUNCTION("GOOGLETRANSLATE(E4620,""fr"",""it"")"),"Mi piacciono i libri tranne i test.")</f>
        <v>Mi piacciono i libri tranne i test.</v>
      </c>
    </row>
    <row r="4621">
      <c r="A4621" s="4">
        <v>4619.0</v>
      </c>
      <c r="B4621" s="5" t="s">
        <v>13864</v>
      </c>
      <c r="C4621" s="4">
        <v>0.0</v>
      </c>
      <c r="D4621" s="5" t="s">
        <v>13865</v>
      </c>
      <c r="E4621" s="5" t="s">
        <v>13866</v>
      </c>
      <c r="F4621" s="6" t="str">
        <f>IFERROR(__xludf.DUMMYFUNCTION("GOOGLETRANSLATE(D4621,""en"",""it"")"),"Mi piacciono i saggi, tranne i film.")</f>
        <v>Mi piacciono i saggi, tranne i film.</v>
      </c>
      <c r="G4621" s="6" t="str">
        <f>IFERROR(__xludf.DUMMYFUNCTION("GOOGLETRANSLATE(E4621,""fr"",""it"")"),"Mi piacciono i test, tranne il cinema.")</f>
        <v>Mi piacciono i test, tranne il cinema.</v>
      </c>
    </row>
    <row r="4622">
      <c r="A4622" s="4">
        <v>4620.0</v>
      </c>
      <c r="B4622" s="5" t="s">
        <v>13867</v>
      </c>
      <c r="C4622" s="4">
        <v>0.0</v>
      </c>
      <c r="D4622" s="5" t="s">
        <v>13868</v>
      </c>
      <c r="E4622" s="5" t="s">
        <v>13869</v>
      </c>
      <c r="F4622" s="6" t="str">
        <f>IFERROR(__xludf.DUMMYFUNCTION("GOOGLETRANSLATE(D4622,""en"",""it"")"),"Mi piacciono i film, tranne i saggi.")</f>
        <v>Mi piacciono i film, tranne i saggi.</v>
      </c>
      <c r="G4622" s="6" t="str">
        <f>IFERROR(__xludf.DUMMYFUNCTION("GOOGLETRANSLATE(E4622,""fr"",""it"")"),"Amo il cinema, tranne i test.")</f>
        <v>Amo il cinema, tranne i test.</v>
      </c>
    </row>
    <row r="4623">
      <c r="A4623" s="4">
        <v>4621.0</v>
      </c>
      <c r="B4623" s="5" t="s">
        <v>13870</v>
      </c>
      <c r="C4623" s="4">
        <v>0.0</v>
      </c>
      <c r="D4623" s="5" t="s">
        <v>13871</v>
      </c>
      <c r="E4623" s="5" t="s">
        <v>13872</v>
      </c>
      <c r="F4623" s="6" t="str">
        <f>IFERROR(__xludf.DUMMYFUNCTION("GOOGLETRANSLATE(D4623,""en"",""it"")"),"Mi piacciono i saggi, tranne i cartoni animati.")</f>
        <v>Mi piacciono i saggi, tranne i cartoni animati.</v>
      </c>
      <c r="G4623" s="6" t="str">
        <f>IFERROR(__xludf.DUMMYFUNCTION("GOOGLETRANSLATE(E4623,""fr"",""it"")"),"Mi piacciono i test, tranne i cartoni animati.")</f>
        <v>Mi piacciono i test, tranne i cartoni animati.</v>
      </c>
    </row>
    <row r="4624">
      <c r="A4624" s="4">
        <v>4622.0</v>
      </c>
      <c r="B4624" s="5" t="s">
        <v>13873</v>
      </c>
      <c r="C4624" s="4">
        <v>0.0</v>
      </c>
      <c r="D4624" s="5" t="s">
        <v>13874</v>
      </c>
      <c r="E4624" s="5" t="s">
        <v>13875</v>
      </c>
      <c r="F4624" s="6" t="str">
        <f>IFERROR(__xludf.DUMMYFUNCTION("GOOGLETRANSLATE(D4624,""en"",""it"")"),"Mi piacciono i cartoni animati, tranne i saggi.")</f>
        <v>Mi piacciono i cartoni animati, tranne i saggi.</v>
      </c>
      <c r="G4624" s="6" t="str">
        <f>IFERROR(__xludf.DUMMYFUNCTION("GOOGLETRANSLATE(E4624,""fr"",""it"")"),"Mi piacciono i cartoni animati, ad eccezione dei test.")</f>
        <v>Mi piacciono i cartoni animati, ad eccezione dei test.</v>
      </c>
    </row>
    <row r="4625">
      <c r="A4625" s="4">
        <v>4623.0</v>
      </c>
      <c r="B4625" s="5" t="s">
        <v>13876</v>
      </c>
      <c r="C4625" s="4">
        <v>0.0</v>
      </c>
      <c r="D4625" s="5" t="s">
        <v>13877</v>
      </c>
      <c r="E4625" s="5" t="s">
        <v>13878</v>
      </c>
      <c r="F4625" s="6" t="str">
        <f>IFERROR(__xludf.DUMMYFUNCTION("GOOGLETRANSLATE(D4625,""en"",""it"")"),"Mi piacciono i saggi, tranne i dipinti.")</f>
        <v>Mi piacciono i saggi, tranne i dipinti.</v>
      </c>
      <c r="G4625" s="6" t="str">
        <f>IFERROR(__xludf.DUMMYFUNCTION("GOOGLETRANSLATE(E4625,""fr"",""it"")"),"Mi piacciono i test, tranne i dipinti.")</f>
        <v>Mi piacciono i test, tranne i dipinti.</v>
      </c>
    </row>
    <row r="4626">
      <c r="A4626" s="4">
        <v>4624.0</v>
      </c>
      <c r="B4626" s="5" t="s">
        <v>13879</v>
      </c>
      <c r="C4626" s="4">
        <v>0.0</v>
      </c>
      <c r="D4626" s="5" t="s">
        <v>13880</v>
      </c>
      <c r="E4626" s="5" t="s">
        <v>13881</v>
      </c>
      <c r="F4626" s="6" t="str">
        <f>IFERROR(__xludf.DUMMYFUNCTION("GOOGLETRANSLATE(D4626,""en"",""it"")"),"Mi piacciono i dipinti, tranne i saggi.")</f>
        <v>Mi piacciono i dipinti, tranne i saggi.</v>
      </c>
      <c r="G4626" s="6" t="str">
        <f>IFERROR(__xludf.DUMMYFUNCTION("GOOGLETRANSLATE(E4626,""fr"",""it"")"),"Amo i dipinti, tranne i test.")</f>
        <v>Amo i dipinti, tranne i test.</v>
      </c>
    </row>
    <row r="4627">
      <c r="A4627" s="4">
        <v>4625.0</v>
      </c>
      <c r="B4627" s="5" t="s">
        <v>13882</v>
      </c>
      <c r="C4627" s="4">
        <v>0.0</v>
      </c>
      <c r="D4627" s="5" t="s">
        <v>13883</v>
      </c>
      <c r="E4627" s="5" t="s">
        <v>13884</v>
      </c>
      <c r="F4627" s="6" t="str">
        <f>IFERROR(__xludf.DUMMYFUNCTION("GOOGLETRANSLATE(D4627,""en"",""it"")"),"Mi piacciono i romanzi, tranne la musica.")</f>
        <v>Mi piacciono i romanzi, tranne la musica.</v>
      </c>
      <c r="G4627" s="6" t="str">
        <f>IFERROR(__xludf.DUMMYFUNCTION("GOOGLETRANSLATE(E4627,""fr"",""it"")"),"Amo i romanzi tranne la musica.")</f>
        <v>Amo i romanzi tranne la musica.</v>
      </c>
    </row>
    <row r="4628">
      <c r="A4628" s="4">
        <v>4626.0</v>
      </c>
      <c r="B4628" s="5" t="s">
        <v>13885</v>
      </c>
      <c r="C4628" s="4">
        <v>0.0</v>
      </c>
      <c r="D4628" s="5" t="s">
        <v>13886</v>
      </c>
      <c r="E4628" s="5" t="s">
        <v>13887</v>
      </c>
      <c r="F4628" s="6" t="str">
        <f>IFERROR(__xludf.DUMMYFUNCTION("GOOGLETRANSLATE(D4628,""en"",""it"")"),"Mi piace la musica, tranne romanzi.")</f>
        <v>Mi piace la musica, tranne romanzi.</v>
      </c>
      <c r="G4628" s="6" t="str">
        <f>IFERROR(__xludf.DUMMYFUNCTION("GOOGLETRANSLATE(E4628,""fr"",""it"")"),"Amo la musica tranne i romanzi.")</f>
        <v>Amo la musica tranne i romanzi.</v>
      </c>
    </row>
    <row r="4629">
      <c r="A4629" s="4">
        <v>4627.0</v>
      </c>
      <c r="B4629" s="5" t="s">
        <v>13888</v>
      </c>
      <c r="C4629" s="4">
        <v>0.0</v>
      </c>
      <c r="D4629" s="5" t="s">
        <v>13889</v>
      </c>
      <c r="E4629" s="5" t="s">
        <v>13890</v>
      </c>
      <c r="F4629" s="6" t="str">
        <f>IFERROR(__xludf.DUMMYFUNCTION("GOOGLETRANSLATE(D4629,""en"",""it"")"),"Mi piacciono i romanzi, tranne i libri.")</f>
        <v>Mi piacciono i romanzi, tranne i libri.</v>
      </c>
      <c r="G4629" s="6" t="str">
        <f>IFERROR(__xludf.DUMMYFUNCTION("GOOGLETRANSLATE(E4629,""fr"",""it"")"),"Amo i romanzi tranne i libri.")</f>
        <v>Amo i romanzi tranne i libri.</v>
      </c>
    </row>
    <row r="4630">
      <c r="A4630" s="4">
        <v>4628.0</v>
      </c>
      <c r="B4630" s="5" t="s">
        <v>13891</v>
      </c>
      <c r="C4630" s="4">
        <v>1.0</v>
      </c>
      <c r="D4630" s="5" t="s">
        <v>13892</v>
      </c>
      <c r="E4630" s="5" t="s">
        <v>13893</v>
      </c>
      <c r="F4630" s="6" t="str">
        <f>IFERROR(__xludf.DUMMYFUNCTION("GOOGLETRANSLATE(D4630,""en"",""it"")"),"Mi piacciono i libri, tranne romanzi.")</f>
        <v>Mi piacciono i libri, tranne romanzi.</v>
      </c>
      <c r="G4630" s="6" t="str">
        <f>IFERROR(__xludf.DUMMYFUNCTION("GOOGLETRANSLATE(E4630,""fr"",""it"")"),"Mi piacciono i libri tranne i romanzi.")</f>
        <v>Mi piacciono i libri tranne i romanzi.</v>
      </c>
    </row>
    <row r="4631">
      <c r="A4631" s="4">
        <v>4629.0</v>
      </c>
      <c r="B4631" s="5" t="s">
        <v>13894</v>
      </c>
      <c r="C4631" s="4">
        <v>0.0</v>
      </c>
      <c r="D4631" s="5" t="s">
        <v>13895</v>
      </c>
      <c r="E4631" s="5" t="s">
        <v>13896</v>
      </c>
      <c r="F4631" s="6" t="str">
        <f>IFERROR(__xludf.DUMMYFUNCTION("GOOGLETRANSLATE(D4631,""en"",""it"")"),"Mi piacciono i romanzi, tranne i film.")</f>
        <v>Mi piacciono i romanzi, tranne i film.</v>
      </c>
      <c r="G4631" s="6" t="str">
        <f>IFERROR(__xludf.DUMMYFUNCTION("GOOGLETRANSLATE(E4631,""fr"",""it"")"),"Mi piacciono i romanzi, tranne il cinema.")</f>
        <v>Mi piacciono i romanzi, tranne il cinema.</v>
      </c>
    </row>
    <row r="4632">
      <c r="A4632" s="4">
        <v>4630.0</v>
      </c>
      <c r="B4632" s="5" t="s">
        <v>13897</v>
      </c>
      <c r="C4632" s="4">
        <v>0.0</v>
      </c>
      <c r="D4632" s="5" t="s">
        <v>13898</v>
      </c>
      <c r="E4632" s="5" t="s">
        <v>13899</v>
      </c>
      <c r="F4632" s="6" t="str">
        <f>IFERROR(__xludf.DUMMYFUNCTION("GOOGLETRANSLATE(D4632,""en"",""it"")"),"Mi piacciono i film, tranne romanzi.")</f>
        <v>Mi piacciono i film, tranne romanzi.</v>
      </c>
      <c r="G4632" s="6" t="str">
        <f>IFERROR(__xludf.DUMMYFUNCTION("GOOGLETRANSLATE(E4632,""fr"",""it"")"),"Amo il cinema, tranne romanzi.")</f>
        <v>Amo il cinema, tranne romanzi.</v>
      </c>
    </row>
    <row r="4633">
      <c r="A4633" s="4">
        <v>4631.0</v>
      </c>
      <c r="B4633" s="5" t="s">
        <v>13900</v>
      </c>
      <c r="C4633" s="4">
        <v>0.0</v>
      </c>
      <c r="D4633" s="5" t="s">
        <v>13901</v>
      </c>
      <c r="E4633" s="5" t="s">
        <v>13902</v>
      </c>
      <c r="F4633" s="6" t="str">
        <f>IFERROR(__xludf.DUMMYFUNCTION("GOOGLETRANSLATE(D4633,""en"",""it"")"),"Mi piacciono i romanzi, tranne i cartoni animati.")</f>
        <v>Mi piacciono i romanzi, tranne i cartoni animati.</v>
      </c>
      <c r="G4633" s="6" t="str">
        <f>IFERROR(__xludf.DUMMYFUNCTION("GOOGLETRANSLATE(E4633,""fr"",""it"")"),"Mi piacciono i romanzi, tranne i cartoni animati.")</f>
        <v>Mi piacciono i romanzi, tranne i cartoni animati.</v>
      </c>
    </row>
    <row r="4634">
      <c r="A4634" s="4">
        <v>4632.0</v>
      </c>
      <c r="B4634" s="5" t="s">
        <v>13903</v>
      </c>
      <c r="C4634" s="4">
        <v>0.0</v>
      </c>
      <c r="D4634" s="5" t="s">
        <v>13904</v>
      </c>
      <c r="E4634" s="5" t="s">
        <v>13905</v>
      </c>
      <c r="F4634" s="6" t="str">
        <f>IFERROR(__xludf.DUMMYFUNCTION("GOOGLETRANSLATE(D4634,""en"",""it"")"),"Mi piacciono i cartoni animati, tranne romanzi.")</f>
        <v>Mi piacciono i cartoni animati, tranne romanzi.</v>
      </c>
      <c r="G4634" s="6" t="str">
        <f>IFERROR(__xludf.DUMMYFUNCTION("GOOGLETRANSLATE(E4634,""fr"",""it"")"),"Mi piacciono i cartoni animati, tranne romanzi.")</f>
        <v>Mi piacciono i cartoni animati, tranne romanzi.</v>
      </c>
    </row>
    <row r="4635">
      <c r="A4635" s="4">
        <v>4633.0</v>
      </c>
      <c r="B4635" s="5" t="s">
        <v>13906</v>
      </c>
      <c r="C4635" s="4">
        <v>0.0</v>
      </c>
      <c r="D4635" s="5" t="s">
        <v>13907</v>
      </c>
      <c r="E4635" s="5" t="s">
        <v>13908</v>
      </c>
      <c r="F4635" s="6" t="str">
        <f>IFERROR(__xludf.DUMMYFUNCTION("GOOGLETRANSLATE(D4635,""en"",""it"")"),"Mi piacciono i romanzi, tranne i dipinti.")</f>
        <v>Mi piacciono i romanzi, tranne i dipinti.</v>
      </c>
      <c r="G4635" s="6" t="str">
        <f>IFERROR(__xludf.DUMMYFUNCTION("GOOGLETRANSLATE(E4635,""fr"",""it"")"),"Amo i romanzi tranne i dipinti.")</f>
        <v>Amo i romanzi tranne i dipinti.</v>
      </c>
    </row>
    <row r="4636">
      <c r="A4636" s="4">
        <v>4634.0</v>
      </c>
      <c r="B4636" s="5" t="s">
        <v>13909</v>
      </c>
      <c r="C4636" s="4">
        <v>0.0</v>
      </c>
      <c r="D4636" s="5" t="s">
        <v>13910</v>
      </c>
      <c r="E4636" s="5" t="s">
        <v>13911</v>
      </c>
      <c r="F4636" s="6" t="str">
        <f>IFERROR(__xludf.DUMMYFUNCTION("GOOGLETRANSLATE(D4636,""en"",""it"")"),"Mi piacciono i dipinti, tranne romanzi.")</f>
        <v>Mi piacciono i dipinti, tranne romanzi.</v>
      </c>
      <c r="G4636" s="6" t="str">
        <f>IFERROR(__xludf.DUMMYFUNCTION("GOOGLETRANSLATE(E4636,""fr"",""it"")"),"Amo i dipinti tranne i romanzi.")</f>
        <v>Amo i dipinti tranne i romanzi.</v>
      </c>
    </row>
    <row r="4637">
      <c r="A4637" s="4">
        <v>4635.0</v>
      </c>
      <c r="B4637" s="5" t="s">
        <v>13912</v>
      </c>
      <c r="C4637" s="4">
        <v>0.0</v>
      </c>
      <c r="D4637" s="5" t="s">
        <v>13913</v>
      </c>
      <c r="E4637" s="5" t="s">
        <v>13914</v>
      </c>
      <c r="F4637" s="6" t="str">
        <f>IFERROR(__xludf.DUMMYFUNCTION("GOOGLETRANSLATE(D4637,""en"",""it"")"),"Mi piacciono i manuali, tranne la musica.")</f>
        <v>Mi piacciono i manuali, tranne la musica.</v>
      </c>
      <c r="G4637" s="6" t="str">
        <f>IFERROR(__xludf.DUMMYFUNCTION("GOOGLETRANSLATE(E4637,""fr"",""it"")"),"Mi piacciono i manuali, tranne la musica.")</f>
        <v>Mi piacciono i manuali, tranne la musica.</v>
      </c>
    </row>
    <row r="4638">
      <c r="A4638" s="4">
        <v>4636.0</v>
      </c>
      <c r="B4638" s="5" t="s">
        <v>13915</v>
      </c>
      <c r="C4638" s="4">
        <v>0.0</v>
      </c>
      <c r="D4638" s="5" t="s">
        <v>13916</v>
      </c>
      <c r="E4638" s="5" t="s">
        <v>13917</v>
      </c>
      <c r="F4638" s="6" t="str">
        <f>IFERROR(__xludf.DUMMYFUNCTION("GOOGLETRANSLATE(D4638,""en"",""it"")"),"Mi piace la musica, tranne i manuali.")</f>
        <v>Mi piace la musica, tranne i manuali.</v>
      </c>
      <c r="G4638" s="6" t="str">
        <f>IFERROR(__xludf.DUMMYFUNCTION("GOOGLETRANSLATE(E4638,""fr"",""it"")"),"Mi piace la musica tranne i manuali.")</f>
        <v>Mi piace la musica tranne i manuali.</v>
      </c>
    </row>
    <row r="4639">
      <c r="A4639" s="4">
        <v>4637.0</v>
      </c>
      <c r="B4639" s="5" t="s">
        <v>13918</v>
      </c>
      <c r="C4639" s="4">
        <v>0.0</v>
      </c>
      <c r="D4639" s="5" t="s">
        <v>13919</v>
      </c>
      <c r="E4639" s="5" t="s">
        <v>13920</v>
      </c>
      <c r="F4639" s="6" t="str">
        <f>IFERROR(__xludf.DUMMYFUNCTION("GOOGLETRANSLATE(D4639,""en"",""it"")"),"Mi piacciono i libri manuali, tranne i libri.")</f>
        <v>Mi piacciono i libri manuali, tranne i libri.</v>
      </c>
      <c r="G4639" s="6" t="str">
        <f>IFERROR(__xludf.DUMMYFUNCTION("GOOGLETRANSLATE(E4639,""fr"",""it"")"),"Mi piacciono i manuali, tranne i libri.")</f>
        <v>Mi piacciono i manuali, tranne i libri.</v>
      </c>
    </row>
    <row r="4640">
      <c r="A4640" s="4">
        <v>4638.0</v>
      </c>
      <c r="B4640" s="5" t="s">
        <v>13921</v>
      </c>
      <c r="C4640" s="4">
        <v>1.0</v>
      </c>
      <c r="D4640" s="5" t="s">
        <v>13922</v>
      </c>
      <c r="E4640" s="5" t="s">
        <v>13923</v>
      </c>
      <c r="F4640" s="6" t="str">
        <f>IFERROR(__xludf.DUMMYFUNCTION("GOOGLETRANSLATE(D4640,""en"",""it"")"),"Mi piacciono i libri, tranne i manuali.")</f>
        <v>Mi piacciono i libri, tranne i manuali.</v>
      </c>
      <c r="G4640" s="6" t="str">
        <f>IFERROR(__xludf.DUMMYFUNCTION("GOOGLETRANSLATE(E4640,""fr"",""it"")"),"Mi piacciono i libri tranne i manuali.")</f>
        <v>Mi piacciono i libri tranne i manuali.</v>
      </c>
    </row>
    <row r="4641">
      <c r="A4641" s="4">
        <v>4639.0</v>
      </c>
      <c r="B4641" s="5" t="s">
        <v>13924</v>
      </c>
      <c r="C4641" s="4">
        <v>0.0</v>
      </c>
      <c r="D4641" s="5" t="s">
        <v>13925</v>
      </c>
      <c r="E4641" s="5" t="s">
        <v>13926</v>
      </c>
      <c r="F4641" s="6" t="str">
        <f>IFERROR(__xludf.DUMMYFUNCTION("GOOGLETRANSLATE(D4641,""en"",""it"")"),"Mi piacciono i manuali, tranne i film.")</f>
        <v>Mi piacciono i manuali, tranne i film.</v>
      </c>
      <c r="G4641" s="6" t="str">
        <f>IFERROR(__xludf.DUMMYFUNCTION("GOOGLETRANSLATE(E4641,""fr"",""it"")"),"Mi piacciono i manuali, ad eccezione del cinema.")</f>
        <v>Mi piacciono i manuali, ad eccezione del cinema.</v>
      </c>
    </row>
    <row r="4642">
      <c r="A4642" s="4">
        <v>4640.0</v>
      </c>
      <c r="B4642" s="5" t="s">
        <v>13927</v>
      </c>
      <c r="C4642" s="4">
        <v>0.0</v>
      </c>
      <c r="D4642" s="5" t="s">
        <v>13928</v>
      </c>
      <c r="E4642" s="5" t="s">
        <v>13929</v>
      </c>
      <c r="F4642" s="6" t="str">
        <f>IFERROR(__xludf.DUMMYFUNCTION("GOOGLETRANSLATE(D4642,""en"",""it"")"),"Mi piacciono i film, tranne i manuali.")</f>
        <v>Mi piacciono i film, tranne i manuali.</v>
      </c>
      <c r="G4642" s="6" t="str">
        <f>IFERROR(__xludf.DUMMYFUNCTION("GOOGLETRANSLATE(E4642,""fr"",""it"")"),"Amo il cinema, tranne i manuali.")</f>
        <v>Amo il cinema, tranne i manuali.</v>
      </c>
    </row>
    <row r="4643">
      <c r="A4643" s="4">
        <v>4641.0</v>
      </c>
      <c r="B4643" s="5" t="s">
        <v>13930</v>
      </c>
      <c r="C4643" s="4">
        <v>0.0</v>
      </c>
      <c r="D4643" s="5" t="s">
        <v>13931</v>
      </c>
      <c r="E4643" s="5" t="s">
        <v>13932</v>
      </c>
      <c r="F4643" s="6" t="str">
        <f>IFERROR(__xludf.DUMMYFUNCTION("GOOGLETRANSLATE(D4643,""en"",""it"")"),"Mi piacciono i manuali, tranne i cartoni animati.")</f>
        <v>Mi piacciono i manuali, tranne i cartoni animati.</v>
      </c>
      <c r="G4643" s="6" t="str">
        <f>IFERROR(__xludf.DUMMYFUNCTION("GOOGLETRANSLATE(E4643,""fr"",""it"")"),"Mi piacciono i manuali, tranne i cartoni animati.")</f>
        <v>Mi piacciono i manuali, tranne i cartoni animati.</v>
      </c>
    </row>
    <row r="4644">
      <c r="A4644" s="4">
        <v>4642.0</v>
      </c>
      <c r="B4644" s="5" t="s">
        <v>13933</v>
      </c>
      <c r="C4644" s="4">
        <v>0.0</v>
      </c>
      <c r="D4644" s="5" t="s">
        <v>13934</v>
      </c>
      <c r="E4644" s="5" t="s">
        <v>13935</v>
      </c>
      <c r="F4644" s="6" t="str">
        <f>IFERROR(__xludf.DUMMYFUNCTION("GOOGLETRANSLATE(D4644,""en"",""it"")"),"Mi piacciono i cartoni animati, tranne i manuali.")</f>
        <v>Mi piacciono i cartoni animati, tranne i manuali.</v>
      </c>
      <c r="G4644" s="6" t="str">
        <f>IFERROR(__xludf.DUMMYFUNCTION("GOOGLETRANSLATE(E4644,""fr"",""it"")"),"Mi piacciono i cartoni animati, tranne i manuali.")</f>
        <v>Mi piacciono i cartoni animati, tranne i manuali.</v>
      </c>
    </row>
    <row r="4645">
      <c r="A4645" s="4">
        <v>4643.0</v>
      </c>
      <c r="B4645" s="5" t="s">
        <v>13936</v>
      </c>
      <c r="C4645" s="4">
        <v>0.0</v>
      </c>
      <c r="D4645" s="5" t="s">
        <v>13937</v>
      </c>
      <c r="E4645" s="5" t="s">
        <v>13938</v>
      </c>
      <c r="F4645" s="6" t="str">
        <f>IFERROR(__xludf.DUMMYFUNCTION("GOOGLETRANSLATE(D4645,""en"",""it"")"),"Mi piacciono i manuali, tranne i dipinti.")</f>
        <v>Mi piacciono i manuali, tranne i dipinti.</v>
      </c>
      <c r="G4645" s="6" t="str">
        <f>IFERROR(__xludf.DUMMYFUNCTION("GOOGLETRANSLATE(E4645,""fr"",""it"")"),"Mi piacciono i manuali, tranne i dipinti.")</f>
        <v>Mi piacciono i manuali, tranne i dipinti.</v>
      </c>
    </row>
    <row r="4646">
      <c r="A4646" s="4">
        <v>4644.0</v>
      </c>
      <c r="B4646" s="5" t="s">
        <v>13939</v>
      </c>
      <c r="C4646" s="4">
        <v>0.0</v>
      </c>
      <c r="D4646" s="5" t="s">
        <v>13940</v>
      </c>
      <c r="E4646" s="5" t="s">
        <v>13941</v>
      </c>
      <c r="F4646" s="6" t="str">
        <f>IFERROR(__xludf.DUMMYFUNCTION("GOOGLETRANSLATE(D4646,""en"",""it"")"),"Mi piacciono i dipinti, tranne i manuali.")</f>
        <v>Mi piacciono i dipinti, tranne i manuali.</v>
      </c>
      <c r="G4646" s="6" t="str">
        <f>IFERROR(__xludf.DUMMYFUNCTION("GOOGLETRANSLATE(E4646,""fr"",""it"")"),"Mi piacciono i dipinti, tranne i manuali.")</f>
        <v>Mi piacciono i dipinti, tranne i manuali.</v>
      </c>
    </row>
    <row r="4647">
      <c r="A4647" s="4">
        <v>4645.0</v>
      </c>
      <c r="B4647" s="5" t="s">
        <v>13942</v>
      </c>
      <c r="C4647" s="4">
        <v>0.0</v>
      </c>
      <c r="D4647" s="5" t="s">
        <v>13943</v>
      </c>
      <c r="E4647" s="5" t="s">
        <v>13944</v>
      </c>
      <c r="F4647" s="6" t="str">
        <f>IFERROR(__xludf.DUMMYFUNCTION("GOOGLETRANSLATE(D4647,""en"",""it"")"),"Mi piacciono gli impiegati, eccetto le fabbriche.")</f>
        <v>Mi piacciono gli impiegati, eccetto le fabbriche.</v>
      </c>
      <c r="G4647" s="6" t="str">
        <f>IFERROR(__xludf.DUMMYFUNCTION("GOOGLETRANSLATE(E4647,""fr"",""it"")"),"Mi piacciono gli impiegati, tranne le fabbriche.")</f>
        <v>Mi piacciono gli impiegati, tranne le fabbriche.</v>
      </c>
    </row>
    <row r="4648">
      <c r="A4648" s="4">
        <v>4646.0</v>
      </c>
      <c r="B4648" s="5" t="s">
        <v>13945</v>
      </c>
      <c r="C4648" s="4">
        <v>0.0</v>
      </c>
      <c r="D4648" s="5" t="s">
        <v>13946</v>
      </c>
      <c r="E4648" s="5" t="s">
        <v>13947</v>
      </c>
      <c r="F4648" s="6" t="str">
        <f>IFERROR(__xludf.DUMMYFUNCTION("GOOGLETRANSLATE(D4648,""en"",""it"")"),"Mi piacciono le fabbriche, tranne gli impiegati.")</f>
        <v>Mi piacciono le fabbriche, tranne gli impiegati.</v>
      </c>
      <c r="G4648" s="6" t="str">
        <f>IFERROR(__xludf.DUMMYFUNCTION("GOOGLETRANSLATE(E4648,""fr"",""it"")"),"Amo le fabbriche tranne gli impiegati.")</f>
        <v>Amo le fabbriche tranne gli impiegati.</v>
      </c>
    </row>
    <row r="4649">
      <c r="A4649" s="4">
        <v>4647.0</v>
      </c>
      <c r="B4649" s="5" t="s">
        <v>13948</v>
      </c>
      <c r="C4649" s="4">
        <v>0.0</v>
      </c>
      <c r="D4649" s="5" t="s">
        <v>13949</v>
      </c>
      <c r="E4649" s="5" t="s">
        <v>13950</v>
      </c>
      <c r="F4649" s="6" t="str">
        <f>IFERROR(__xludf.DUMMYFUNCTION("GOOGLETRANSLATE(D4649,""en"",""it"")"),"Mi piacciono gli impiegati, tranne i lavoratori.")</f>
        <v>Mi piacciono gli impiegati, tranne i lavoratori.</v>
      </c>
      <c r="G4649" s="6" t="str">
        <f>IFERROR(__xludf.DUMMYFUNCTION("GOOGLETRANSLATE(E4649,""fr"",""it"")"),"Mi piacciono gli impiegati, tranne i lavoratori.")</f>
        <v>Mi piacciono gli impiegati, tranne i lavoratori.</v>
      </c>
    </row>
    <row r="4650">
      <c r="A4650" s="4">
        <v>4648.0</v>
      </c>
      <c r="B4650" s="5" t="s">
        <v>13951</v>
      </c>
      <c r="C4650" s="4">
        <v>1.0</v>
      </c>
      <c r="D4650" s="5" t="s">
        <v>13952</v>
      </c>
      <c r="E4650" s="5" t="s">
        <v>13953</v>
      </c>
      <c r="F4650" s="6" t="str">
        <f>IFERROR(__xludf.DUMMYFUNCTION("GOOGLETRANSLATE(D4650,""en"",""it"")"),"Mi piacciono i lavoratori, tranne gli impiegati.")</f>
        <v>Mi piacciono i lavoratori, tranne gli impiegati.</v>
      </c>
      <c r="G4650" s="6" t="str">
        <f>IFERROR(__xludf.DUMMYFUNCTION("GOOGLETRANSLATE(E4650,""fr"",""it"")"),"Mi piacciono i lavoratori, tranne gli impiegati.")</f>
        <v>Mi piacciono i lavoratori, tranne gli impiegati.</v>
      </c>
    </row>
    <row r="4651">
      <c r="A4651" s="4">
        <v>4649.0</v>
      </c>
      <c r="B4651" s="5" t="s">
        <v>13954</v>
      </c>
      <c r="C4651" s="4">
        <v>0.0</v>
      </c>
      <c r="D4651" s="5" t="s">
        <v>13955</v>
      </c>
      <c r="E4651" s="5" t="s">
        <v>13956</v>
      </c>
      <c r="F4651" s="6" t="str">
        <f>IFERROR(__xludf.DUMMYFUNCTION("GOOGLETRANSLATE(D4651,""en"",""it"")"),"Mi piacciono i lavoratori, eccetto le fabbriche.")</f>
        <v>Mi piacciono i lavoratori, eccetto le fabbriche.</v>
      </c>
      <c r="G4651" s="6" t="str">
        <f>IFERROR(__xludf.DUMMYFUNCTION("GOOGLETRANSLATE(E4651,""fr"",""it"")"),"Amo i lavoratori, tranne le fabbriche.")</f>
        <v>Amo i lavoratori, tranne le fabbriche.</v>
      </c>
    </row>
    <row r="4652">
      <c r="A4652" s="4">
        <v>4650.0</v>
      </c>
      <c r="B4652" s="5" t="s">
        <v>13957</v>
      </c>
      <c r="C4652" s="4">
        <v>0.0</v>
      </c>
      <c r="D4652" s="5" t="s">
        <v>13958</v>
      </c>
      <c r="E4652" s="5" t="s">
        <v>13959</v>
      </c>
      <c r="F4652" s="6" t="str">
        <f>IFERROR(__xludf.DUMMYFUNCTION("GOOGLETRANSLATE(D4652,""en"",""it"")"),"Mi piacciono gli impiegati, tranne i ristoranti.")</f>
        <v>Mi piacciono gli impiegati, tranne i ristoranti.</v>
      </c>
      <c r="G4652" s="6" t="str">
        <f>IFERROR(__xludf.DUMMYFUNCTION("GOOGLETRANSLATE(E4652,""fr"",""it"")"),"Mi piacciono gli impiegati, tranne i ristoranti.")</f>
        <v>Mi piacciono gli impiegati, tranne i ristoranti.</v>
      </c>
    </row>
    <row r="4653">
      <c r="A4653" s="4">
        <v>4651.0</v>
      </c>
      <c r="B4653" s="5" t="s">
        <v>13960</v>
      </c>
      <c r="C4653" s="4">
        <v>0.0</v>
      </c>
      <c r="D4653" s="5" t="s">
        <v>13961</v>
      </c>
      <c r="E4653" s="5" t="s">
        <v>13962</v>
      </c>
      <c r="F4653" s="6" t="str">
        <f>IFERROR(__xludf.DUMMYFUNCTION("GOOGLETRANSLATE(D4653,""en"",""it"")"),"Mi piacciono i ristoranti, tranne gli impiegati.")</f>
        <v>Mi piacciono i ristoranti, tranne gli impiegati.</v>
      </c>
      <c r="G4653" s="6" t="str">
        <f>IFERROR(__xludf.DUMMYFUNCTION("GOOGLETRANSLATE(E4653,""fr"",""it"")"),"Amo i ristoranti tranne gli impiegati.")</f>
        <v>Amo i ristoranti tranne gli impiegati.</v>
      </c>
    </row>
    <row r="4654">
      <c r="A4654" s="4">
        <v>4652.0</v>
      </c>
      <c r="B4654" s="5" t="s">
        <v>13963</v>
      </c>
      <c r="C4654" s="4">
        <v>0.0</v>
      </c>
      <c r="D4654" s="5" t="s">
        <v>13964</v>
      </c>
      <c r="E4654" s="5" t="s">
        <v>13965</v>
      </c>
      <c r="F4654" s="6" t="str">
        <f>IFERROR(__xludf.DUMMYFUNCTION("GOOGLETRANSLATE(D4654,""en"",""it"")"),"Mi piacciono i lavoratori, ad eccezione dei ristoranti.")</f>
        <v>Mi piacciono i lavoratori, ad eccezione dei ristoranti.</v>
      </c>
      <c r="G4654" s="6" t="str">
        <f>IFERROR(__xludf.DUMMYFUNCTION("GOOGLETRANSLATE(E4654,""fr"",""it"")"),"Adoro i lavoratori tranne i ristoranti.")</f>
        <v>Adoro i lavoratori tranne i ristoranti.</v>
      </c>
    </row>
    <row r="4655">
      <c r="A4655" s="4">
        <v>4653.0</v>
      </c>
      <c r="B4655" s="5" t="s">
        <v>13966</v>
      </c>
      <c r="C4655" s="4">
        <v>0.0</v>
      </c>
      <c r="D4655" s="5" t="s">
        <v>13967</v>
      </c>
      <c r="E4655" s="5" t="s">
        <v>13968</v>
      </c>
      <c r="F4655" s="6" t="str">
        <f>IFERROR(__xludf.DUMMYFUNCTION("GOOGLETRANSLATE(D4655,""en"",""it"")"),"Mi piacciono gli impiegati, tranne le scuole.")</f>
        <v>Mi piacciono gli impiegati, tranne le scuole.</v>
      </c>
      <c r="G4655" s="6" t="str">
        <f>IFERROR(__xludf.DUMMYFUNCTION("GOOGLETRANSLATE(E4655,""fr"",""it"")"),"Mi piacciono gli impiegati, tranne le scuole.")</f>
        <v>Mi piacciono gli impiegati, tranne le scuole.</v>
      </c>
    </row>
    <row r="4656">
      <c r="A4656" s="4">
        <v>4654.0</v>
      </c>
      <c r="B4656" s="5" t="s">
        <v>13969</v>
      </c>
      <c r="C4656" s="4">
        <v>0.0</v>
      </c>
      <c r="D4656" s="5" t="s">
        <v>13970</v>
      </c>
      <c r="E4656" s="5" t="s">
        <v>13971</v>
      </c>
      <c r="F4656" s="6" t="str">
        <f>IFERROR(__xludf.DUMMYFUNCTION("GOOGLETRANSLATE(D4656,""en"",""it"")"),"Mi piacciono le scuole, tranne gli impiegati.")</f>
        <v>Mi piacciono le scuole, tranne gli impiegati.</v>
      </c>
      <c r="G4656" s="6" t="str">
        <f>IFERROR(__xludf.DUMMYFUNCTION("GOOGLETRANSLATE(E4656,""fr"",""it"")"),"Adoro le scuole tranne gli impiegati.")</f>
        <v>Adoro le scuole tranne gli impiegati.</v>
      </c>
    </row>
    <row r="4657">
      <c r="A4657" s="4">
        <v>4655.0</v>
      </c>
      <c r="B4657" s="5" t="s">
        <v>13972</v>
      </c>
      <c r="C4657" s="4">
        <v>0.0</v>
      </c>
      <c r="D4657" s="5" t="s">
        <v>13973</v>
      </c>
      <c r="E4657" s="5" t="s">
        <v>13974</v>
      </c>
      <c r="F4657" s="6" t="str">
        <f>IFERROR(__xludf.DUMMYFUNCTION("GOOGLETRANSLATE(D4657,""en"",""it"")"),"Mi piacciono i lavoratori, tranne le scuole.")</f>
        <v>Mi piacciono i lavoratori, tranne le scuole.</v>
      </c>
      <c r="G4657" s="6" t="str">
        <f>IFERROR(__xludf.DUMMYFUNCTION("GOOGLETRANSLATE(E4657,""fr"",""it"")"),"Mi piacciono i lavoratori, tranne le scuole.")</f>
        <v>Mi piacciono i lavoratori, tranne le scuole.</v>
      </c>
    </row>
    <row r="4658">
      <c r="A4658" s="4">
        <v>4656.0</v>
      </c>
      <c r="B4658" s="5" t="s">
        <v>13975</v>
      </c>
      <c r="C4658" s="4">
        <v>0.0</v>
      </c>
      <c r="D4658" s="5" t="s">
        <v>13976</v>
      </c>
      <c r="E4658" s="5" t="s">
        <v>13977</v>
      </c>
      <c r="F4658" s="6" t="str">
        <f>IFERROR(__xludf.DUMMYFUNCTION("GOOGLETRANSLATE(D4658,""en"",""it"")"),"Mi piacciono gli impiegati, tranne gli uffici.")</f>
        <v>Mi piacciono gli impiegati, tranne gli uffici.</v>
      </c>
      <c r="G4658" s="6" t="str">
        <f>IFERROR(__xludf.DUMMYFUNCTION("GOOGLETRANSLATE(E4658,""fr"",""it"")"),"Mi piacciono gli impiegati, tranne gli uffici.")</f>
        <v>Mi piacciono gli impiegati, tranne gli uffici.</v>
      </c>
    </row>
    <row r="4659">
      <c r="A4659" s="4">
        <v>4657.0</v>
      </c>
      <c r="B4659" s="5" t="s">
        <v>13978</v>
      </c>
      <c r="C4659" s="4">
        <v>0.0</v>
      </c>
      <c r="D4659" s="5" t="s">
        <v>13979</v>
      </c>
      <c r="E4659" s="5" t="s">
        <v>13980</v>
      </c>
      <c r="F4659" s="6" t="str">
        <f>IFERROR(__xludf.DUMMYFUNCTION("GOOGLETRANSLATE(D4659,""en"",""it"")"),"Mi piacciono gli uffici, tranne gli impiegati.")</f>
        <v>Mi piacciono gli uffici, tranne gli impiegati.</v>
      </c>
      <c r="G4659" s="6" t="str">
        <f>IFERROR(__xludf.DUMMYFUNCTION("GOOGLETRANSLATE(E4659,""fr"",""it"")"),"Adoro gli uffici tranne gli impiegati.")</f>
        <v>Adoro gli uffici tranne gli impiegati.</v>
      </c>
    </row>
    <row r="4660">
      <c r="A4660" s="4">
        <v>4658.0</v>
      </c>
      <c r="B4660" s="5" t="s">
        <v>13981</v>
      </c>
      <c r="C4660" s="4">
        <v>0.0</v>
      </c>
      <c r="D4660" s="5" t="s">
        <v>13982</v>
      </c>
      <c r="E4660" s="5" t="s">
        <v>13983</v>
      </c>
      <c r="F4660" s="6" t="str">
        <f>IFERROR(__xludf.DUMMYFUNCTION("GOOGLETRANSLATE(D4660,""en"",""it"")"),"Mi piacciono i lavoratori, tranne gli uffici.")</f>
        <v>Mi piacciono i lavoratori, tranne gli uffici.</v>
      </c>
      <c r="G4660" s="6" t="str">
        <f>IFERROR(__xludf.DUMMYFUNCTION("GOOGLETRANSLATE(E4660,""fr"",""it"")"),"Amo i lavoratori tranne gli uffici.")</f>
        <v>Amo i lavoratori tranne gli uffici.</v>
      </c>
    </row>
    <row r="4661">
      <c r="A4661" s="4">
        <v>4659.0</v>
      </c>
      <c r="B4661" s="5" t="s">
        <v>13984</v>
      </c>
      <c r="C4661" s="4">
        <v>0.0</v>
      </c>
      <c r="D4661" s="5" t="s">
        <v>13985</v>
      </c>
      <c r="E4661" s="5" t="s">
        <v>13986</v>
      </c>
      <c r="F4661" s="6" t="str">
        <f>IFERROR(__xludf.DUMMYFUNCTION("GOOGLETRANSLATE(D4661,""en"",""it"")"),"Mi piacciono i camerieri, tranne i fabbrici.")</f>
        <v>Mi piacciono i camerieri, tranne i fabbrici.</v>
      </c>
      <c r="G4661" s="6" t="str">
        <f>IFERROR(__xludf.DUMMYFUNCTION("GOOGLETRANSLATE(E4661,""fr"",""it"")"),"Mi piacciono i server tranne le fabbriche.")</f>
        <v>Mi piacciono i server tranne le fabbriche.</v>
      </c>
    </row>
    <row r="4662">
      <c r="A4662" s="4">
        <v>4660.0</v>
      </c>
      <c r="B4662" s="5" t="s">
        <v>13987</v>
      </c>
      <c r="C4662" s="4">
        <v>0.0</v>
      </c>
      <c r="D4662" s="5" t="s">
        <v>13988</v>
      </c>
      <c r="E4662" s="5" t="s">
        <v>13989</v>
      </c>
      <c r="F4662" s="6" t="str">
        <f>IFERROR(__xludf.DUMMYFUNCTION("GOOGLETRANSLATE(D4662,""en"",""it"")"),"Mi piacciono le fabbriche, tranne i camerieri.")</f>
        <v>Mi piacciono le fabbriche, tranne i camerieri.</v>
      </c>
      <c r="G4662" s="6" t="str">
        <f>IFERROR(__xludf.DUMMYFUNCTION("GOOGLETRANSLATE(E4662,""fr"",""it"")"),"Amo le fabbriche tranne i camerieri.")</f>
        <v>Amo le fabbriche tranne i camerieri.</v>
      </c>
    </row>
    <row r="4663">
      <c r="A4663" s="4">
        <v>4661.0</v>
      </c>
      <c r="B4663" s="5" t="s">
        <v>13990</v>
      </c>
      <c r="C4663" s="4">
        <v>0.0</v>
      </c>
      <c r="D4663" s="5" t="s">
        <v>13991</v>
      </c>
      <c r="E4663" s="5" t="s">
        <v>13992</v>
      </c>
      <c r="F4663" s="6" t="str">
        <f>IFERROR(__xludf.DUMMYFUNCTION("GOOGLETRANSLATE(D4663,""en"",""it"")"),"Mi piacciono i camerieri, tranne i lavoratori.")</f>
        <v>Mi piacciono i camerieri, tranne i lavoratori.</v>
      </c>
      <c r="G4663" s="6" t="str">
        <f>IFERROR(__xludf.DUMMYFUNCTION("GOOGLETRANSLATE(E4663,""fr"",""it"")"),"Mi piacciono i server tranne i lavoratori.")</f>
        <v>Mi piacciono i server tranne i lavoratori.</v>
      </c>
    </row>
    <row r="4664">
      <c r="A4664" s="4">
        <v>4662.0</v>
      </c>
      <c r="B4664" s="5" t="s">
        <v>13993</v>
      </c>
      <c r="C4664" s="4">
        <v>1.0</v>
      </c>
      <c r="D4664" s="5" t="s">
        <v>13994</v>
      </c>
      <c r="E4664" s="5" t="s">
        <v>13995</v>
      </c>
      <c r="F4664" s="6" t="str">
        <f>IFERROR(__xludf.DUMMYFUNCTION("GOOGLETRANSLATE(D4664,""en"",""it"")"),"Mi piacciono i lavoratori, tranne i camerieri.")</f>
        <v>Mi piacciono i lavoratori, tranne i camerieri.</v>
      </c>
      <c r="G4664" s="6" t="str">
        <f>IFERROR(__xludf.DUMMYFUNCTION("GOOGLETRANSLATE(E4664,""fr"",""it"")"),"Mi piacciono i lavoratori, ad eccezione dei server.")</f>
        <v>Mi piacciono i lavoratori, ad eccezione dei server.</v>
      </c>
    </row>
    <row r="4665">
      <c r="A4665" s="4">
        <v>4663.0</v>
      </c>
      <c r="B4665" s="5" t="s">
        <v>13996</v>
      </c>
      <c r="C4665" s="4">
        <v>0.0</v>
      </c>
      <c r="D4665" s="5" t="s">
        <v>13997</v>
      </c>
      <c r="E4665" s="5" t="s">
        <v>13998</v>
      </c>
      <c r="F4665" s="6" t="str">
        <f>IFERROR(__xludf.DUMMYFUNCTION("GOOGLETRANSLATE(D4665,""en"",""it"")"),"Mi piacciono i camerieri, tranne i ristoranti.")</f>
        <v>Mi piacciono i camerieri, tranne i ristoranti.</v>
      </c>
      <c r="G4665" s="6" t="str">
        <f>IFERROR(__xludf.DUMMYFUNCTION("GOOGLETRANSLATE(E4665,""fr"",""it"")"),"Mi piacciono i server tranne i ristoranti.")</f>
        <v>Mi piacciono i server tranne i ristoranti.</v>
      </c>
    </row>
    <row r="4666">
      <c r="A4666" s="4">
        <v>4664.0</v>
      </c>
      <c r="B4666" s="5" t="s">
        <v>13999</v>
      </c>
      <c r="C4666" s="4">
        <v>0.0</v>
      </c>
      <c r="D4666" s="5" t="s">
        <v>14000</v>
      </c>
      <c r="E4666" s="5" t="s">
        <v>14001</v>
      </c>
      <c r="F4666" s="6" t="str">
        <f>IFERROR(__xludf.DUMMYFUNCTION("GOOGLETRANSLATE(D4666,""en"",""it"")"),"Mi piacciono i ristoranti, eccetto i camerieri.")</f>
        <v>Mi piacciono i ristoranti, eccetto i camerieri.</v>
      </c>
      <c r="G4666" s="6" t="str">
        <f>IFERROR(__xludf.DUMMYFUNCTION("GOOGLETRANSLATE(E4666,""fr"",""it"")"),"Mi piacciono i ristoranti tranne i camerieri.")</f>
        <v>Mi piacciono i ristoranti tranne i camerieri.</v>
      </c>
    </row>
    <row r="4667">
      <c r="A4667" s="4">
        <v>4665.0</v>
      </c>
      <c r="B4667" s="5" t="s">
        <v>14002</v>
      </c>
      <c r="C4667" s="4">
        <v>0.0</v>
      </c>
      <c r="D4667" s="5" t="s">
        <v>14003</v>
      </c>
      <c r="E4667" s="5" t="s">
        <v>14004</v>
      </c>
      <c r="F4667" s="6" t="str">
        <f>IFERROR(__xludf.DUMMYFUNCTION("GOOGLETRANSLATE(D4667,""en"",""it"")"),"Mi piacciono i camerieri, tranne le scuole.")</f>
        <v>Mi piacciono i camerieri, tranne le scuole.</v>
      </c>
      <c r="G4667" s="6" t="str">
        <f>IFERROR(__xludf.DUMMYFUNCTION("GOOGLETRANSLATE(E4667,""fr"",""it"")"),"Mi piacciono i server tranne le scuole.")</f>
        <v>Mi piacciono i server tranne le scuole.</v>
      </c>
    </row>
    <row r="4668">
      <c r="A4668" s="4">
        <v>4666.0</v>
      </c>
      <c r="B4668" s="5" t="s">
        <v>14005</v>
      </c>
      <c r="C4668" s="4">
        <v>0.0</v>
      </c>
      <c r="D4668" s="5" t="s">
        <v>14006</v>
      </c>
      <c r="E4668" s="5" t="s">
        <v>14007</v>
      </c>
      <c r="F4668" s="6" t="str">
        <f>IFERROR(__xludf.DUMMYFUNCTION("GOOGLETRANSLATE(D4668,""en"",""it"")"),"Mi piacciono le scuole, eccetto i camerieri.")</f>
        <v>Mi piacciono le scuole, eccetto i camerieri.</v>
      </c>
      <c r="G4668" s="6" t="str">
        <f>IFERROR(__xludf.DUMMYFUNCTION("GOOGLETRANSLATE(E4668,""fr"",""it"")"),"Amo le scuole tranne i camerieri.")</f>
        <v>Amo le scuole tranne i camerieri.</v>
      </c>
    </row>
    <row r="4669">
      <c r="A4669" s="4">
        <v>4667.0</v>
      </c>
      <c r="B4669" s="5" t="s">
        <v>14008</v>
      </c>
      <c r="C4669" s="4">
        <v>0.0</v>
      </c>
      <c r="D4669" s="5" t="s">
        <v>14009</v>
      </c>
      <c r="E4669" s="5" t="s">
        <v>14010</v>
      </c>
      <c r="F4669" s="6" t="str">
        <f>IFERROR(__xludf.DUMMYFUNCTION("GOOGLETRANSLATE(D4669,""en"",""it"")"),"Mi piacciono i camerieri, tranne gli uffici.")</f>
        <v>Mi piacciono i camerieri, tranne gli uffici.</v>
      </c>
      <c r="G4669" s="6" t="str">
        <f>IFERROR(__xludf.DUMMYFUNCTION("GOOGLETRANSLATE(E4669,""fr"",""it"")"),"Mi piacciono i server tranne gli uffici.")</f>
        <v>Mi piacciono i server tranne gli uffici.</v>
      </c>
    </row>
    <row r="4670">
      <c r="A4670" s="4">
        <v>4668.0</v>
      </c>
      <c r="B4670" s="5" t="s">
        <v>14011</v>
      </c>
      <c r="C4670" s="4">
        <v>0.0</v>
      </c>
      <c r="D4670" s="5" t="s">
        <v>14012</v>
      </c>
      <c r="E4670" s="5" t="s">
        <v>14013</v>
      </c>
      <c r="F4670" s="6" t="str">
        <f>IFERROR(__xludf.DUMMYFUNCTION("GOOGLETRANSLATE(D4670,""en"",""it"")"),"Mi piacciono gli uffici, tranne i camerieri.")</f>
        <v>Mi piacciono gli uffici, tranne i camerieri.</v>
      </c>
      <c r="G4670" s="6" t="str">
        <f>IFERROR(__xludf.DUMMYFUNCTION("GOOGLETRANSLATE(E4670,""fr"",""it"")"),"Adoro gli uffici tranne i camerieri.")</f>
        <v>Adoro gli uffici tranne i camerieri.</v>
      </c>
    </row>
    <row r="4671">
      <c r="A4671" s="4">
        <v>4669.0</v>
      </c>
      <c r="B4671" s="5" t="s">
        <v>14014</v>
      </c>
      <c r="C4671" s="4">
        <v>0.0</v>
      </c>
      <c r="D4671" s="5" t="s">
        <v>14015</v>
      </c>
      <c r="E4671" s="5" t="s">
        <v>14016</v>
      </c>
      <c r="F4671" s="6" t="str">
        <f>IFERROR(__xludf.DUMMYFUNCTION("GOOGLETRANSLATE(D4671,""en"",""it"")"),"Mi piacciono i bobtail, tranne i criceti.")</f>
        <v>Mi piacciono i bobtail, tranne i criceti.</v>
      </c>
      <c r="G4671" s="6" t="str">
        <f>IFERROR(__xludf.DUMMYFUNCTION("GOOGLETRANSLATE(E4671,""fr"",""it"")"),"Mi piacciono i bobtail, tranne i criceti.")</f>
        <v>Mi piacciono i bobtail, tranne i criceti.</v>
      </c>
    </row>
    <row r="4672">
      <c r="A4672" s="4">
        <v>4670.0</v>
      </c>
      <c r="B4672" s="5" t="s">
        <v>14017</v>
      </c>
      <c r="C4672" s="4">
        <v>0.0</v>
      </c>
      <c r="D4672" s="5" t="s">
        <v>14018</v>
      </c>
      <c r="E4672" s="5" t="s">
        <v>14019</v>
      </c>
      <c r="F4672" s="6" t="str">
        <f>IFERROR(__xludf.DUMMYFUNCTION("GOOGLETRANSLATE(D4672,""en"",""it"")"),"Mi piacciono i custodi, eccetto le fabbriche.")</f>
        <v>Mi piacciono i custodi, eccetto le fabbriche.</v>
      </c>
      <c r="G4672" s="6" t="str">
        <f>IFERROR(__xludf.DUMMYFUNCTION("GOOGLETRANSLATE(E4672,""fr"",""it"")"),"Adoro le guardie, tranne le fabbriche.")</f>
        <v>Adoro le guardie, tranne le fabbriche.</v>
      </c>
    </row>
    <row r="4673">
      <c r="A4673" s="4">
        <v>4671.0</v>
      </c>
      <c r="B4673" s="5" t="s">
        <v>14020</v>
      </c>
      <c r="C4673" s="4">
        <v>0.0</v>
      </c>
      <c r="D4673" s="5" t="s">
        <v>14021</v>
      </c>
      <c r="E4673" s="5" t="s">
        <v>14022</v>
      </c>
      <c r="F4673" s="6" t="str">
        <f>IFERROR(__xludf.DUMMYFUNCTION("GOOGLETRANSLATE(D4673,""en"",""it"")"),"Mi piacciono le fabbriche, tranne i custodi.")</f>
        <v>Mi piacciono le fabbriche, tranne i custodi.</v>
      </c>
      <c r="G4673" s="6" t="str">
        <f>IFERROR(__xludf.DUMMYFUNCTION("GOOGLETRANSLATE(E4673,""fr"",""it"")"),"Amo le fabbriche tranne le guardie.")</f>
        <v>Amo le fabbriche tranne le guardie.</v>
      </c>
    </row>
    <row r="4674">
      <c r="A4674" s="4">
        <v>4672.0</v>
      </c>
      <c r="B4674" s="5" t="s">
        <v>14023</v>
      </c>
      <c r="C4674" s="4">
        <v>0.0</v>
      </c>
      <c r="D4674" s="5" t="s">
        <v>14024</v>
      </c>
      <c r="E4674" s="5" t="s">
        <v>14025</v>
      </c>
      <c r="F4674" s="6" t="str">
        <f>IFERROR(__xludf.DUMMYFUNCTION("GOOGLETRANSLATE(D4674,""en"",""it"")"),"Mi piacciono i custodi, tranne i lavoratori.")</f>
        <v>Mi piacciono i custodi, tranne i lavoratori.</v>
      </c>
      <c r="G4674" s="6" t="str">
        <f>IFERROR(__xludf.DUMMYFUNCTION("GOOGLETRANSLATE(E4674,""fr"",""it"")"),"Mi piacciono i guardiani, tranne i lavoratori.")</f>
        <v>Mi piacciono i guardiani, tranne i lavoratori.</v>
      </c>
    </row>
    <row r="4675">
      <c r="A4675" s="4">
        <v>4673.0</v>
      </c>
      <c r="B4675" s="5" t="s">
        <v>14026</v>
      </c>
      <c r="C4675" s="4">
        <v>1.0</v>
      </c>
      <c r="D4675" s="5" t="s">
        <v>14027</v>
      </c>
      <c r="E4675" s="5" t="s">
        <v>14028</v>
      </c>
      <c r="F4675" s="6" t="str">
        <f>IFERROR(__xludf.DUMMYFUNCTION("GOOGLETRANSLATE(D4675,""en"",""it"")"),"Mi piacciono i lavoratori, tranne i custodi.")</f>
        <v>Mi piacciono i lavoratori, tranne i custodi.</v>
      </c>
      <c r="G4675" s="6" t="str">
        <f>IFERROR(__xludf.DUMMYFUNCTION("GOOGLETRANSLATE(E4675,""fr"",""it"")"),"Amo i lavoratori, tranne i tutori.")</f>
        <v>Amo i lavoratori, tranne i tutori.</v>
      </c>
    </row>
    <row r="4676">
      <c r="A4676" s="4">
        <v>4674.0</v>
      </c>
      <c r="B4676" s="5" t="s">
        <v>14029</v>
      </c>
      <c r="C4676" s="4">
        <v>0.0</v>
      </c>
      <c r="D4676" s="5" t="s">
        <v>14030</v>
      </c>
      <c r="E4676" s="5" t="s">
        <v>14031</v>
      </c>
      <c r="F4676" s="6" t="str">
        <f>IFERROR(__xludf.DUMMYFUNCTION("GOOGLETRANSLATE(D4676,""en"",""it"")"),"Mi piacciono i custodi, tranne i ristoranti.")</f>
        <v>Mi piacciono i custodi, tranne i ristoranti.</v>
      </c>
      <c r="G4676" s="6" t="str">
        <f>IFERROR(__xludf.DUMMYFUNCTION("GOOGLETRANSLATE(E4676,""fr"",""it"")"),"Mi piacciono i guardiani, ad eccezione dei ristoranti.")</f>
        <v>Mi piacciono i guardiani, ad eccezione dei ristoranti.</v>
      </c>
    </row>
    <row r="4677">
      <c r="A4677" s="4">
        <v>4675.0</v>
      </c>
      <c r="B4677" s="5" t="s">
        <v>14032</v>
      </c>
      <c r="C4677" s="4">
        <v>0.0</v>
      </c>
      <c r="D4677" s="5" t="s">
        <v>14033</v>
      </c>
      <c r="E4677" s="5" t="s">
        <v>14034</v>
      </c>
      <c r="F4677" s="6" t="str">
        <f>IFERROR(__xludf.DUMMYFUNCTION("GOOGLETRANSLATE(D4677,""en"",""it"")"),"Mi piacciono i ristoranti, tranne i custodi.")</f>
        <v>Mi piacciono i ristoranti, tranne i custodi.</v>
      </c>
      <c r="G4677" s="6" t="str">
        <f>IFERROR(__xludf.DUMMYFUNCTION("GOOGLETRANSLATE(E4677,""fr"",""it"")"),"Amo i ristoranti tranne le guardie.")</f>
        <v>Amo i ristoranti tranne le guardie.</v>
      </c>
    </row>
    <row r="4678">
      <c r="A4678" s="4">
        <v>4676.0</v>
      </c>
      <c r="B4678" s="5" t="s">
        <v>14035</v>
      </c>
      <c r="C4678" s="4">
        <v>0.0</v>
      </c>
      <c r="D4678" s="5" t="s">
        <v>14036</v>
      </c>
      <c r="E4678" s="5" t="s">
        <v>14037</v>
      </c>
      <c r="F4678" s="6" t="str">
        <f>IFERROR(__xludf.DUMMYFUNCTION("GOOGLETRANSLATE(D4678,""en"",""it"")"),"Mi piacciono i custodi, tranne le scuole.")</f>
        <v>Mi piacciono i custodi, tranne le scuole.</v>
      </c>
      <c r="G4678" s="6" t="str">
        <f>IFERROR(__xludf.DUMMYFUNCTION("GOOGLETRANSLATE(E4678,""fr"",""it"")"),"Mi piacciono i guardiani, tranne le scuole.")</f>
        <v>Mi piacciono i guardiani, tranne le scuole.</v>
      </c>
    </row>
    <row r="4679">
      <c r="A4679" s="4">
        <v>4677.0</v>
      </c>
      <c r="B4679" s="5" t="s">
        <v>14038</v>
      </c>
      <c r="C4679" s="4">
        <v>0.0</v>
      </c>
      <c r="D4679" s="5" t="s">
        <v>14039</v>
      </c>
      <c r="E4679" s="5" t="s">
        <v>14040</v>
      </c>
      <c r="F4679" s="6" t="str">
        <f>IFERROR(__xludf.DUMMYFUNCTION("GOOGLETRANSLATE(D4679,""en"",""it"")"),"Mi piacciono le scuole, tranne i custodi.")</f>
        <v>Mi piacciono le scuole, tranne i custodi.</v>
      </c>
      <c r="G4679" s="6" t="str">
        <f>IFERROR(__xludf.DUMMYFUNCTION("GOOGLETRANSLATE(E4679,""fr"",""it"")"),"Amo le scuole tranne le guardie.")</f>
        <v>Amo le scuole tranne le guardie.</v>
      </c>
    </row>
    <row r="4680">
      <c r="A4680" s="4">
        <v>4678.0</v>
      </c>
      <c r="B4680" s="5" t="s">
        <v>14041</v>
      </c>
      <c r="C4680" s="4">
        <v>0.0</v>
      </c>
      <c r="D4680" s="5" t="s">
        <v>14042</v>
      </c>
      <c r="E4680" s="5" t="s">
        <v>14043</v>
      </c>
      <c r="F4680" s="6" t="str">
        <f>IFERROR(__xludf.DUMMYFUNCTION("GOOGLETRANSLATE(D4680,""en"",""it"")"),"Mi piacciono i custodi, tranne gli uffici.")</f>
        <v>Mi piacciono i custodi, tranne gli uffici.</v>
      </c>
      <c r="G4680" s="6" t="str">
        <f>IFERROR(__xludf.DUMMYFUNCTION("GOOGLETRANSLATE(E4680,""fr"",""it"")"),"Mi piacciono le guardie, tranne gli uffici.")</f>
        <v>Mi piacciono le guardie, tranne gli uffici.</v>
      </c>
    </row>
    <row r="4681">
      <c r="A4681" s="4">
        <v>4679.0</v>
      </c>
      <c r="B4681" s="5" t="s">
        <v>14044</v>
      </c>
      <c r="C4681" s="4">
        <v>0.0</v>
      </c>
      <c r="D4681" s="5" t="s">
        <v>14045</v>
      </c>
      <c r="E4681" s="5" t="s">
        <v>14046</v>
      </c>
      <c r="F4681" s="6" t="str">
        <f>IFERROR(__xludf.DUMMYFUNCTION("GOOGLETRANSLATE(D4681,""en"",""it"")"),"Mi piacciono gli uffici, tranne i custodi.")</f>
        <v>Mi piacciono gli uffici, tranne i custodi.</v>
      </c>
      <c r="G4681" s="6" t="str">
        <f>IFERROR(__xludf.DUMMYFUNCTION("GOOGLETRANSLATE(E4681,""fr"",""it"")"),"Adoro gli uffici tranne le guardie.")</f>
        <v>Adoro gli uffici tranne le guardie.</v>
      </c>
    </row>
    <row r="4682">
      <c r="A4682" s="4">
        <v>4680.0</v>
      </c>
      <c r="B4682" s="5" t="s">
        <v>14047</v>
      </c>
      <c r="C4682" s="4">
        <v>0.0</v>
      </c>
      <c r="D4682" s="5" t="s">
        <v>14048</v>
      </c>
      <c r="E4682" s="5" t="s">
        <v>14049</v>
      </c>
      <c r="F4682" s="6" t="str">
        <f>IFERROR(__xludf.DUMMYFUNCTION("GOOGLETRANSLATE(D4682,""en"",""it"")"),"Mi piacciono i professori, tranne le fabbriche.")</f>
        <v>Mi piacciono i professori, tranne le fabbriche.</v>
      </c>
      <c r="G4682" s="6" t="str">
        <f>IFERROR(__xludf.DUMMYFUNCTION("GOOGLETRANSLATE(E4682,""fr"",""it"")"),"Adoro gli insegnanti tranne le fabbriche.")</f>
        <v>Adoro gli insegnanti tranne le fabbriche.</v>
      </c>
    </row>
    <row r="4683">
      <c r="A4683" s="4">
        <v>4681.0</v>
      </c>
      <c r="B4683" s="5" t="s">
        <v>14050</v>
      </c>
      <c r="C4683" s="4">
        <v>0.0</v>
      </c>
      <c r="D4683" s="5" t="s">
        <v>14051</v>
      </c>
      <c r="E4683" s="5" t="s">
        <v>14052</v>
      </c>
      <c r="F4683" s="6" t="str">
        <f>IFERROR(__xludf.DUMMYFUNCTION("GOOGLETRANSLATE(D4683,""en"",""it"")"),"Mi piacciono le fabbriche, tranne i professori.")</f>
        <v>Mi piacciono le fabbriche, tranne i professori.</v>
      </c>
      <c r="G4683" s="6" t="str">
        <f>IFERROR(__xludf.DUMMYFUNCTION("GOOGLETRANSLATE(E4683,""fr"",""it"")"),"Amo le fabbriche tranne gli insegnanti.")</f>
        <v>Amo le fabbriche tranne gli insegnanti.</v>
      </c>
    </row>
    <row r="4684">
      <c r="A4684" s="4">
        <v>4682.0</v>
      </c>
      <c r="B4684" s="5" t="s">
        <v>14053</v>
      </c>
      <c r="C4684" s="4">
        <v>0.0</v>
      </c>
      <c r="D4684" s="5" t="s">
        <v>14054</v>
      </c>
      <c r="E4684" s="5" t="s">
        <v>14055</v>
      </c>
      <c r="F4684" s="6" t="str">
        <f>IFERROR(__xludf.DUMMYFUNCTION("GOOGLETRANSLATE(D4684,""en"",""it"")"),"Mi piacciono i professori, tranne i lavoratori.")</f>
        <v>Mi piacciono i professori, tranne i lavoratori.</v>
      </c>
      <c r="G4684" s="6" t="str">
        <f>IFERROR(__xludf.DUMMYFUNCTION("GOOGLETRANSLATE(E4684,""fr"",""it"")"),"Amo gli insegnanti tranne i lavoratori.")</f>
        <v>Amo gli insegnanti tranne i lavoratori.</v>
      </c>
    </row>
    <row r="4685">
      <c r="A4685" s="4">
        <v>4683.0</v>
      </c>
      <c r="B4685" s="5" t="s">
        <v>14056</v>
      </c>
      <c r="C4685" s="4">
        <v>1.0</v>
      </c>
      <c r="D4685" s="5" t="s">
        <v>14057</v>
      </c>
      <c r="E4685" s="5" t="s">
        <v>14058</v>
      </c>
      <c r="F4685" s="6" t="str">
        <f>IFERROR(__xludf.DUMMYFUNCTION("GOOGLETRANSLATE(D4685,""en"",""it"")"),"Mi piacciono i lavoratori, tranne i professori.")</f>
        <v>Mi piacciono i lavoratori, tranne i professori.</v>
      </c>
      <c r="G4685" s="6" t="str">
        <f>IFERROR(__xludf.DUMMYFUNCTION("GOOGLETRANSLATE(E4685,""fr"",""it"")"),"Mi piacciono i lavoratori, tranne gli insegnanti.")</f>
        <v>Mi piacciono i lavoratori, tranne gli insegnanti.</v>
      </c>
    </row>
    <row r="4686">
      <c r="A4686" s="4">
        <v>4684.0</v>
      </c>
      <c r="B4686" s="5" t="s">
        <v>14059</v>
      </c>
      <c r="C4686" s="4">
        <v>0.0</v>
      </c>
      <c r="D4686" s="5" t="s">
        <v>14060</v>
      </c>
      <c r="E4686" s="5" t="s">
        <v>14061</v>
      </c>
      <c r="F4686" s="6" t="str">
        <f>IFERROR(__xludf.DUMMYFUNCTION("GOOGLETRANSLATE(D4686,""en"",""it"")"),"Mi piacciono i professori, tranne i ristoranti.")</f>
        <v>Mi piacciono i professori, tranne i ristoranti.</v>
      </c>
      <c r="G4686" s="6" t="str">
        <f>IFERROR(__xludf.DUMMYFUNCTION("GOOGLETRANSLATE(E4686,""fr"",""it"")"),"Amo gli insegnanti tranne i ristoranti.")</f>
        <v>Amo gli insegnanti tranne i ristoranti.</v>
      </c>
    </row>
    <row r="4687">
      <c r="A4687" s="4">
        <v>4685.0</v>
      </c>
      <c r="B4687" s="5" t="s">
        <v>14062</v>
      </c>
      <c r="C4687" s="4">
        <v>0.0</v>
      </c>
      <c r="D4687" s="5" t="s">
        <v>14063</v>
      </c>
      <c r="E4687" s="5" t="s">
        <v>14064</v>
      </c>
      <c r="F4687" s="6" t="str">
        <f>IFERROR(__xludf.DUMMYFUNCTION("GOOGLETRANSLATE(D4687,""en"",""it"")"),"Mi piacciono i ristoranti, tranne i professori.")</f>
        <v>Mi piacciono i ristoranti, tranne i professori.</v>
      </c>
      <c r="G4687" s="6" t="str">
        <f>IFERROR(__xludf.DUMMYFUNCTION("GOOGLETRANSLATE(E4687,""fr"",""it"")"),"Mi piacciono i ristoranti, tranne gli insegnanti.")</f>
        <v>Mi piacciono i ristoranti, tranne gli insegnanti.</v>
      </c>
    </row>
    <row r="4688">
      <c r="A4688" s="4">
        <v>4686.0</v>
      </c>
      <c r="B4688" s="5" t="s">
        <v>14065</v>
      </c>
      <c r="C4688" s="4">
        <v>0.0</v>
      </c>
      <c r="D4688" s="5" t="s">
        <v>14066</v>
      </c>
      <c r="E4688" s="5" t="s">
        <v>14067</v>
      </c>
      <c r="F4688" s="6" t="str">
        <f>IFERROR(__xludf.DUMMYFUNCTION("GOOGLETRANSLATE(D4688,""en"",""it"")"),"Mi piacciono i professori, tranne le scuole.")</f>
        <v>Mi piacciono i professori, tranne le scuole.</v>
      </c>
      <c r="G4688" s="6" t="str">
        <f>IFERROR(__xludf.DUMMYFUNCTION("GOOGLETRANSLATE(E4688,""fr"",""it"")"),"Amo gli insegnanti tranne le scuole.")</f>
        <v>Amo gli insegnanti tranne le scuole.</v>
      </c>
    </row>
    <row r="4689">
      <c r="A4689" s="4">
        <v>4687.0</v>
      </c>
      <c r="B4689" s="5" t="s">
        <v>14068</v>
      </c>
      <c r="C4689" s="4">
        <v>0.0</v>
      </c>
      <c r="D4689" s="5" t="s">
        <v>14069</v>
      </c>
      <c r="E4689" s="5" t="s">
        <v>14070</v>
      </c>
      <c r="F4689" s="6" t="str">
        <f>IFERROR(__xludf.DUMMYFUNCTION("GOOGLETRANSLATE(D4689,""en"",""it"")"),"Mi piacciono le scuole, tranne i professori.")</f>
        <v>Mi piacciono le scuole, tranne i professori.</v>
      </c>
      <c r="G4689" s="6" t="str">
        <f>IFERROR(__xludf.DUMMYFUNCTION("GOOGLETRANSLATE(E4689,""fr"",""it"")"),"Adoro le scuole tranne gli insegnanti.")</f>
        <v>Adoro le scuole tranne gli insegnanti.</v>
      </c>
    </row>
    <row r="4690">
      <c r="A4690" s="4">
        <v>4688.0</v>
      </c>
      <c r="B4690" s="5" t="s">
        <v>14071</v>
      </c>
      <c r="C4690" s="4">
        <v>0.0</v>
      </c>
      <c r="D4690" s="5" t="s">
        <v>14072</v>
      </c>
      <c r="E4690" s="5" t="s">
        <v>14073</v>
      </c>
      <c r="F4690" s="6" t="str">
        <f>IFERROR(__xludf.DUMMYFUNCTION("GOOGLETRANSLATE(D4690,""en"",""it"")"),"Mi piacciono i professori, tranne gli uffici.")</f>
        <v>Mi piacciono i professori, tranne gli uffici.</v>
      </c>
      <c r="G4690" s="6" t="str">
        <f>IFERROR(__xludf.DUMMYFUNCTION("GOOGLETRANSLATE(E4690,""fr"",""it"")"),"Amo gli insegnanti tranne gli uffici.")</f>
        <v>Amo gli insegnanti tranne gli uffici.</v>
      </c>
    </row>
    <row r="4691">
      <c r="A4691" s="4">
        <v>4689.0</v>
      </c>
      <c r="B4691" s="5" t="s">
        <v>14074</v>
      </c>
      <c r="C4691" s="4">
        <v>0.0</v>
      </c>
      <c r="D4691" s="5" t="s">
        <v>14075</v>
      </c>
      <c r="E4691" s="5" t="s">
        <v>14076</v>
      </c>
      <c r="F4691" s="6" t="str">
        <f>IFERROR(__xludf.DUMMYFUNCTION("GOOGLETRANSLATE(D4691,""en"",""it"")"),"Mi piacciono gli uffici, tranne i professori.")</f>
        <v>Mi piacciono gli uffici, tranne i professori.</v>
      </c>
      <c r="G4691" s="6" t="str">
        <f>IFERROR(__xludf.DUMMYFUNCTION("GOOGLETRANSLATE(E4691,""fr"",""it"")"),"Adoro gli uffici tranne gli insegnanti.")</f>
        <v>Adoro gli uffici tranne gli insegnanti.</v>
      </c>
    </row>
    <row r="4692">
      <c r="A4692" s="4">
        <v>4690.0</v>
      </c>
      <c r="B4692" s="5" t="s">
        <v>14077</v>
      </c>
      <c r="C4692" s="4">
        <v>0.0</v>
      </c>
      <c r="D4692" s="5" t="s">
        <v>14078</v>
      </c>
      <c r="E4692" s="5" t="s">
        <v>14079</v>
      </c>
      <c r="F4692" s="6" t="str">
        <f>IFERROR(__xludf.DUMMYFUNCTION("GOOGLETRANSLATE(D4692,""en"",""it"")"),"Mi piacciono i criceti, tranne i bobtail.")</f>
        <v>Mi piacciono i criceti, tranne i bobtail.</v>
      </c>
      <c r="G4692" s="6" t="str">
        <f>IFERROR(__xludf.DUMMYFUNCTION("GOOGLETRANSLATE(E4692,""fr"",""it"")"),"Mi piacciono i criceti, tranne i bobtail.")</f>
        <v>Mi piacciono i criceti, tranne i bobtail.</v>
      </c>
    </row>
    <row r="4693">
      <c r="A4693" s="4">
        <v>4691.0</v>
      </c>
      <c r="B4693" s="5" t="s">
        <v>14080</v>
      </c>
      <c r="C4693" s="4">
        <v>0.0</v>
      </c>
      <c r="D4693" s="5" t="s">
        <v>14081</v>
      </c>
      <c r="E4693" s="5" t="s">
        <v>14082</v>
      </c>
      <c r="F4693" s="6" t="str">
        <f>IFERROR(__xludf.DUMMYFUNCTION("GOOGLETRANSLATE(D4693,""en"",""it"")"),"Ho incontrato biologi, tranne gli impiegati.")</f>
        <v>Ho incontrato biologi, tranne gli impiegati.</v>
      </c>
      <c r="G4693" s="6" t="str">
        <f>IFERROR(__xludf.DUMMYFUNCTION("GOOGLETRANSLATE(E4693,""fr"",""it"")"),"Ho incontrato biologi tranne gli impiegati.")</f>
        <v>Ho incontrato biologi tranne gli impiegati.</v>
      </c>
    </row>
    <row r="4694">
      <c r="A4694" s="4">
        <v>4692.0</v>
      </c>
      <c r="B4694" s="5" t="s">
        <v>14083</v>
      </c>
      <c r="C4694" s="4">
        <v>0.0</v>
      </c>
      <c r="D4694" s="5" t="s">
        <v>14084</v>
      </c>
      <c r="E4694" s="5" t="s">
        <v>14085</v>
      </c>
      <c r="F4694" s="6" t="str">
        <f>IFERROR(__xludf.DUMMYFUNCTION("GOOGLETRANSLATE(D4694,""en"",""it"")"),"Ho incontrato gli impiegati, tranne i biologi.")</f>
        <v>Ho incontrato gli impiegati, tranne i biologi.</v>
      </c>
      <c r="G4694" s="6" t="str">
        <f>IFERROR(__xludf.DUMMYFUNCTION("GOOGLETRANSLATE(E4694,""fr"",""it"")"),"Ho incontrato i commessi tranne i biologi.")</f>
        <v>Ho incontrato i commessi tranne i biologi.</v>
      </c>
    </row>
    <row r="4695">
      <c r="A4695" s="4">
        <v>4693.0</v>
      </c>
      <c r="B4695" s="5" t="s">
        <v>14086</v>
      </c>
      <c r="C4695" s="4">
        <v>0.0</v>
      </c>
      <c r="D4695" s="5" t="s">
        <v>14087</v>
      </c>
      <c r="E4695" s="5" t="s">
        <v>14088</v>
      </c>
      <c r="F4695" s="6" t="str">
        <f>IFERROR(__xludf.DUMMYFUNCTION("GOOGLETRANSLATE(D4695,""en"",""it"")"),"Ho incontrato biologi, tranne gli scienziati.")</f>
        <v>Ho incontrato biologi, tranne gli scienziati.</v>
      </c>
      <c r="G4695" s="6" t="str">
        <f>IFERROR(__xludf.DUMMYFUNCTION("GOOGLETRANSLATE(E4695,""fr"",""it"")"),"Ho incontrato biologi, tranne gli scienziati.")</f>
        <v>Ho incontrato biologi, tranne gli scienziati.</v>
      </c>
    </row>
    <row r="4696">
      <c r="A4696" s="4">
        <v>4694.0</v>
      </c>
      <c r="B4696" s="5" t="s">
        <v>14089</v>
      </c>
      <c r="C4696" s="4">
        <v>1.0</v>
      </c>
      <c r="D4696" s="5" t="s">
        <v>14090</v>
      </c>
      <c r="E4696" s="5" t="s">
        <v>14091</v>
      </c>
      <c r="F4696" s="6" t="str">
        <f>IFERROR(__xludf.DUMMYFUNCTION("GOOGLETRANSLATE(D4696,""en"",""it"")"),"Ho incontrato gli scienziati, tranne i biologi.")</f>
        <v>Ho incontrato gli scienziati, tranne i biologi.</v>
      </c>
      <c r="G4696" s="6" t="str">
        <f>IFERROR(__xludf.DUMMYFUNCTION("GOOGLETRANSLATE(E4696,""fr"",""it"")"),"Ho incontrato gli scienziati tranne i biologi.")</f>
        <v>Ho incontrato gli scienziati tranne i biologi.</v>
      </c>
    </row>
    <row r="4697">
      <c r="A4697" s="4">
        <v>4695.0</v>
      </c>
      <c r="B4697" s="5" t="s">
        <v>14092</v>
      </c>
      <c r="C4697" s="4">
        <v>0.0</v>
      </c>
      <c r="D4697" s="5" t="s">
        <v>14093</v>
      </c>
      <c r="E4697" s="5" t="s">
        <v>14094</v>
      </c>
      <c r="F4697" s="6" t="str">
        <f>IFERROR(__xludf.DUMMYFUNCTION("GOOGLETRANSLATE(D4697,""en"",""it"")"),"Ho incontrato gli scienziati, tranne gli impiegati.")</f>
        <v>Ho incontrato gli scienziati, tranne gli impiegati.</v>
      </c>
      <c r="G4697" s="6" t="str">
        <f>IFERROR(__xludf.DUMMYFUNCTION("GOOGLETRANSLATE(E4697,""fr"",""it"")"),"Ho incontrato gli scienziati tranne gli impiegati.")</f>
        <v>Ho incontrato gli scienziati tranne gli impiegati.</v>
      </c>
    </row>
    <row r="4698">
      <c r="A4698" s="4">
        <v>4696.0</v>
      </c>
      <c r="B4698" s="5" t="s">
        <v>14095</v>
      </c>
      <c r="C4698" s="4">
        <v>0.0</v>
      </c>
      <c r="D4698" s="5" t="s">
        <v>14096</v>
      </c>
      <c r="E4698" s="5" t="s">
        <v>14097</v>
      </c>
      <c r="F4698" s="6" t="str">
        <f>IFERROR(__xludf.DUMMYFUNCTION("GOOGLETRANSLATE(D4698,""en"",""it"")"),"Ho incontrato biologi, eccetto i camerieri.")</f>
        <v>Ho incontrato biologi, eccetto i camerieri.</v>
      </c>
      <c r="G4698" s="6" t="str">
        <f>IFERROR(__xludf.DUMMYFUNCTION("GOOGLETRANSLATE(E4698,""fr"",""it"")"),"Ho incontrato biologi tranne i camerieri.")</f>
        <v>Ho incontrato biologi tranne i camerieri.</v>
      </c>
    </row>
    <row r="4699">
      <c r="A4699" s="4">
        <v>4697.0</v>
      </c>
      <c r="B4699" s="5" t="s">
        <v>14098</v>
      </c>
      <c r="C4699" s="4">
        <v>0.0</v>
      </c>
      <c r="D4699" s="5" t="s">
        <v>14099</v>
      </c>
      <c r="E4699" s="5" t="s">
        <v>14100</v>
      </c>
      <c r="F4699" s="6" t="str">
        <f>IFERROR(__xludf.DUMMYFUNCTION("GOOGLETRANSLATE(D4699,""en"",""it"")"),"Ho incontrato i camerieri, tranne i biologi.")</f>
        <v>Ho incontrato i camerieri, tranne i biologi.</v>
      </c>
      <c r="G4699" s="6" t="str">
        <f>IFERROR(__xludf.DUMMYFUNCTION("GOOGLETRANSLATE(E4699,""fr"",""it"")"),"Ho incontrato i server tranne i biologi.")</f>
        <v>Ho incontrato i server tranne i biologi.</v>
      </c>
    </row>
    <row r="4700">
      <c r="A4700" s="4">
        <v>4698.0</v>
      </c>
      <c r="B4700" s="5" t="s">
        <v>14101</v>
      </c>
      <c r="C4700" s="4">
        <v>0.0</v>
      </c>
      <c r="D4700" s="5" t="s">
        <v>14102</v>
      </c>
      <c r="E4700" s="5" t="s">
        <v>14103</v>
      </c>
      <c r="F4700" s="6" t="str">
        <f>IFERROR(__xludf.DUMMYFUNCTION("GOOGLETRANSLATE(D4700,""en"",""it"")"),"Ho incontrato gli scienziati, eccetto i camerieri.")</f>
        <v>Ho incontrato gli scienziati, eccetto i camerieri.</v>
      </c>
      <c r="G4700" s="6" t="str">
        <f>IFERROR(__xludf.DUMMYFUNCTION("GOOGLETRANSLATE(E4700,""fr"",""it"")"),"Ho incontrato gli scienziati tranne i camerieri.")</f>
        <v>Ho incontrato gli scienziati tranne i camerieri.</v>
      </c>
    </row>
    <row r="4701">
      <c r="A4701" s="4">
        <v>4699.0</v>
      </c>
      <c r="B4701" s="5" t="s">
        <v>14104</v>
      </c>
      <c r="C4701" s="4">
        <v>0.0</v>
      </c>
      <c r="D4701" s="5" t="s">
        <v>14105</v>
      </c>
      <c r="E4701" s="5" t="s">
        <v>14106</v>
      </c>
      <c r="F4701" s="6" t="str">
        <f>IFERROR(__xludf.DUMMYFUNCTION("GOOGLETRANSLATE(D4701,""en"",""it"")"),"Ho incontrato biologi, tranne i custodi.")</f>
        <v>Ho incontrato biologi, tranne i custodi.</v>
      </c>
      <c r="G4701" s="6" t="str">
        <f>IFERROR(__xludf.DUMMYFUNCTION("GOOGLETRANSLATE(E4701,""fr"",""it"")"),"Ho incontrato biologi, tranne i tutori.")</f>
        <v>Ho incontrato biologi, tranne i tutori.</v>
      </c>
    </row>
    <row r="4702">
      <c r="A4702" s="4">
        <v>4700.0</v>
      </c>
      <c r="B4702" s="5" t="s">
        <v>14107</v>
      </c>
      <c r="C4702" s="4">
        <v>0.0</v>
      </c>
      <c r="D4702" s="5" t="s">
        <v>14108</v>
      </c>
      <c r="E4702" s="5" t="s">
        <v>14109</v>
      </c>
      <c r="F4702" s="6" t="str">
        <f>IFERROR(__xludf.DUMMYFUNCTION("GOOGLETRANSLATE(D4702,""en"",""it"")"),"Ho incontrato i custodi, tranne i biologi.")</f>
        <v>Ho incontrato i custodi, tranne i biologi.</v>
      </c>
      <c r="G4702" s="6" t="str">
        <f>IFERROR(__xludf.DUMMYFUNCTION("GOOGLETRANSLATE(E4702,""fr"",""it"")"),"Ho incontrato le guardie, tranne i biologi.")</f>
        <v>Ho incontrato le guardie, tranne i biologi.</v>
      </c>
    </row>
    <row r="4703">
      <c r="A4703" s="4">
        <v>4701.0</v>
      </c>
      <c r="B4703" s="5" t="s">
        <v>14110</v>
      </c>
      <c r="C4703" s="4">
        <v>0.0</v>
      </c>
      <c r="D4703" s="5" t="s">
        <v>14111</v>
      </c>
      <c r="E4703" s="5" t="s">
        <v>14112</v>
      </c>
      <c r="F4703" s="6" t="str">
        <f>IFERROR(__xludf.DUMMYFUNCTION("GOOGLETRANSLATE(D4703,""en"",""it"")"),"Ho incontrato gli scienziati, tranne i custodi.")</f>
        <v>Ho incontrato gli scienziati, tranne i custodi.</v>
      </c>
      <c r="G4703" s="6" t="str">
        <f>IFERROR(__xludf.DUMMYFUNCTION("GOOGLETRANSLATE(E4703,""fr"",""it"")"),"Ho incontrato gli scienziati tranne i tutori.")</f>
        <v>Ho incontrato gli scienziati tranne i tutori.</v>
      </c>
    </row>
    <row r="4704">
      <c r="A4704" s="4">
        <v>4702.0</v>
      </c>
      <c r="B4704" s="5" t="s">
        <v>14113</v>
      </c>
      <c r="C4704" s="4">
        <v>0.0</v>
      </c>
      <c r="D4704" s="5" t="s">
        <v>14114</v>
      </c>
      <c r="E4704" s="5" t="s">
        <v>14115</v>
      </c>
      <c r="F4704" s="6" t="str">
        <f>IFERROR(__xludf.DUMMYFUNCTION("GOOGLETRANSLATE(D4704,""en"",""it"")"),"Ho incontrato biologi, tranne i bidello.")</f>
        <v>Ho incontrato biologi, tranne i bidello.</v>
      </c>
      <c r="G4704" s="6" t="str">
        <f>IFERROR(__xludf.DUMMYFUNCTION("GOOGLETRANSLATE(E4704,""fr"",""it"")"),"Ho incontrato biologi, tranne i conietti.")</f>
        <v>Ho incontrato biologi, tranne i conietti.</v>
      </c>
    </row>
    <row r="4705">
      <c r="A4705" s="4">
        <v>4703.0</v>
      </c>
      <c r="B4705" s="5" t="s">
        <v>14116</v>
      </c>
      <c r="C4705" s="4">
        <v>0.0</v>
      </c>
      <c r="D4705" s="5" t="s">
        <v>14117</v>
      </c>
      <c r="E4705" s="5" t="s">
        <v>14118</v>
      </c>
      <c r="F4705" s="6" t="str">
        <f>IFERROR(__xludf.DUMMYFUNCTION("GOOGLETRANSLATE(D4705,""en"",""it"")"),"Ho incontrato bidelli, tranne i biologi.")</f>
        <v>Ho incontrato bidelli, tranne i biologi.</v>
      </c>
      <c r="G4705" s="6" t="str">
        <f>IFERROR(__xludf.DUMMYFUNCTION("GOOGLETRANSLATE(E4705,""fr"",""it"")"),"Ho incontrato Concierges tranne i biologi.")</f>
        <v>Ho incontrato Concierges tranne i biologi.</v>
      </c>
    </row>
    <row r="4706">
      <c r="A4706" s="4">
        <v>4704.0</v>
      </c>
      <c r="B4706" s="5" t="s">
        <v>14119</v>
      </c>
      <c r="C4706" s="4">
        <v>0.0</v>
      </c>
      <c r="D4706" s="5" t="s">
        <v>14120</v>
      </c>
      <c r="E4706" s="5" t="s">
        <v>14121</v>
      </c>
      <c r="F4706" s="6" t="str">
        <f>IFERROR(__xludf.DUMMYFUNCTION("GOOGLETRANSLATE(D4706,""en"",""it"")"),"Ho incontrato gli scienziati, tranne i bidelli.")</f>
        <v>Ho incontrato gli scienziati, tranne i bidelli.</v>
      </c>
      <c r="G4706" s="6" t="str">
        <f>IFERROR(__xludf.DUMMYFUNCTION("GOOGLETRANSLATE(E4706,""fr"",""it"")"),"Ho incontrato gli scienziati tranne i conietti.")</f>
        <v>Ho incontrato gli scienziati tranne i conietti.</v>
      </c>
    </row>
    <row r="4707">
      <c r="A4707" s="4">
        <v>4705.0</v>
      </c>
      <c r="B4707" s="5" t="s">
        <v>14122</v>
      </c>
      <c r="C4707" s="4">
        <v>0.0</v>
      </c>
      <c r="D4707" s="5" t="s">
        <v>14123</v>
      </c>
      <c r="E4707" s="5" t="s">
        <v>14124</v>
      </c>
      <c r="F4707" s="6" t="str">
        <f>IFERROR(__xludf.DUMMYFUNCTION("GOOGLETRANSLATE(D4707,""en"",""it"")"),"Ho incontrato i genetisti, tranne gli impiegati.")</f>
        <v>Ho incontrato i genetisti, tranne gli impiegati.</v>
      </c>
      <c r="G4707" s="6" t="str">
        <f>IFERROR(__xludf.DUMMYFUNCTION("GOOGLETRANSLATE(E4707,""fr"",""it"")"),"Ho incontrato i genetisti tranne gli impiegati.")</f>
        <v>Ho incontrato i genetisti tranne gli impiegati.</v>
      </c>
    </row>
    <row r="4708">
      <c r="A4708" s="4">
        <v>4706.0</v>
      </c>
      <c r="B4708" s="5" t="s">
        <v>14125</v>
      </c>
      <c r="C4708" s="4">
        <v>0.0</v>
      </c>
      <c r="D4708" s="5" t="s">
        <v>14126</v>
      </c>
      <c r="E4708" s="5" t="s">
        <v>14127</v>
      </c>
      <c r="F4708" s="6" t="str">
        <f>IFERROR(__xludf.DUMMYFUNCTION("GOOGLETRANSLATE(D4708,""en"",""it"")"),"Ho incontrato gli impiegati, ad eccezione dei genetisti.")</f>
        <v>Ho incontrato gli impiegati, ad eccezione dei genetisti.</v>
      </c>
      <c r="G4708" s="6" t="str">
        <f>IFERROR(__xludf.DUMMYFUNCTION("GOOGLETRANSLATE(E4708,""fr"",""it"")"),"Ho incontrato i commessi tranne i genetisti.")</f>
        <v>Ho incontrato i commessi tranne i genetisti.</v>
      </c>
    </row>
    <row r="4709">
      <c r="A4709" s="4">
        <v>4707.0</v>
      </c>
      <c r="B4709" s="5" t="s">
        <v>14128</v>
      </c>
      <c r="C4709" s="4">
        <v>0.0</v>
      </c>
      <c r="D4709" s="5" t="s">
        <v>14129</v>
      </c>
      <c r="E4709" s="5" t="s">
        <v>14130</v>
      </c>
      <c r="F4709" s="6" t="str">
        <f>IFERROR(__xludf.DUMMYFUNCTION("GOOGLETRANSLATE(D4709,""en"",""it"")"),"Ho incontrato i genetisti, tranne gli scienziati.")</f>
        <v>Ho incontrato i genetisti, tranne gli scienziati.</v>
      </c>
      <c r="G4709" s="6" t="str">
        <f>IFERROR(__xludf.DUMMYFUNCTION("GOOGLETRANSLATE(E4709,""fr"",""it"")"),"Ho incontrato i genetisti tranne gli scienziati.")</f>
        <v>Ho incontrato i genetisti tranne gli scienziati.</v>
      </c>
    </row>
    <row r="4710">
      <c r="A4710" s="4">
        <v>4708.0</v>
      </c>
      <c r="B4710" s="5" t="s">
        <v>14131</v>
      </c>
      <c r="C4710" s="4">
        <v>1.0</v>
      </c>
      <c r="D4710" s="5" t="s">
        <v>14132</v>
      </c>
      <c r="E4710" s="5" t="s">
        <v>14133</v>
      </c>
      <c r="F4710" s="6" t="str">
        <f>IFERROR(__xludf.DUMMYFUNCTION("GOOGLETRANSLATE(D4710,""en"",""it"")"),"Ho incontrato gli scienziati, ad eccezione dei genetisti.")</f>
        <v>Ho incontrato gli scienziati, ad eccezione dei genetisti.</v>
      </c>
      <c r="G4710" s="6" t="str">
        <f>IFERROR(__xludf.DUMMYFUNCTION("GOOGLETRANSLATE(E4710,""fr"",""it"")"),"Ho incontrato gli scienziati tranne i genetisti.")</f>
        <v>Ho incontrato gli scienziati tranne i genetisti.</v>
      </c>
    </row>
    <row r="4711">
      <c r="A4711" s="4">
        <v>4709.0</v>
      </c>
      <c r="B4711" s="5" t="s">
        <v>14134</v>
      </c>
      <c r="C4711" s="4">
        <v>0.0</v>
      </c>
      <c r="D4711" s="5" t="s">
        <v>14135</v>
      </c>
      <c r="E4711" s="5" t="s">
        <v>14136</v>
      </c>
      <c r="F4711" s="6" t="str">
        <f>IFERROR(__xludf.DUMMYFUNCTION("GOOGLETRANSLATE(D4711,""en"",""it"")"),"Ho incontrato i genetisti, eccetto i camerieri.")</f>
        <v>Ho incontrato i genetisti, eccetto i camerieri.</v>
      </c>
      <c r="G4711" s="6" t="str">
        <f>IFERROR(__xludf.DUMMYFUNCTION("GOOGLETRANSLATE(E4711,""fr"",""it"")"),"Ho incontrato i genetisti tranne i camerieri.")</f>
        <v>Ho incontrato i genetisti tranne i camerieri.</v>
      </c>
    </row>
    <row r="4712">
      <c r="A4712" s="4">
        <v>4710.0</v>
      </c>
      <c r="B4712" s="5" t="s">
        <v>14137</v>
      </c>
      <c r="C4712" s="4">
        <v>0.0</v>
      </c>
      <c r="D4712" s="5" t="s">
        <v>14138</v>
      </c>
      <c r="E4712" s="5" t="s">
        <v>14139</v>
      </c>
      <c r="F4712" s="6" t="str">
        <f>IFERROR(__xludf.DUMMYFUNCTION("GOOGLETRANSLATE(D4712,""en"",""it"")"),"Ho incontrato i camerieri, ad eccezione dei genetisti.")</f>
        <v>Ho incontrato i camerieri, ad eccezione dei genetisti.</v>
      </c>
      <c r="G4712" s="6" t="str">
        <f>IFERROR(__xludf.DUMMYFUNCTION("GOOGLETRANSLATE(E4712,""fr"",""it"")"),"Ho incontrato i server ad eccezione dei genetisti.")</f>
        <v>Ho incontrato i server ad eccezione dei genetisti.</v>
      </c>
    </row>
    <row r="4713">
      <c r="A4713" s="4">
        <v>4711.0</v>
      </c>
      <c r="B4713" s="5" t="s">
        <v>14140</v>
      </c>
      <c r="C4713" s="4">
        <v>0.0</v>
      </c>
      <c r="D4713" s="5" t="s">
        <v>14141</v>
      </c>
      <c r="E4713" s="5" t="s">
        <v>14142</v>
      </c>
      <c r="F4713" s="6" t="str">
        <f>IFERROR(__xludf.DUMMYFUNCTION("GOOGLETRANSLATE(D4713,""en"",""it"")"),"Ho incontrato i genetisti, tranne i custodi.")</f>
        <v>Ho incontrato i genetisti, tranne i custodi.</v>
      </c>
      <c r="G4713" s="6" t="str">
        <f>IFERROR(__xludf.DUMMYFUNCTION("GOOGLETRANSLATE(E4713,""fr"",""it"")"),"Ho incontrato i genetisti tranne le guardie.")</f>
        <v>Ho incontrato i genetisti tranne le guardie.</v>
      </c>
    </row>
    <row r="4714">
      <c r="A4714" s="4">
        <v>4712.0</v>
      </c>
      <c r="B4714" s="5" t="s">
        <v>14143</v>
      </c>
      <c r="C4714" s="4">
        <v>0.0</v>
      </c>
      <c r="D4714" s="5" t="s">
        <v>14144</v>
      </c>
      <c r="E4714" s="5" t="s">
        <v>14145</v>
      </c>
      <c r="F4714" s="6" t="str">
        <f>IFERROR(__xludf.DUMMYFUNCTION("GOOGLETRANSLATE(D4714,""en"",""it"")"),"Ho incontrato custodi, ad eccezione dei genetisti.")</f>
        <v>Ho incontrato custodi, ad eccezione dei genetisti.</v>
      </c>
      <c r="G4714" s="6" t="str">
        <f>IFERROR(__xludf.DUMMYFUNCTION("GOOGLETRANSLATE(E4714,""fr"",""it"")"),"Ho incontrato le guardie, ad eccezione dei genetisti.")</f>
        <v>Ho incontrato le guardie, ad eccezione dei genetisti.</v>
      </c>
    </row>
    <row r="4715">
      <c r="A4715" s="4">
        <v>4713.0</v>
      </c>
      <c r="B4715" s="5" t="s">
        <v>14146</v>
      </c>
      <c r="C4715" s="4">
        <v>0.0</v>
      </c>
      <c r="D4715" s="5" t="s">
        <v>14147</v>
      </c>
      <c r="E4715" s="5" t="s">
        <v>14148</v>
      </c>
      <c r="F4715" s="6" t="str">
        <f>IFERROR(__xludf.DUMMYFUNCTION("GOOGLETRANSLATE(D4715,""en"",""it"")"),"Ho incontrato i genetisti, tranne i bidelli.")</f>
        <v>Ho incontrato i genetisti, tranne i bidelli.</v>
      </c>
      <c r="G4715" s="6" t="str">
        <f>IFERROR(__xludf.DUMMYFUNCTION("GOOGLETRANSLATE(E4715,""fr"",""it"")"),"Ho incontrato i genetisti, tranne i conietti.")</f>
        <v>Ho incontrato i genetisti, tranne i conietti.</v>
      </c>
    </row>
    <row r="4716">
      <c r="A4716" s="4">
        <v>4714.0</v>
      </c>
      <c r="B4716" s="5" t="s">
        <v>14149</v>
      </c>
      <c r="C4716" s="4">
        <v>0.0</v>
      </c>
      <c r="D4716" s="5" t="s">
        <v>14150</v>
      </c>
      <c r="E4716" s="5" t="s">
        <v>14151</v>
      </c>
      <c r="F4716" s="6" t="str">
        <f>IFERROR(__xludf.DUMMYFUNCTION("GOOGLETRANSLATE(D4716,""en"",""it"")"),"Ho incontrato i bidelli, ad eccezione dei genetisti.")</f>
        <v>Ho incontrato i bidelli, ad eccezione dei genetisti.</v>
      </c>
      <c r="G4716" s="6" t="str">
        <f>IFERROR(__xludf.DUMMYFUNCTION("GOOGLETRANSLATE(E4716,""fr"",""it"")"),"Ho incontrato Concierges tranne i genetisti.")</f>
        <v>Ho incontrato Concierges tranne i genetisti.</v>
      </c>
    </row>
    <row r="4717">
      <c r="A4717" s="4">
        <v>4715.0</v>
      </c>
      <c r="B4717" s="5" t="s">
        <v>14152</v>
      </c>
      <c r="C4717" s="4">
        <v>0.0</v>
      </c>
      <c r="D4717" s="5" t="s">
        <v>14153</v>
      </c>
      <c r="E4717" s="5" t="s">
        <v>14154</v>
      </c>
      <c r="F4717" s="6" t="str">
        <f>IFERROR(__xludf.DUMMYFUNCTION("GOOGLETRANSLATE(D4717,""en"",""it"")"),"Ho incontrato gli astronomi, tranne gli impiegati.")</f>
        <v>Ho incontrato gli astronomi, tranne gli impiegati.</v>
      </c>
      <c r="G4717" s="6" t="str">
        <f>IFERROR(__xludf.DUMMYFUNCTION("GOOGLETRANSLATE(E4717,""fr"",""it"")"),"Ho incontrato gli astronomi tranne gli impiegati.")</f>
        <v>Ho incontrato gli astronomi tranne gli impiegati.</v>
      </c>
    </row>
    <row r="4718">
      <c r="A4718" s="4">
        <v>4716.0</v>
      </c>
      <c r="B4718" s="5" t="s">
        <v>14155</v>
      </c>
      <c r="C4718" s="4">
        <v>0.0</v>
      </c>
      <c r="D4718" s="5" t="s">
        <v>14156</v>
      </c>
      <c r="E4718" s="5" t="s">
        <v>14157</v>
      </c>
      <c r="F4718" s="6" t="str">
        <f>IFERROR(__xludf.DUMMYFUNCTION("GOOGLETRANSLATE(D4718,""en"",""it"")"),"Ho incontrato gli impiegati, tranne gli astronomi.")</f>
        <v>Ho incontrato gli impiegati, tranne gli astronomi.</v>
      </c>
      <c r="G4718" s="6" t="str">
        <f>IFERROR(__xludf.DUMMYFUNCTION("GOOGLETRANSLATE(E4718,""fr"",""it"")"),"Ho incontrato i commessi tranne gli astronomi.")</f>
        <v>Ho incontrato i commessi tranne gli astronomi.</v>
      </c>
    </row>
    <row r="4719">
      <c r="A4719" s="4">
        <v>4717.0</v>
      </c>
      <c r="B4719" s="5" t="s">
        <v>14158</v>
      </c>
      <c r="C4719" s="4">
        <v>0.0</v>
      </c>
      <c r="D4719" s="5" t="s">
        <v>14159</v>
      </c>
      <c r="E4719" s="5" t="s">
        <v>14160</v>
      </c>
      <c r="F4719" s="6" t="str">
        <f>IFERROR(__xludf.DUMMYFUNCTION("GOOGLETRANSLATE(D4719,""en"",""it"")"),"Ho incontrato gli astronomi, tranne gli scienziati.")</f>
        <v>Ho incontrato gli astronomi, tranne gli scienziati.</v>
      </c>
      <c r="G4719" s="6" t="str">
        <f>IFERROR(__xludf.DUMMYFUNCTION("GOOGLETRANSLATE(E4719,""fr"",""it"")"),"Ho incontrato gli astronomi, tranne gli scienziati.")</f>
        <v>Ho incontrato gli astronomi, tranne gli scienziati.</v>
      </c>
    </row>
    <row r="4720">
      <c r="A4720" s="4">
        <v>4718.0</v>
      </c>
      <c r="B4720" s="5" t="s">
        <v>14161</v>
      </c>
      <c r="C4720" s="4">
        <v>1.0</v>
      </c>
      <c r="D4720" s="5" t="s">
        <v>14162</v>
      </c>
      <c r="E4720" s="5" t="s">
        <v>14163</v>
      </c>
      <c r="F4720" s="6" t="str">
        <f>IFERROR(__xludf.DUMMYFUNCTION("GOOGLETRANSLATE(D4720,""en"",""it"")"),"Ho incontrato gli scienziati, tranne gli astronomi.")</f>
        <v>Ho incontrato gli scienziati, tranne gli astronomi.</v>
      </c>
      <c r="G4720" s="6" t="str">
        <f>IFERROR(__xludf.DUMMYFUNCTION("GOOGLETRANSLATE(E4720,""fr"",""it"")"),"Ho incontrato gli scienziati tranne gli astronomi.")</f>
        <v>Ho incontrato gli scienziati tranne gli astronomi.</v>
      </c>
    </row>
    <row r="4721">
      <c r="A4721" s="4">
        <v>4719.0</v>
      </c>
      <c r="B4721" s="5" t="s">
        <v>14164</v>
      </c>
      <c r="C4721" s="4">
        <v>0.0</v>
      </c>
      <c r="D4721" s="5" t="s">
        <v>14165</v>
      </c>
      <c r="E4721" s="5" t="s">
        <v>14166</v>
      </c>
      <c r="F4721" s="6" t="str">
        <f>IFERROR(__xludf.DUMMYFUNCTION("GOOGLETRANSLATE(D4721,""en"",""it"")"),"Ho incontrato gli astronomi, eccetto i camerieri.")</f>
        <v>Ho incontrato gli astronomi, eccetto i camerieri.</v>
      </c>
      <c r="G4721" s="6" t="str">
        <f>IFERROR(__xludf.DUMMYFUNCTION("GOOGLETRANSLATE(E4721,""fr"",""it"")"),"Ho incontrato gli astronomi ad eccezione dei server.")</f>
        <v>Ho incontrato gli astronomi ad eccezione dei server.</v>
      </c>
    </row>
    <row r="4722">
      <c r="A4722" s="4">
        <v>4720.0</v>
      </c>
      <c r="B4722" s="5" t="s">
        <v>14167</v>
      </c>
      <c r="C4722" s="4">
        <v>0.0</v>
      </c>
      <c r="D4722" s="5" t="s">
        <v>14168</v>
      </c>
      <c r="E4722" s="5" t="s">
        <v>14169</v>
      </c>
      <c r="F4722" s="6" t="str">
        <f>IFERROR(__xludf.DUMMYFUNCTION("GOOGLETRANSLATE(D4722,""en"",""it"")"),"Ho incontrato i camerieri, tranne gli astronomi.")</f>
        <v>Ho incontrato i camerieri, tranne gli astronomi.</v>
      </c>
      <c r="G4722" s="6" t="str">
        <f>IFERROR(__xludf.DUMMYFUNCTION("GOOGLETRANSLATE(E4722,""fr"",""it"")"),"Ho incontrato i server tranne gli astronomi.")</f>
        <v>Ho incontrato i server tranne gli astronomi.</v>
      </c>
    </row>
    <row r="4723">
      <c r="A4723" s="4">
        <v>4721.0</v>
      </c>
      <c r="B4723" s="5" t="s">
        <v>14170</v>
      </c>
      <c r="C4723" s="4">
        <v>0.0</v>
      </c>
      <c r="D4723" s="5" t="s">
        <v>14171</v>
      </c>
      <c r="E4723" s="5" t="s">
        <v>14172</v>
      </c>
      <c r="F4723" s="6" t="str">
        <f>IFERROR(__xludf.DUMMYFUNCTION("GOOGLETRANSLATE(D4723,""en"",""it"")"),"Ho incontrato gli astronomi, tranne i custodi.")</f>
        <v>Ho incontrato gli astronomi, tranne i custodi.</v>
      </c>
      <c r="G4723" s="6" t="str">
        <f>IFERROR(__xludf.DUMMYFUNCTION("GOOGLETRANSLATE(E4723,""fr"",""it"")"),"Ho incontrato gli astronomi, tranne i tutori.")</f>
        <v>Ho incontrato gli astronomi, tranne i tutori.</v>
      </c>
    </row>
    <row r="4724">
      <c r="A4724" s="4">
        <v>4722.0</v>
      </c>
      <c r="B4724" s="5" t="s">
        <v>14173</v>
      </c>
      <c r="C4724" s="4">
        <v>0.0</v>
      </c>
      <c r="D4724" s="5" t="s">
        <v>14174</v>
      </c>
      <c r="E4724" s="5" t="s">
        <v>14175</v>
      </c>
      <c r="F4724" s="6" t="str">
        <f>IFERROR(__xludf.DUMMYFUNCTION("GOOGLETRANSLATE(D4724,""en"",""it"")"),"Ho incontrato i custodi, tranne gli astronomi.")</f>
        <v>Ho incontrato i custodi, tranne gli astronomi.</v>
      </c>
      <c r="G4724" s="6" t="str">
        <f>IFERROR(__xludf.DUMMYFUNCTION("GOOGLETRANSLATE(E4724,""fr"",""it"")"),"Ho incontrato le guardie, tranne gli astronomi.")</f>
        <v>Ho incontrato le guardie, tranne gli astronomi.</v>
      </c>
    </row>
    <row r="4725">
      <c r="A4725" s="4">
        <v>4723.0</v>
      </c>
      <c r="B4725" s="5" t="s">
        <v>14176</v>
      </c>
      <c r="C4725" s="4">
        <v>0.0</v>
      </c>
      <c r="D4725" s="5" t="s">
        <v>14177</v>
      </c>
      <c r="E4725" s="5" t="s">
        <v>14178</v>
      </c>
      <c r="F4725" s="6" t="str">
        <f>IFERROR(__xludf.DUMMYFUNCTION("GOOGLETRANSLATE(D4725,""en"",""it"")"),"Ho incontrato gli astronomi, tranne i bidelli.")</f>
        <v>Ho incontrato gli astronomi, tranne i bidelli.</v>
      </c>
      <c r="G4725" s="6" t="str">
        <f>IFERROR(__xludf.DUMMYFUNCTION("GOOGLETRANSLATE(E4725,""fr"",""it"")"),"Ho incontrato gli astronomi tranne i conietti.")</f>
        <v>Ho incontrato gli astronomi tranne i conietti.</v>
      </c>
    </row>
    <row r="4726">
      <c r="A4726" s="4">
        <v>4724.0</v>
      </c>
      <c r="B4726" s="5" t="s">
        <v>14179</v>
      </c>
      <c r="C4726" s="4">
        <v>0.0</v>
      </c>
      <c r="D4726" s="5" t="s">
        <v>14180</v>
      </c>
      <c r="E4726" s="5" t="s">
        <v>14181</v>
      </c>
      <c r="F4726" s="6" t="str">
        <f>IFERROR(__xludf.DUMMYFUNCTION("GOOGLETRANSLATE(D4726,""en"",""it"")"),"Ho incontrato bidelli, tranne gli astronomi.")</f>
        <v>Ho incontrato bidelli, tranne gli astronomi.</v>
      </c>
      <c r="G4726" s="6" t="str">
        <f>IFERROR(__xludf.DUMMYFUNCTION("GOOGLETRANSLATE(E4726,""fr"",""it"")"),"Ho incontrato Concierges tranne gli astronomi.")</f>
        <v>Ho incontrato Concierges tranne gli astronomi.</v>
      </c>
    </row>
    <row r="4727">
      <c r="A4727" s="4">
        <v>4725.0</v>
      </c>
      <c r="B4727" s="5" t="s">
        <v>14182</v>
      </c>
      <c r="C4727" s="4">
        <v>0.0</v>
      </c>
      <c r="D4727" s="5" t="s">
        <v>14183</v>
      </c>
      <c r="E4727" s="5" t="s">
        <v>14184</v>
      </c>
      <c r="F4727" s="6" t="str">
        <f>IFERROR(__xludf.DUMMYFUNCTION("GOOGLETRANSLATE(D4727,""en"",""it"")"),"Ho incontrato i fisici, tranne gli impiegati.")</f>
        <v>Ho incontrato i fisici, tranne gli impiegati.</v>
      </c>
      <c r="G4727" s="6" t="str">
        <f>IFERROR(__xludf.DUMMYFUNCTION("GOOGLETRANSLATE(E4727,""fr"",""it"")"),"Ho incontrato i fisici tranne gli impiegati.")</f>
        <v>Ho incontrato i fisici tranne gli impiegati.</v>
      </c>
    </row>
    <row r="4728">
      <c r="A4728" s="4">
        <v>4726.0</v>
      </c>
      <c r="B4728" s="5" t="s">
        <v>14185</v>
      </c>
      <c r="C4728" s="4">
        <v>0.0</v>
      </c>
      <c r="D4728" s="5" t="s">
        <v>14186</v>
      </c>
      <c r="E4728" s="5" t="s">
        <v>14187</v>
      </c>
      <c r="F4728" s="6" t="str">
        <f>IFERROR(__xludf.DUMMYFUNCTION("GOOGLETRANSLATE(D4728,""en"",""it"")"),"Ho incontrato gli impiegati, tranne i fisici.")</f>
        <v>Ho incontrato gli impiegati, tranne i fisici.</v>
      </c>
      <c r="G4728" s="6" t="str">
        <f>IFERROR(__xludf.DUMMYFUNCTION("GOOGLETRANSLATE(E4728,""fr"",""it"")"),"Ho incontrato i commessi tranne i fisici.")</f>
        <v>Ho incontrato i commessi tranne i fisici.</v>
      </c>
    </row>
    <row r="4729">
      <c r="A4729" s="4">
        <v>4727.0</v>
      </c>
      <c r="B4729" s="5" t="s">
        <v>14188</v>
      </c>
      <c r="C4729" s="4">
        <v>0.0</v>
      </c>
      <c r="D4729" s="5" t="s">
        <v>14189</v>
      </c>
      <c r="E4729" s="5" t="s">
        <v>14190</v>
      </c>
      <c r="F4729" s="6" t="str">
        <f>IFERROR(__xludf.DUMMYFUNCTION("GOOGLETRANSLATE(D4729,""en"",""it"")"),"Ho incontrato fisici, tranne gli scienziati.")</f>
        <v>Ho incontrato fisici, tranne gli scienziati.</v>
      </c>
      <c r="G4729" s="6" t="str">
        <f>IFERROR(__xludf.DUMMYFUNCTION("GOOGLETRANSLATE(E4729,""fr"",""it"")"),"Ho incontrato i fisici tranne gli scienziati.")</f>
        <v>Ho incontrato i fisici tranne gli scienziati.</v>
      </c>
    </row>
    <row r="4730">
      <c r="A4730" s="4">
        <v>4728.0</v>
      </c>
      <c r="B4730" s="5" t="s">
        <v>14191</v>
      </c>
      <c r="C4730" s="4">
        <v>1.0</v>
      </c>
      <c r="D4730" s="5" t="s">
        <v>14192</v>
      </c>
      <c r="E4730" s="5" t="s">
        <v>14193</v>
      </c>
      <c r="F4730" s="6" t="str">
        <f>IFERROR(__xludf.DUMMYFUNCTION("GOOGLETRANSLATE(D4730,""en"",""it"")"),"Ho incontrato gli scienziati, tranne i fisici.")</f>
        <v>Ho incontrato gli scienziati, tranne i fisici.</v>
      </c>
      <c r="G4730" s="6" t="str">
        <f>IFERROR(__xludf.DUMMYFUNCTION("GOOGLETRANSLATE(E4730,""fr"",""it"")"),"Ho incontrato gli scienziati tranne i fisici.")</f>
        <v>Ho incontrato gli scienziati tranne i fisici.</v>
      </c>
    </row>
    <row r="4731">
      <c r="A4731" s="4">
        <v>4729.0</v>
      </c>
      <c r="B4731" s="5" t="s">
        <v>14194</v>
      </c>
      <c r="C4731" s="4">
        <v>0.0</v>
      </c>
      <c r="D4731" s="5" t="s">
        <v>14195</v>
      </c>
      <c r="E4731" s="5" t="s">
        <v>14196</v>
      </c>
      <c r="F4731" s="6" t="str">
        <f>IFERROR(__xludf.DUMMYFUNCTION("GOOGLETRANSLATE(D4731,""en"",""it"")"),"Ho incontrato i fisici, eccetto i camerieri.")</f>
        <v>Ho incontrato i fisici, eccetto i camerieri.</v>
      </c>
      <c r="G4731" s="6" t="str">
        <f>IFERROR(__xludf.DUMMYFUNCTION("GOOGLETRANSLATE(E4731,""fr"",""it"")"),"Ho incontrato i fisici tranne i camerieri.")</f>
        <v>Ho incontrato i fisici tranne i camerieri.</v>
      </c>
    </row>
    <row r="4732">
      <c r="A4732" s="4">
        <v>4730.0</v>
      </c>
      <c r="B4732" s="5" t="s">
        <v>14197</v>
      </c>
      <c r="C4732" s="4">
        <v>0.0</v>
      </c>
      <c r="D4732" s="5" t="s">
        <v>14198</v>
      </c>
      <c r="E4732" s="5" t="s">
        <v>14199</v>
      </c>
      <c r="F4732" s="6" t="str">
        <f>IFERROR(__xludf.DUMMYFUNCTION("GOOGLETRANSLATE(D4732,""en"",""it"")"),"Ho incontrato i camerieri, tranne i fisici.")</f>
        <v>Ho incontrato i camerieri, tranne i fisici.</v>
      </c>
      <c r="G4732" s="6" t="str">
        <f>IFERROR(__xludf.DUMMYFUNCTION("GOOGLETRANSLATE(E4732,""fr"",""it"")"),"Ho incontrato i server tranne i fisici.")</f>
        <v>Ho incontrato i server tranne i fisici.</v>
      </c>
    </row>
    <row r="4733">
      <c r="A4733" s="4">
        <v>4731.0</v>
      </c>
      <c r="B4733" s="5" t="s">
        <v>14200</v>
      </c>
      <c r="C4733" s="4">
        <v>0.0</v>
      </c>
      <c r="D4733" s="5" t="s">
        <v>14201</v>
      </c>
      <c r="E4733" s="5" t="s">
        <v>14202</v>
      </c>
      <c r="F4733" s="6" t="str">
        <f>IFERROR(__xludf.DUMMYFUNCTION("GOOGLETRANSLATE(D4733,""en"",""it"")"),"Ho incontrato i fisici, tranne i custodi.")</f>
        <v>Ho incontrato i fisici, tranne i custodi.</v>
      </c>
      <c r="G4733" s="6" t="str">
        <f>IFERROR(__xludf.DUMMYFUNCTION("GOOGLETRANSLATE(E4733,""fr"",""it"")"),"Ho incontrato i fisici tranne le guardie.")</f>
        <v>Ho incontrato i fisici tranne le guardie.</v>
      </c>
    </row>
    <row r="4734">
      <c r="A4734" s="4">
        <v>4732.0</v>
      </c>
      <c r="B4734" s="5" t="s">
        <v>14203</v>
      </c>
      <c r="C4734" s="4">
        <v>0.0</v>
      </c>
      <c r="D4734" s="5" t="s">
        <v>14204</v>
      </c>
      <c r="E4734" s="5" t="s">
        <v>14205</v>
      </c>
      <c r="F4734" s="6" t="str">
        <f>IFERROR(__xludf.DUMMYFUNCTION("GOOGLETRANSLATE(D4734,""en"",""it"")"),"Ho incontrato custodi, tranne i fisici.")</f>
        <v>Ho incontrato custodi, tranne i fisici.</v>
      </c>
      <c r="G4734" s="6" t="str">
        <f>IFERROR(__xludf.DUMMYFUNCTION("GOOGLETRANSLATE(E4734,""fr"",""it"")"),"Ho incontrato le guardie, tranne i fisici.")</f>
        <v>Ho incontrato le guardie, tranne i fisici.</v>
      </c>
    </row>
    <row r="4735">
      <c r="A4735" s="4">
        <v>4733.0</v>
      </c>
      <c r="B4735" s="5" t="s">
        <v>14206</v>
      </c>
      <c r="C4735" s="4">
        <v>0.0</v>
      </c>
      <c r="D4735" s="5" t="s">
        <v>14207</v>
      </c>
      <c r="E4735" s="5" t="s">
        <v>14208</v>
      </c>
      <c r="F4735" s="6" t="str">
        <f>IFERROR(__xludf.DUMMYFUNCTION("GOOGLETRANSLATE(D4735,""en"",""it"")"),"Ho incontrato fisici, tranne i bidelli.")</f>
        <v>Ho incontrato fisici, tranne i bidelli.</v>
      </c>
      <c r="G4735" s="6" t="str">
        <f>IFERROR(__xludf.DUMMYFUNCTION("GOOGLETRANSLATE(E4735,""fr"",""it"")"),"Ho incontrato i fisici tranne i portieri.")</f>
        <v>Ho incontrato i fisici tranne i portieri.</v>
      </c>
    </row>
    <row r="4736">
      <c r="A4736" s="4">
        <v>4734.0</v>
      </c>
      <c r="B4736" s="5" t="s">
        <v>14209</v>
      </c>
      <c r="C4736" s="4">
        <v>0.0</v>
      </c>
      <c r="D4736" s="5" t="s">
        <v>14210</v>
      </c>
      <c r="E4736" s="5" t="s">
        <v>14211</v>
      </c>
      <c r="F4736" s="6" t="str">
        <f>IFERROR(__xludf.DUMMYFUNCTION("GOOGLETRANSLATE(D4736,""en"",""it"")"),"Ho incontrato bidelli, tranne i fisici.")</f>
        <v>Ho incontrato bidelli, tranne i fisici.</v>
      </c>
      <c r="G4736" s="6" t="str">
        <f>IFERROR(__xludf.DUMMYFUNCTION("GOOGLETRANSLATE(E4736,""fr"",""it"")"),"Ho incontrato Concierges tranne i fisici.")</f>
        <v>Ho incontrato Concierges tranne i fisici.</v>
      </c>
    </row>
    <row r="4737">
      <c r="A4737" s="4">
        <v>4735.0</v>
      </c>
      <c r="B4737" s="5" t="s">
        <v>14212</v>
      </c>
      <c r="C4737" s="4">
        <v>1.0</v>
      </c>
      <c r="D4737" s="5" t="s">
        <v>14213</v>
      </c>
      <c r="E4737" s="5" t="s">
        <v>14214</v>
      </c>
      <c r="F4737" s="6" t="str">
        <f>IFERROR(__xludf.DUMMYFUNCTION("GOOGLETRANSLATE(D4737,""en"",""it"")"),"Mi piacciono i cani, tranne i husky.")</f>
        <v>Mi piacciono i cani, tranne i husky.</v>
      </c>
      <c r="G4737" s="6" t="str">
        <f>IFERROR(__xludf.DUMMYFUNCTION("GOOGLETRANSLATE(E4737,""fr"",""it"")"),"Mi piacciono i cani, tranne i husky.")</f>
        <v>Mi piacciono i cani, tranne i husky.</v>
      </c>
    </row>
    <row r="4738">
      <c r="A4738" s="4">
        <v>4736.0</v>
      </c>
      <c r="B4738" s="5" t="s">
        <v>14215</v>
      </c>
      <c r="C4738" s="4">
        <v>0.0</v>
      </c>
      <c r="D4738" s="5" t="s">
        <v>14216</v>
      </c>
      <c r="E4738" s="5" t="s">
        <v>14217</v>
      </c>
      <c r="F4738" s="6" t="str">
        <f>IFERROR(__xludf.DUMMYFUNCTION("GOOGLETRANSLATE(D4738,""en"",""it"")"),"Mi piacciono i bobtail, tranne i pappagalli.")</f>
        <v>Mi piacciono i bobtail, tranne i pappagalli.</v>
      </c>
      <c r="G4738" s="6" t="str">
        <f>IFERROR(__xludf.DUMMYFUNCTION("GOOGLETRANSLATE(E4738,""fr"",""it"")"),"Mi piacciono i bobtail, tranne i perroutqui.")</f>
        <v>Mi piacciono i bobtail, tranne i perroutqui.</v>
      </c>
    </row>
    <row r="4739">
      <c r="A4739" s="4">
        <v>4737.0</v>
      </c>
      <c r="B4739" s="5" t="s">
        <v>14218</v>
      </c>
      <c r="C4739" s="4">
        <v>0.0</v>
      </c>
      <c r="D4739" s="5" t="s">
        <v>14219</v>
      </c>
      <c r="E4739" s="5" t="s">
        <v>14220</v>
      </c>
      <c r="F4739" s="6" t="str">
        <f>IFERROR(__xludf.DUMMYFUNCTION("GOOGLETRANSLATE(D4739,""en"",""it"")"),"Mi piacciono i pappagalli, tranne i bobtail.")</f>
        <v>Mi piacciono i pappagalli, tranne i bobtail.</v>
      </c>
      <c r="G4739" s="6" t="str">
        <f>IFERROR(__xludf.DUMMYFUNCTION("GOOGLETRANSLATE(E4739,""fr"",""it"")"),"Mi piacciono i perruboletti, tranne i bobtail.")</f>
        <v>Mi piacciono i perruboletti, tranne i bobtail.</v>
      </c>
    </row>
    <row r="4740">
      <c r="A4740" s="4">
        <v>4738.0</v>
      </c>
      <c r="B4740" s="5" t="s">
        <v>14221</v>
      </c>
      <c r="C4740" s="4">
        <v>0.0</v>
      </c>
      <c r="D4740" s="5" t="s">
        <v>14222</v>
      </c>
      <c r="E4740" s="5" t="s">
        <v>14223</v>
      </c>
      <c r="F4740" s="6" t="str">
        <f>IFERROR(__xludf.DUMMYFUNCTION("GOOGLETRANSLATE(D4740,""en"",""it"")"),"Mi piacciono i bobtail, tranne i conigli.")</f>
        <v>Mi piacciono i bobtail, tranne i conigli.</v>
      </c>
      <c r="G4740" s="6" t="str">
        <f>IFERROR(__xludf.DUMMYFUNCTION("GOOGLETRANSLATE(E4740,""fr"",""it"")"),"Mi piacciono i bobtail, tranne i conigli.")</f>
        <v>Mi piacciono i bobtail, tranne i conigli.</v>
      </c>
    </row>
    <row r="4741">
      <c r="A4741" s="4">
        <v>4739.0</v>
      </c>
      <c r="B4741" s="5" t="s">
        <v>14224</v>
      </c>
      <c r="C4741" s="4">
        <v>1.0</v>
      </c>
      <c r="D4741" s="5" t="s">
        <v>14225</v>
      </c>
      <c r="E4741" s="5" t="s">
        <v>14226</v>
      </c>
      <c r="F4741" s="6" t="str">
        <f>IFERROR(__xludf.DUMMYFUNCTION("GOOGLETRANSLATE(D4741,""en"",""it"")"),"Mi piacciono i husky, ma non i gatti.")</f>
        <v>Mi piacciono i husky, ma non i gatti.</v>
      </c>
      <c r="G4741" s="6" t="str">
        <f>IFERROR(__xludf.DUMMYFUNCTION("GOOGLETRANSLATE(E4741,""fr"",""it"")"),"Mi piacciono i husky, ma non i gatti.")</f>
        <v>Mi piacciono i husky, ma non i gatti.</v>
      </c>
    </row>
    <row r="4742">
      <c r="A4742" s="4">
        <v>4740.0</v>
      </c>
      <c r="B4742" s="5" t="s">
        <v>14227</v>
      </c>
      <c r="C4742" s="4">
        <v>1.0</v>
      </c>
      <c r="D4742" s="5" t="s">
        <v>14228</v>
      </c>
      <c r="E4742" s="5" t="s">
        <v>14229</v>
      </c>
      <c r="F4742" s="6" t="str">
        <f>IFERROR(__xludf.DUMMYFUNCTION("GOOGLETRANSLATE(D4742,""en"",""it"")"),"Mi piacciono i gatti, ma non gli husky.")</f>
        <v>Mi piacciono i gatti, ma non gli husky.</v>
      </c>
      <c r="G4742" s="6" t="str">
        <f>IFERROR(__xludf.DUMMYFUNCTION("GOOGLETRANSLATE(E4742,""fr"",""it"")"),"Mi piacciono i gatti, ma non gli husky.")</f>
        <v>Mi piacciono i gatti, ma non gli husky.</v>
      </c>
    </row>
    <row r="4743">
      <c r="A4743" s="4">
        <v>4741.0</v>
      </c>
      <c r="B4743" s="5" t="s">
        <v>14230</v>
      </c>
      <c r="C4743" s="4">
        <v>0.0</v>
      </c>
      <c r="D4743" s="5" t="s">
        <v>14231</v>
      </c>
      <c r="E4743" s="5" t="s">
        <v>14232</v>
      </c>
      <c r="F4743" s="6" t="str">
        <f>IFERROR(__xludf.DUMMYFUNCTION("GOOGLETRANSLATE(D4743,""en"",""it"")"),"Mi piacciono i husky, ma non i cani.")</f>
        <v>Mi piacciono i husky, ma non i cani.</v>
      </c>
      <c r="G4743" s="6" t="str">
        <f>IFERROR(__xludf.DUMMYFUNCTION("GOOGLETRANSLATE(E4743,""fr"",""it"")"),"Mi piacciono i husky, ma non i cani.")</f>
        <v>Mi piacciono i husky, ma non i cani.</v>
      </c>
    </row>
    <row r="4744">
      <c r="A4744" s="4">
        <v>4742.0</v>
      </c>
      <c r="B4744" s="5" t="s">
        <v>14233</v>
      </c>
      <c r="C4744" s="4">
        <v>1.0</v>
      </c>
      <c r="D4744" s="5" t="s">
        <v>14234</v>
      </c>
      <c r="E4744" s="5" t="s">
        <v>14235</v>
      </c>
      <c r="F4744" s="6" t="str">
        <f>IFERROR(__xludf.DUMMYFUNCTION("GOOGLETRANSLATE(D4744,""en"",""it"")"),"Mi piacciono i cani, ma non i husky.")</f>
        <v>Mi piacciono i cani, ma non i husky.</v>
      </c>
      <c r="G4744" s="6" t="str">
        <f>IFERROR(__xludf.DUMMYFUNCTION("GOOGLETRANSLATE(E4744,""fr"",""it"")"),"Amo i cani, ma non gli husky.")</f>
        <v>Amo i cani, ma non gli husky.</v>
      </c>
    </row>
    <row r="4745">
      <c r="A4745" s="4">
        <v>4743.0</v>
      </c>
      <c r="B4745" s="5" t="s">
        <v>14236</v>
      </c>
      <c r="C4745" s="4">
        <v>1.0</v>
      </c>
      <c r="D4745" s="5" t="s">
        <v>14237</v>
      </c>
      <c r="E4745" s="5" t="s">
        <v>14238</v>
      </c>
      <c r="F4745" s="6" t="str">
        <f>IFERROR(__xludf.DUMMYFUNCTION("GOOGLETRANSLATE(D4745,""en"",""it"")"),"Mi piacciono i cani, ma non i gatti.")</f>
        <v>Mi piacciono i cani, ma non i gatti.</v>
      </c>
      <c r="G4745" s="6" t="str">
        <f>IFERROR(__xludf.DUMMYFUNCTION("GOOGLETRANSLATE(E4745,""fr"",""it"")"),"Mi piacciono i cani, ma non i gatti.")</f>
        <v>Mi piacciono i cani, ma non i gatti.</v>
      </c>
    </row>
    <row r="4746">
      <c r="A4746" s="4">
        <v>4744.0</v>
      </c>
      <c r="B4746" s="5" t="s">
        <v>14239</v>
      </c>
      <c r="C4746" s="4">
        <v>1.0</v>
      </c>
      <c r="D4746" s="5" t="s">
        <v>14240</v>
      </c>
      <c r="E4746" s="5" t="s">
        <v>14241</v>
      </c>
      <c r="F4746" s="6" t="str">
        <f>IFERROR(__xludf.DUMMYFUNCTION("GOOGLETRANSLATE(D4746,""en"",""it"")"),"Mi piacciono i husky, ma non i criceti.")</f>
        <v>Mi piacciono i husky, ma non i criceti.</v>
      </c>
      <c r="G4746" s="6" t="str">
        <f>IFERROR(__xludf.DUMMYFUNCTION("GOOGLETRANSLATE(E4746,""fr"",""it"")"),"Mi piacciono i husky, ma non i criceti.")</f>
        <v>Mi piacciono i husky, ma non i criceti.</v>
      </c>
    </row>
    <row r="4747">
      <c r="A4747" s="4">
        <v>4745.0</v>
      </c>
      <c r="B4747" s="5" t="s">
        <v>14242</v>
      </c>
      <c r="C4747" s="4">
        <v>1.0</v>
      </c>
      <c r="D4747" s="5" t="s">
        <v>14243</v>
      </c>
      <c r="E4747" s="5" t="s">
        <v>14244</v>
      </c>
      <c r="F4747" s="6" t="str">
        <f>IFERROR(__xludf.DUMMYFUNCTION("GOOGLETRANSLATE(D4747,""en"",""it"")"),"Mi piacciono i criceti, ma non i husky.")</f>
        <v>Mi piacciono i criceti, ma non i husky.</v>
      </c>
      <c r="G4747" s="6" t="str">
        <f>IFERROR(__xludf.DUMMYFUNCTION("GOOGLETRANSLATE(E4747,""fr"",""it"")"),"Amo i criceti, ma non gli husky.")</f>
        <v>Amo i criceti, ma non gli husky.</v>
      </c>
    </row>
    <row r="4748">
      <c r="A4748" s="4">
        <v>4746.0</v>
      </c>
      <c r="B4748" s="5" t="s">
        <v>14245</v>
      </c>
      <c r="C4748" s="4">
        <v>1.0</v>
      </c>
      <c r="D4748" s="5" t="s">
        <v>14246</v>
      </c>
      <c r="E4748" s="5" t="s">
        <v>14247</v>
      </c>
      <c r="F4748" s="6" t="str">
        <f>IFERROR(__xludf.DUMMYFUNCTION("GOOGLETRANSLATE(D4748,""en"",""it"")"),"Mi piacciono i cani, ma non i criceti.")</f>
        <v>Mi piacciono i cani, ma non i criceti.</v>
      </c>
      <c r="G4748" s="6" t="str">
        <f>IFERROR(__xludf.DUMMYFUNCTION("GOOGLETRANSLATE(E4748,""fr"",""it"")"),"Mi piacciono i cani, ma non i criceti.")</f>
        <v>Mi piacciono i cani, ma non i criceti.</v>
      </c>
    </row>
    <row r="4749">
      <c r="A4749" s="4">
        <v>4747.0</v>
      </c>
      <c r="B4749" s="5" t="s">
        <v>14248</v>
      </c>
      <c r="C4749" s="4">
        <v>1.0</v>
      </c>
      <c r="D4749" s="5" t="s">
        <v>14249</v>
      </c>
      <c r="E4749" s="5" t="s">
        <v>14250</v>
      </c>
      <c r="F4749" s="6" t="str">
        <f>IFERROR(__xludf.DUMMYFUNCTION("GOOGLETRANSLATE(D4749,""en"",""it"")"),"Mi piacciono i husky, ma non i pappagalli.")</f>
        <v>Mi piacciono i husky, ma non i pappagalli.</v>
      </c>
      <c r="G4749" s="6" t="str">
        <f>IFERROR(__xludf.DUMMYFUNCTION("GOOGLETRANSLATE(E4749,""fr"",""it"")"),"Mi piacciono i husky, ma non i perrouches.")</f>
        <v>Mi piacciono i husky, ma non i perrouches.</v>
      </c>
    </row>
    <row r="4750">
      <c r="A4750" s="4">
        <v>4748.0</v>
      </c>
      <c r="B4750" s="5" t="s">
        <v>14251</v>
      </c>
      <c r="C4750" s="4">
        <v>1.0</v>
      </c>
      <c r="D4750" s="5" t="s">
        <v>14252</v>
      </c>
      <c r="E4750" s="5" t="s">
        <v>14253</v>
      </c>
      <c r="F4750" s="6" t="str">
        <f>IFERROR(__xludf.DUMMYFUNCTION("GOOGLETRANSLATE(D4750,""en"",""it"")"),"Mi piacciono i pappagalli, ma non gli husky.")</f>
        <v>Mi piacciono i pappagalli, ma non gli husky.</v>
      </c>
      <c r="G4750" s="6" t="str">
        <f>IFERROR(__xludf.DUMMYFUNCTION("GOOGLETRANSLATE(E4750,""fr"",""it"")"),"Amo i perrouches, ma non gli husky.")</f>
        <v>Amo i perrouches, ma non gli husky.</v>
      </c>
    </row>
    <row r="4751">
      <c r="A4751" s="4">
        <v>4749.0</v>
      </c>
      <c r="B4751" s="5" t="s">
        <v>14254</v>
      </c>
      <c r="C4751" s="4">
        <v>1.0</v>
      </c>
      <c r="D4751" s="5" t="s">
        <v>14255</v>
      </c>
      <c r="E4751" s="5" t="s">
        <v>14256</v>
      </c>
      <c r="F4751" s="6" t="str">
        <f>IFERROR(__xludf.DUMMYFUNCTION("GOOGLETRANSLATE(D4751,""en"",""it"")"),"Mi piacciono i cani, ma non i pappagalli.")</f>
        <v>Mi piacciono i cani, ma non i pappagalli.</v>
      </c>
      <c r="G4751" s="6" t="str">
        <f>IFERROR(__xludf.DUMMYFUNCTION("GOOGLETRANSLATE(E4751,""fr"",""it"")"),"Amo i cani, ma non i perirouches.")</f>
        <v>Amo i cani, ma non i perirouches.</v>
      </c>
    </row>
    <row r="4752">
      <c r="A4752" s="4">
        <v>4750.0</v>
      </c>
      <c r="B4752" s="5" t="s">
        <v>14257</v>
      </c>
      <c r="C4752" s="4">
        <v>1.0</v>
      </c>
      <c r="D4752" s="5" t="s">
        <v>14258</v>
      </c>
      <c r="E4752" s="5" t="s">
        <v>14259</v>
      </c>
      <c r="F4752" s="6" t="str">
        <f>IFERROR(__xludf.DUMMYFUNCTION("GOOGLETRANSLATE(D4752,""en"",""it"")"),"Mi piacciono i husky, ma non i conigli.")</f>
        <v>Mi piacciono i husky, ma non i conigli.</v>
      </c>
      <c r="G4752" s="6" t="str">
        <f>IFERROR(__xludf.DUMMYFUNCTION("GOOGLETRANSLATE(E4752,""fr"",""it"")"),"Mi piacciono i husky, ma non i conigli.")</f>
        <v>Mi piacciono i husky, ma non i conigli.</v>
      </c>
    </row>
    <row r="4753">
      <c r="A4753" s="4">
        <v>4751.0</v>
      </c>
      <c r="B4753" s="5" t="s">
        <v>14260</v>
      </c>
      <c r="C4753" s="4">
        <v>1.0</v>
      </c>
      <c r="D4753" s="5" t="s">
        <v>14261</v>
      </c>
      <c r="E4753" s="5" t="s">
        <v>14262</v>
      </c>
      <c r="F4753" s="6" t="str">
        <f>IFERROR(__xludf.DUMMYFUNCTION("GOOGLETRANSLATE(D4753,""en"",""it"")"),"Mi piacciono i conigli, ma non gli husky.")</f>
        <v>Mi piacciono i conigli, ma non gli husky.</v>
      </c>
      <c r="G4753" s="6" t="str">
        <f>IFERROR(__xludf.DUMMYFUNCTION("GOOGLETRANSLATE(E4753,""fr"",""it"")"),"Amo i conigli, ma non gli huskies.")</f>
        <v>Amo i conigli, ma non gli huskies.</v>
      </c>
    </row>
    <row r="4754">
      <c r="A4754" s="4">
        <v>4752.0</v>
      </c>
      <c r="B4754" s="5" t="s">
        <v>14263</v>
      </c>
      <c r="C4754" s="4">
        <v>1.0</v>
      </c>
      <c r="D4754" s="5" t="s">
        <v>14264</v>
      </c>
      <c r="E4754" s="5" t="s">
        <v>14265</v>
      </c>
      <c r="F4754" s="6" t="str">
        <f>IFERROR(__xludf.DUMMYFUNCTION("GOOGLETRANSLATE(D4754,""en"",""it"")"),"Mi piacciono i cani, ma non i conigli.")</f>
        <v>Mi piacciono i cani, ma non i conigli.</v>
      </c>
      <c r="G4754" s="6" t="str">
        <f>IFERROR(__xludf.DUMMYFUNCTION("GOOGLETRANSLATE(E4754,""fr"",""it"")"),"Amo i cani, ma non i conigli.")</f>
        <v>Amo i cani, ma non i conigli.</v>
      </c>
    </row>
    <row r="4755">
      <c r="A4755" s="4">
        <v>4753.0</v>
      </c>
      <c r="B4755" s="5" t="s">
        <v>14266</v>
      </c>
      <c r="C4755" s="4">
        <v>1.0</v>
      </c>
      <c r="D4755" s="5" t="s">
        <v>14267</v>
      </c>
      <c r="E4755" s="5" t="s">
        <v>14268</v>
      </c>
      <c r="F4755" s="6" t="str">
        <f>IFERROR(__xludf.DUMMYFUNCTION("GOOGLETRANSLATE(D4755,""en"",""it"")"),"Mi piacciono i bobtail, ma non i gatti.")</f>
        <v>Mi piacciono i bobtail, ma non i gatti.</v>
      </c>
      <c r="G4755" s="6" t="str">
        <f>IFERROR(__xludf.DUMMYFUNCTION("GOOGLETRANSLATE(E4755,""fr"",""it"")"),"Mi piacciono i bobtail, ma non i gatti.")</f>
        <v>Mi piacciono i bobtail, ma non i gatti.</v>
      </c>
    </row>
    <row r="4756">
      <c r="A4756" s="4">
        <v>4754.0</v>
      </c>
      <c r="B4756" s="5" t="s">
        <v>14269</v>
      </c>
      <c r="C4756" s="4">
        <v>1.0</v>
      </c>
      <c r="D4756" s="5" t="s">
        <v>14270</v>
      </c>
      <c r="E4756" s="5" t="s">
        <v>14271</v>
      </c>
      <c r="F4756" s="6" t="str">
        <f>IFERROR(__xludf.DUMMYFUNCTION("GOOGLETRANSLATE(D4756,""en"",""it"")"),"Mi piacciono i gatti, ma non i bobtail.")</f>
        <v>Mi piacciono i gatti, ma non i bobtail.</v>
      </c>
      <c r="G4756" s="6" t="str">
        <f>IFERROR(__xludf.DUMMYFUNCTION("GOOGLETRANSLATE(E4756,""fr"",""it"")"),"Mi piacciono i gatti, ma non i bobtail.")</f>
        <v>Mi piacciono i gatti, ma non i bobtail.</v>
      </c>
    </row>
    <row r="4757">
      <c r="A4757" s="4">
        <v>4755.0</v>
      </c>
      <c r="B4757" s="5" t="s">
        <v>14272</v>
      </c>
      <c r="C4757" s="4">
        <v>0.0</v>
      </c>
      <c r="D4757" s="5" t="s">
        <v>14273</v>
      </c>
      <c r="E4757" s="5" t="s">
        <v>14274</v>
      </c>
      <c r="F4757" s="6" t="str">
        <f>IFERROR(__xludf.DUMMYFUNCTION("GOOGLETRANSLATE(D4757,""en"",""it"")"),"Mi piacciono i bobtail, ma non i cani.")</f>
        <v>Mi piacciono i bobtail, ma non i cani.</v>
      </c>
      <c r="G4757" s="6" t="str">
        <f>IFERROR(__xludf.DUMMYFUNCTION("GOOGLETRANSLATE(E4757,""fr"",""it"")"),"Mi piacciono i bobtail, ma non i cani.")</f>
        <v>Mi piacciono i bobtail, ma non i cani.</v>
      </c>
    </row>
    <row r="4758">
      <c r="A4758" s="4">
        <v>4756.0</v>
      </c>
      <c r="B4758" s="5" t="s">
        <v>14275</v>
      </c>
      <c r="C4758" s="4">
        <v>1.0</v>
      </c>
      <c r="D4758" s="5" t="s">
        <v>14276</v>
      </c>
      <c r="E4758" s="5" t="s">
        <v>14277</v>
      </c>
      <c r="F4758" s="6" t="str">
        <f>IFERROR(__xludf.DUMMYFUNCTION("GOOGLETRANSLATE(D4758,""en"",""it"")"),"Mi piacciono i cani, ma non i bobtail.")</f>
        <v>Mi piacciono i cani, ma non i bobtail.</v>
      </c>
      <c r="G4758" s="6" t="str">
        <f>IFERROR(__xludf.DUMMYFUNCTION("GOOGLETRANSLATE(E4758,""fr"",""it"")"),"Mi piacciono i cani, ma non i bobtail.")</f>
        <v>Mi piacciono i cani, ma non i bobtail.</v>
      </c>
    </row>
    <row r="4759">
      <c r="A4759" s="4">
        <v>4757.0</v>
      </c>
      <c r="B4759" s="5" t="s">
        <v>14278</v>
      </c>
      <c r="C4759" s="4">
        <v>1.0</v>
      </c>
      <c r="D4759" s="5" t="s">
        <v>14279</v>
      </c>
      <c r="E4759" s="5" t="s">
        <v>14280</v>
      </c>
      <c r="F4759" s="6" t="str">
        <f>IFERROR(__xludf.DUMMYFUNCTION("GOOGLETRANSLATE(D4759,""en"",""it"")"),"Mi piacciono i bobtail, ma non i criceti.")</f>
        <v>Mi piacciono i bobtail, ma non i criceti.</v>
      </c>
      <c r="G4759" s="6" t="str">
        <f>IFERROR(__xludf.DUMMYFUNCTION("GOOGLETRANSLATE(E4759,""fr"",""it"")"),"Mi piacciono i bobtail, ma non i criceti.")</f>
        <v>Mi piacciono i bobtail, ma non i criceti.</v>
      </c>
    </row>
    <row r="4760">
      <c r="A4760" s="4">
        <v>4758.0</v>
      </c>
      <c r="B4760" s="5" t="s">
        <v>14281</v>
      </c>
      <c r="C4760" s="4">
        <v>1.0</v>
      </c>
      <c r="D4760" s="5" t="s">
        <v>14282</v>
      </c>
      <c r="E4760" s="5" t="s">
        <v>14283</v>
      </c>
      <c r="F4760" s="6" t="str">
        <f>IFERROR(__xludf.DUMMYFUNCTION("GOOGLETRANSLATE(D4760,""en"",""it"")"),"Mi piacciono i criceti, ma non i bobtail.")</f>
        <v>Mi piacciono i criceti, ma non i bobtail.</v>
      </c>
      <c r="G4760" s="6" t="str">
        <f>IFERROR(__xludf.DUMMYFUNCTION("GOOGLETRANSLATE(E4760,""fr"",""it"")"),"Mi piacciono i criceti, ma non i bobtail.")</f>
        <v>Mi piacciono i criceti, ma non i bobtail.</v>
      </c>
    </row>
    <row r="4761">
      <c r="A4761" s="4">
        <v>4759.0</v>
      </c>
      <c r="B4761" s="5" t="s">
        <v>14284</v>
      </c>
      <c r="C4761" s="4">
        <v>1.0</v>
      </c>
      <c r="D4761" s="5" t="s">
        <v>14285</v>
      </c>
      <c r="E4761" s="5" t="s">
        <v>14286</v>
      </c>
      <c r="F4761" s="6" t="str">
        <f>IFERROR(__xludf.DUMMYFUNCTION("GOOGLETRANSLATE(D4761,""en"",""it"")"),"Mi piacciono i bobtail, ma non i pappagalli.")</f>
        <v>Mi piacciono i bobtail, ma non i pappagalli.</v>
      </c>
      <c r="G4761" s="6" t="str">
        <f>IFERROR(__xludf.DUMMYFUNCTION("GOOGLETRANSLATE(E4761,""fr"",""it"")"),"Mi piacciono i bobtail, ma non i perirouches.")</f>
        <v>Mi piacciono i bobtail, ma non i perirouches.</v>
      </c>
    </row>
    <row r="4762">
      <c r="A4762" s="4">
        <v>4760.0</v>
      </c>
      <c r="B4762" s="5" t="s">
        <v>14287</v>
      </c>
      <c r="C4762" s="4">
        <v>1.0</v>
      </c>
      <c r="D4762" s="5" t="s">
        <v>14288</v>
      </c>
      <c r="E4762" s="5" t="s">
        <v>14289</v>
      </c>
      <c r="F4762" s="6" t="str">
        <f>IFERROR(__xludf.DUMMYFUNCTION("GOOGLETRANSLATE(D4762,""en"",""it"")"),"Mi piacciono i pappagalli, ma non i bobtail.")</f>
        <v>Mi piacciono i pappagalli, ma non i bobtail.</v>
      </c>
      <c r="G4762" s="6" t="str">
        <f>IFERROR(__xludf.DUMMYFUNCTION("GOOGLETRANSLATE(E4762,""fr"",""it"")"),"Mi piacciono i perruboletti, ma non i bobtail.")</f>
        <v>Mi piacciono i perruboletti, ma non i bobtail.</v>
      </c>
    </row>
    <row r="4763">
      <c r="A4763" s="4">
        <v>4761.0</v>
      </c>
      <c r="B4763" s="5" t="s">
        <v>14290</v>
      </c>
      <c r="C4763" s="4">
        <v>1.0</v>
      </c>
      <c r="D4763" s="5" t="s">
        <v>14291</v>
      </c>
      <c r="E4763" s="5" t="s">
        <v>14292</v>
      </c>
      <c r="F4763" s="6" t="str">
        <f>IFERROR(__xludf.DUMMYFUNCTION("GOOGLETRANSLATE(D4763,""en"",""it"")"),"Mi piacciono i bobtail, ma non i conigli.")</f>
        <v>Mi piacciono i bobtail, ma non i conigli.</v>
      </c>
      <c r="G4763" s="6" t="str">
        <f>IFERROR(__xludf.DUMMYFUNCTION("GOOGLETRANSLATE(E4763,""fr"",""it"")"),"Mi piacciono i bobtail, ma non i conigli.")</f>
        <v>Mi piacciono i bobtail, ma non i conigli.</v>
      </c>
    </row>
    <row r="4764">
      <c r="A4764" s="4">
        <v>4762.0</v>
      </c>
      <c r="B4764" s="5" t="s">
        <v>14293</v>
      </c>
      <c r="C4764" s="4">
        <v>1.0</v>
      </c>
      <c r="D4764" s="5" t="s">
        <v>14294</v>
      </c>
      <c r="E4764" s="5" t="s">
        <v>14295</v>
      </c>
      <c r="F4764" s="6" t="str">
        <f>IFERROR(__xludf.DUMMYFUNCTION("GOOGLETRANSLATE(D4764,""en"",""it"")"),"Mi piacciono i conigli, ma non i bobtail.")</f>
        <v>Mi piacciono i conigli, ma non i bobtail.</v>
      </c>
      <c r="G4764" s="6" t="str">
        <f>IFERROR(__xludf.DUMMYFUNCTION("GOOGLETRANSLATE(E4764,""fr"",""it"")"),"Amo i conigli, ma non i bobtail.")</f>
        <v>Amo i conigli, ma non i bobtail.</v>
      </c>
    </row>
    <row r="4765">
      <c r="A4765" s="4">
        <v>4763.0</v>
      </c>
      <c r="B4765" s="5" t="s">
        <v>14296</v>
      </c>
      <c r="C4765" s="4">
        <v>0.0</v>
      </c>
      <c r="D4765" s="5" t="s">
        <v>14297</v>
      </c>
      <c r="E4765" s="5" t="s">
        <v>14298</v>
      </c>
      <c r="F4765" s="6" t="str">
        <f>IFERROR(__xludf.DUMMYFUNCTION("GOOGLETRANSLATE(D4765,""en"",""it"")"),"Mi piacciono i conigli, tranne i bobtail.")</f>
        <v>Mi piacciono i conigli, tranne i bobtail.</v>
      </c>
      <c r="G4765" s="6" t="str">
        <f>IFERROR(__xludf.DUMMYFUNCTION("GOOGLETRANSLATE(E4765,""fr"",""it"")"),"Mi piacciono i conigli, tranne i bobtail.")</f>
        <v>Mi piacciono i conigli, tranne i bobtail.</v>
      </c>
    </row>
    <row r="4766">
      <c r="A4766" s="4">
        <v>4764.0</v>
      </c>
      <c r="B4766" s="5" t="s">
        <v>14299</v>
      </c>
      <c r="C4766" s="4">
        <v>1.0</v>
      </c>
      <c r="D4766" s="5" t="s">
        <v>14300</v>
      </c>
      <c r="E4766" s="5" t="s">
        <v>14301</v>
      </c>
      <c r="F4766" s="6" t="str">
        <f>IFERROR(__xludf.DUMMYFUNCTION("GOOGLETRANSLATE(D4766,""en"",""it"")"),"Mi piacciono i bulldog, ma non i gatti.")</f>
        <v>Mi piacciono i bulldog, ma non i gatti.</v>
      </c>
      <c r="G4766" s="6" t="str">
        <f>IFERROR(__xludf.DUMMYFUNCTION("GOOGLETRANSLATE(E4766,""fr"",""it"")"),"Amo i Bulldog, ma non i gatti.")</f>
        <v>Amo i Bulldog, ma non i gatti.</v>
      </c>
    </row>
    <row r="4767">
      <c r="A4767" s="4">
        <v>4765.0</v>
      </c>
      <c r="B4767" s="5" t="s">
        <v>14302</v>
      </c>
      <c r="C4767" s="4">
        <v>1.0</v>
      </c>
      <c r="D4767" s="5" t="s">
        <v>14303</v>
      </c>
      <c r="E4767" s="5" t="s">
        <v>14304</v>
      </c>
      <c r="F4767" s="6" t="str">
        <f>IFERROR(__xludf.DUMMYFUNCTION("GOOGLETRANSLATE(D4767,""en"",""it"")"),"Mi piacciono i gatti, ma non i bulldog.")</f>
        <v>Mi piacciono i gatti, ma non i bulldog.</v>
      </c>
      <c r="G4767" s="6" t="str">
        <f>IFERROR(__xludf.DUMMYFUNCTION("GOOGLETRANSLATE(E4767,""fr"",""it"")"),"Mi piacciono i gatti, ma non i bulldog.")</f>
        <v>Mi piacciono i gatti, ma non i bulldog.</v>
      </c>
    </row>
    <row r="4768">
      <c r="A4768" s="4">
        <v>4766.0</v>
      </c>
      <c r="B4768" s="5" t="s">
        <v>14305</v>
      </c>
      <c r="C4768" s="4">
        <v>0.0</v>
      </c>
      <c r="D4768" s="5" t="s">
        <v>14306</v>
      </c>
      <c r="E4768" s="5" t="s">
        <v>14307</v>
      </c>
      <c r="F4768" s="6" t="str">
        <f>IFERROR(__xludf.DUMMYFUNCTION("GOOGLETRANSLATE(D4768,""en"",""it"")"),"Mi piacciono i bulldog, ma non i cani.")</f>
        <v>Mi piacciono i bulldog, ma non i cani.</v>
      </c>
      <c r="G4768" s="6" t="str">
        <f>IFERROR(__xludf.DUMMYFUNCTION("GOOGLETRANSLATE(E4768,""fr"",""it"")"),"Amo i Bulldog, ma non i cani.")</f>
        <v>Amo i Bulldog, ma non i cani.</v>
      </c>
    </row>
    <row r="4769">
      <c r="A4769" s="4">
        <v>4767.0</v>
      </c>
      <c r="B4769" s="5" t="s">
        <v>14308</v>
      </c>
      <c r="C4769" s="4">
        <v>1.0</v>
      </c>
      <c r="D4769" s="5" t="s">
        <v>14309</v>
      </c>
      <c r="E4769" s="5" t="s">
        <v>14310</v>
      </c>
      <c r="F4769" s="6" t="str">
        <f>IFERROR(__xludf.DUMMYFUNCTION("GOOGLETRANSLATE(D4769,""en"",""it"")"),"Mi piacciono i cani, ma non i bulldog.")</f>
        <v>Mi piacciono i cani, ma non i bulldog.</v>
      </c>
      <c r="G4769" s="6" t="str">
        <f>IFERROR(__xludf.DUMMYFUNCTION("GOOGLETRANSLATE(E4769,""fr"",""it"")"),"Mi piacciono i cani, ma non i bulldog.")</f>
        <v>Mi piacciono i cani, ma non i bulldog.</v>
      </c>
    </row>
    <row r="4770">
      <c r="A4770" s="4">
        <v>4768.0</v>
      </c>
      <c r="B4770" s="5" t="s">
        <v>14311</v>
      </c>
      <c r="C4770" s="4">
        <v>1.0</v>
      </c>
      <c r="D4770" s="5" t="s">
        <v>14312</v>
      </c>
      <c r="E4770" s="5" t="s">
        <v>14313</v>
      </c>
      <c r="F4770" s="6" t="str">
        <f>IFERROR(__xludf.DUMMYFUNCTION("GOOGLETRANSLATE(D4770,""en"",""it"")"),"Mi piacciono i bulldog, ma non i criceti.")</f>
        <v>Mi piacciono i bulldog, ma non i criceti.</v>
      </c>
      <c r="G4770" s="6" t="str">
        <f>IFERROR(__xludf.DUMMYFUNCTION("GOOGLETRANSLATE(E4770,""fr"",""it"")"),"Amo i Bulldog, ma non i criceti.")</f>
        <v>Amo i Bulldog, ma non i criceti.</v>
      </c>
    </row>
    <row r="4771">
      <c r="A4771" s="4">
        <v>4769.0</v>
      </c>
      <c r="B4771" s="5" t="s">
        <v>14314</v>
      </c>
      <c r="C4771" s="4">
        <v>1.0</v>
      </c>
      <c r="D4771" s="5" t="s">
        <v>14315</v>
      </c>
      <c r="E4771" s="5" t="s">
        <v>14316</v>
      </c>
      <c r="F4771" s="6" t="str">
        <f>IFERROR(__xludf.DUMMYFUNCTION("GOOGLETRANSLATE(D4771,""en"",""it"")"),"Mi piacciono i criceti, ma non i bulldog.")</f>
        <v>Mi piacciono i criceti, ma non i bulldog.</v>
      </c>
      <c r="G4771" s="6" t="str">
        <f>IFERROR(__xludf.DUMMYFUNCTION("GOOGLETRANSLATE(E4771,""fr"",""it"")"),"Mi piacciono i criceti, ma non i bulldog.")</f>
        <v>Mi piacciono i criceti, ma non i bulldog.</v>
      </c>
    </row>
    <row r="4772">
      <c r="A4772" s="4">
        <v>4770.0</v>
      </c>
      <c r="B4772" s="5" t="s">
        <v>14317</v>
      </c>
      <c r="C4772" s="4">
        <v>1.0</v>
      </c>
      <c r="D4772" s="5" t="s">
        <v>14318</v>
      </c>
      <c r="E4772" s="5" t="s">
        <v>14319</v>
      </c>
      <c r="F4772" s="6" t="str">
        <f>IFERROR(__xludf.DUMMYFUNCTION("GOOGLETRANSLATE(D4772,""en"",""it"")"),"Mi piacciono i bulldog, ma non i pappagalli.")</f>
        <v>Mi piacciono i bulldog, ma non i pappagalli.</v>
      </c>
      <c r="G4772" s="6" t="str">
        <f>IFERROR(__xludf.DUMMYFUNCTION("GOOGLETRANSLATE(E4772,""fr"",""it"")"),"Mi piacciono i Bulldog, ma non i perrouches.")</f>
        <v>Mi piacciono i Bulldog, ma non i perrouches.</v>
      </c>
    </row>
    <row r="4773">
      <c r="A4773" s="4">
        <v>4771.0</v>
      </c>
      <c r="B4773" s="5" t="s">
        <v>14320</v>
      </c>
      <c r="C4773" s="4">
        <v>1.0</v>
      </c>
      <c r="D4773" s="5" t="s">
        <v>14321</v>
      </c>
      <c r="E4773" s="5" t="s">
        <v>14322</v>
      </c>
      <c r="F4773" s="6" t="str">
        <f>IFERROR(__xludf.DUMMYFUNCTION("GOOGLETRANSLATE(D4773,""en"",""it"")"),"Mi piacciono i pappagalli, ma non i bulldogs.")</f>
        <v>Mi piacciono i pappagalli, ma non i bulldogs.</v>
      </c>
      <c r="G4773" s="6" t="str">
        <f>IFERROR(__xludf.DUMMYFUNCTION("GOOGLETRANSLATE(E4773,""fr"",""it"")"),"Mi piacciono i perrouches, ma non i bulldog.")</f>
        <v>Mi piacciono i perrouches, ma non i bulldog.</v>
      </c>
    </row>
    <row r="4774">
      <c r="A4774" s="4">
        <v>4772.0</v>
      </c>
      <c r="B4774" s="5" t="s">
        <v>14323</v>
      </c>
      <c r="C4774" s="4">
        <v>1.0</v>
      </c>
      <c r="D4774" s="5" t="s">
        <v>14324</v>
      </c>
      <c r="E4774" s="5" t="s">
        <v>14325</v>
      </c>
      <c r="F4774" s="6" t="str">
        <f>IFERROR(__xludf.DUMMYFUNCTION("GOOGLETRANSLATE(D4774,""en"",""it"")"),"Mi piacciono i bulldog, ma non i conigli.")</f>
        <v>Mi piacciono i bulldog, ma non i conigli.</v>
      </c>
      <c r="G4774" s="6" t="str">
        <f>IFERROR(__xludf.DUMMYFUNCTION("GOOGLETRANSLATE(E4774,""fr"",""it"")"),"Amo i Bulldog, ma non i conigli.")</f>
        <v>Amo i Bulldog, ma non i conigli.</v>
      </c>
    </row>
    <row r="4775">
      <c r="A4775" s="4">
        <v>4773.0</v>
      </c>
      <c r="B4775" s="5" t="s">
        <v>14326</v>
      </c>
      <c r="C4775" s="4">
        <v>1.0</v>
      </c>
      <c r="D4775" s="5" t="s">
        <v>14327</v>
      </c>
      <c r="E4775" s="5" t="s">
        <v>14328</v>
      </c>
      <c r="F4775" s="6" t="str">
        <f>IFERROR(__xludf.DUMMYFUNCTION("GOOGLETRANSLATE(D4775,""en"",""it"")"),"Mi piacciono i conigli, ma non i bulldogs.")</f>
        <v>Mi piacciono i conigli, ma non i bulldogs.</v>
      </c>
      <c r="G4775" s="6" t="str">
        <f>IFERROR(__xludf.DUMMYFUNCTION("GOOGLETRANSLATE(E4775,""fr"",""it"")"),"Amo i conigli, ma non i bulldogs.")</f>
        <v>Amo i conigli, ma non i bulldogs.</v>
      </c>
    </row>
    <row r="4776">
      <c r="A4776" s="4">
        <v>4774.0</v>
      </c>
      <c r="B4776" s="5" t="s">
        <v>14329</v>
      </c>
      <c r="C4776" s="4">
        <v>1.0</v>
      </c>
      <c r="D4776" s="5" t="s">
        <v>14330</v>
      </c>
      <c r="E4776" s="5" t="s">
        <v>14331</v>
      </c>
      <c r="F4776" s="6" t="str">
        <f>IFERROR(__xludf.DUMMYFUNCTION("GOOGLETRANSLATE(D4776,""en"",""it"")"),"Mi piacciono i Beagles, ma non i gatti.")</f>
        <v>Mi piacciono i Beagles, ma non i gatti.</v>
      </c>
      <c r="G4776" s="6" t="str">
        <f>IFERROR(__xludf.DUMMYFUNCTION("GOOGLETRANSLATE(E4776,""fr"",""it"")"),"Mi piacciono i Beagles, ma non i gatti.")</f>
        <v>Mi piacciono i Beagles, ma non i gatti.</v>
      </c>
    </row>
    <row r="4777">
      <c r="A4777" s="4">
        <v>4775.0</v>
      </c>
      <c r="B4777" s="5" t="s">
        <v>14332</v>
      </c>
      <c r="C4777" s="4">
        <v>1.0</v>
      </c>
      <c r="D4777" s="5" t="s">
        <v>14333</v>
      </c>
      <c r="E4777" s="5" t="s">
        <v>14334</v>
      </c>
      <c r="F4777" s="6" t="str">
        <f>IFERROR(__xludf.DUMMYFUNCTION("GOOGLETRANSLATE(D4777,""en"",""it"")"),"Mi piacciono i gatti, ma non i Beagles.")</f>
        <v>Mi piacciono i gatti, ma non i Beagles.</v>
      </c>
      <c r="G4777" s="6" t="str">
        <f>IFERROR(__xludf.DUMMYFUNCTION("GOOGLETRANSLATE(E4777,""fr"",""it"")"),"Mi piacciono i gatti, ma non i Beagles.")</f>
        <v>Mi piacciono i gatti, ma non i Beagles.</v>
      </c>
    </row>
    <row r="4778">
      <c r="A4778" s="4">
        <v>4776.0</v>
      </c>
      <c r="B4778" s="5" t="s">
        <v>14335</v>
      </c>
      <c r="C4778" s="4">
        <v>0.0</v>
      </c>
      <c r="D4778" s="5" t="s">
        <v>14336</v>
      </c>
      <c r="E4778" s="5" t="s">
        <v>14337</v>
      </c>
      <c r="F4778" s="6" t="str">
        <f>IFERROR(__xludf.DUMMYFUNCTION("GOOGLETRANSLATE(D4778,""en"",""it"")"),"Mi piacciono i Beagles, ma non i cani.")</f>
        <v>Mi piacciono i Beagles, ma non i cani.</v>
      </c>
      <c r="G4778" s="6" t="str">
        <f>IFERROR(__xludf.DUMMYFUNCTION("GOOGLETRANSLATE(E4778,""fr"",""it"")"),"Mi piacciono i Beagles, ma non i cani.")</f>
        <v>Mi piacciono i Beagles, ma non i cani.</v>
      </c>
    </row>
    <row r="4779">
      <c r="A4779" s="4">
        <v>4777.0</v>
      </c>
      <c r="B4779" s="5" t="s">
        <v>14338</v>
      </c>
      <c r="C4779" s="4">
        <v>1.0</v>
      </c>
      <c r="D4779" s="5" t="s">
        <v>14339</v>
      </c>
      <c r="E4779" s="5" t="s">
        <v>14340</v>
      </c>
      <c r="F4779" s="6" t="str">
        <f>IFERROR(__xludf.DUMMYFUNCTION("GOOGLETRANSLATE(D4779,""en"",""it"")"),"Mi piacciono i cani, ma non Beagles.")</f>
        <v>Mi piacciono i cani, ma non Beagles.</v>
      </c>
      <c r="G4779" s="6" t="str">
        <f>IFERROR(__xludf.DUMMYFUNCTION("GOOGLETRANSLATE(E4779,""fr"",""it"")"),"Mi piacciono i cani, ma non i Beagles.")</f>
        <v>Mi piacciono i cani, ma non i Beagles.</v>
      </c>
    </row>
    <row r="4780">
      <c r="A4780" s="4">
        <v>4778.0</v>
      </c>
      <c r="B4780" s="5" t="s">
        <v>14341</v>
      </c>
      <c r="C4780" s="4">
        <v>1.0</v>
      </c>
      <c r="D4780" s="5" t="s">
        <v>14342</v>
      </c>
      <c r="E4780" s="5" t="s">
        <v>14343</v>
      </c>
      <c r="F4780" s="6" t="str">
        <f>IFERROR(__xludf.DUMMYFUNCTION("GOOGLETRANSLATE(D4780,""en"",""it"")"),"Mi piacciono i Beagles, ma non i criceti.")</f>
        <v>Mi piacciono i Beagles, ma non i criceti.</v>
      </c>
      <c r="G4780" s="6" t="str">
        <f>IFERROR(__xludf.DUMMYFUNCTION("GOOGLETRANSLATE(E4780,""fr"",""it"")"),"Amo Beagles, ma non criceti.")</f>
        <v>Amo Beagles, ma non criceti.</v>
      </c>
    </row>
    <row r="4781">
      <c r="A4781" s="4">
        <v>4779.0</v>
      </c>
      <c r="B4781" s="5" t="s">
        <v>14344</v>
      </c>
      <c r="C4781" s="4">
        <v>1.0</v>
      </c>
      <c r="D4781" s="5" t="s">
        <v>14345</v>
      </c>
      <c r="E4781" s="5" t="s">
        <v>14346</v>
      </c>
      <c r="F4781" s="6" t="str">
        <f>IFERROR(__xludf.DUMMYFUNCTION("GOOGLETRANSLATE(D4781,""en"",""it"")"),"Mi piacciono i criceti, ma non Beagles.")</f>
        <v>Mi piacciono i criceti, ma non Beagles.</v>
      </c>
      <c r="G4781" s="6" t="str">
        <f>IFERROR(__xludf.DUMMYFUNCTION("GOOGLETRANSLATE(E4781,""fr"",""it"")"),"Mi piacciono i criceti, ma non i Beagles.")</f>
        <v>Mi piacciono i criceti, ma non i Beagles.</v>
      </c>
    </row>
    <row r="4782">
      <c r="A4782" s="4">
        <v>4780.0</v>
      </c>
      <c r="B4782" s="5" t="s">
        <v>14347</v>
      </c>
      <c r="C4782" s="4">
        <v>1.0</v>
      </c>
      <c r="D4782" s="5" t="s">
        <v>14348</v>
      </c>
      <c r="E4782" s="5" t="s">
        <v>14349</v>
      </c>
      <c r="F4782" s="6" t="str">
        <f>IFERROR(__xludf.DUMMYFUNCTION("GOOGLETRANSLATE(D4782,""en"",""it"")"),"Mi piacciono i Beagles, ma non i pappagalli.")</f>
        <v>Mi piacciono i Beagles, ma non i pappagalli.</v>
      </c>
      <c r="G4782" s="6" t="str">
        <f>IFERROR(__xludf.DUMMYFUNCTION("GOOGLETRANSLATE(E4782,""fr"",""it"")"),"Mi piacciono i Beagles, ma non i perrouches.")</f>
        <v>Mi piacciono i Beagles, ma non i perrouches.</v>
      </c>
    </row>
    <row r="4783">
      <c r="A4783" s="4">
        <v>4781.0</v>
      </c>
      <c r="B4783" s="5" t="s">
        <v>14350</v>
      </c>
      <c r="C4783" s="4">
        <v>1.0</v>
      </c>
      <c r="D4783" s="5" t="s">
        <v>14351</v>
      </c>
      <c r="E4783" s="5" t="s">
        <v>14352</v>
      </c>
      <c r="F4783" s="6" t="str">
        <f>IFERROR(__xludf.DUMMYFUNCTION("GOOGLETRANSLATE(D4783,""en"",""it"")"),"Mi piacciono i pappagalli, ma non Beagles.")</f>
        <v>Mi piacciono i pappagalli, ma non Beagles.</v>
      </c>
      <c r="G4783" s="6" t="str">
        <f>IFERROR(__xludf.DUMMYFUNCTION("GOOGLETRANSLATE(E4783,""fr"",""it"")"),"Mi piacciono i perrouches, ma non i Beagles.")</f>
        <v>Mi piacciono i perrouches, ma non i Beagles.</v>
      </c>
    </row>
    <row r="4784">
      <c r="A4784" s="4">
        <v>4782.0</v>
      </c>
      <c r="B4784" s="5" t="s">
        <v>14353</v>
      </c>
      <c r="C4784" s="4">
        <v>1.0</v>
      </c>
      <c r="D4784" s="5" t="s">
        <v>14354</v>
      </c>
      <c r="E4784" s="5" t="s">
        <v>14355</v>
      </c>
      <c r="F4784" s="6" t="str">
        <f>IFERROR(__xludf.DUMMYFUNCTION("GOOGLETRANSLATE(D4784,""en"",""it"")"),"Mi piacciono i Beagles, ma non i conigli.")</f>
        <v>Mi piacciono i Beagles, ma non i conigli.</v>
      </c>
      <c r="G4784" s="6" t="str">
        <f>IFERROR(__xludf.DUMMYFUNCTION("GOOGLETRANSLATE(E4784,""fr"",""it"")"),"Mi piacciono i Beagles, ma non i conigli.")</f>
        <v>Mi piacciono i Beagles, ma non i conigli.</v>
      </c>
    </row>
    <row r="4785">
      <c r="A4785" s="4">
        <v>4783.0</v>
      </c>
      <c r="B4785" s="5" t="s">
        <v>14356</v>
      </c>
      <c r="C4785" s="4">
        <v>1.0</v>
      </c>
      <c r="D4785" s="5" t="s">
        <v>14357</v>
      </c>
      <c r="E4785" s="5" t="s">
        <v>14358</v>
      </c>
      <c r="F4785" s="6" t="str">
        <f>IFERROR(__xludf.DUMMYFUNCTION("GOOGLETRANSLATE(D4785,""en"",""it"")"),"Mi piacciono i conigli, ma non Beagles.")</f>
        <v>Mi piacciono i conigli, ma non Beagles.</v>
      </c>
      <c r="G4785" s="6" t="str">
        <f>IFERROR(__xludf.DUMMYFUNCTION("GOOGLETRANSLATE(E4785,""fr"",""it"")"),"Amo i conigli, ma non i Beagles.")</f>
        <v>Amo i conigli, ma non i Beagles.</v>
      </c>
    </row>
    <row r="4786">
      <c r="A4786" s="4">
        <v>4784.0</v>
      </c>
      <c r="B4786" s="5" t="s">
        <v>14359</v>
      </c>
      <c r="C4786" s="4">
        <v>1.0</v>
      </c>
      <c r="D4786" s="5" t="s">
        <v>14360</v>
      </c>
      <c r="E4786" s="5" t="s">
        <v>14361</v>
      </c>
      <c r="F4786" s="6" t="str">
        <f>IFERROR(__xludf.DUMMYFUNCTION("GOOGLETRANSLATE(D4786,""en"",""it"")"),"Mi piacciono i pappagalli, ma non i gatti.")</f>
        <v>Mi piacciono i pappagalli, ma non i gatti.</v>
      </c>
      <c r="G4786" s="6" t="str">
        <f>IFERROR(__xludf.DUMMYFUNCTION("GOOGLETRANSLATE(E4786,""fr"",""it"")"),"Mi piacciono i perrouches, ma non i gatti.")</f>
        <v>Mi piacciono i perrouches, ma non i gatti.</v>
      </c>
    </row>
    <row r="4787">
      <c r="A4787" s="4">
        <v>4785.0</v>
      </c>
      <c r="B4787" s="5" t="s">
        <v>14362</v>
      </c>
      <c r="C4787" s="4">
        <v>1.0</v>
      </c>
      <c r="D4787" s="5" t="s">
        <v>14363</v>
      </c>
      <c r="E4787" s="5" t="s">
        <v>14364</v>
      </c>
      <c r="F4787" s="6" t="str">
        <f>IFERROR(__xludf.DUMMYFUNCTION("GOOGLETRANSLATE(D4787,""en"",""it"")"),"Mi piacciono i gatti, ma non i pappagalli.")</f>
        <v>Mi piacciono i gatti, ma non i pappagalli.</v>
      </c>
      <c r="G4787" s="6" t="str">
        <f>IFERROR(__xludf.DUMMYFUNCTION("GOOGLETRANSLATE(E4787,""fr"",""it"")"),"Mi piacciono i gatti, ma non i perirouches.")</f>
        <v>Mi piacciono i gatti, ma non i perirouches.</v>
      </c>
    </row>
    <row r="4788">
      <c r="A4788" s="4">
        <v>4786.0</v>
      </c>
      <c r="B4788" s="5" t="s">
        <v>14365</v>
      </c>
      <c r="C4788" s="4">
        <v>0.0</v>
      </c>
      <c r="D4788" s="5" t="s">
        <v>14366</v>
      </c>
      <c r="E4788" s="5" t="s">
        <v>14367</v>
      </c>
      <c r="F4788" s="6" t="str">
        <f>IFERROR(__xludf.DUMMYFUNCTION("GOOGLETRANSLATE(D4788,""en"",""it"")"),"Mi piacciono i pappagalli, ma non gli uccelli.")</f>
        <v>Mi piacciono i pappagalli, ma non gli uccelli.</v>
      </c>
      <c r="G4788" s="6" t="str">
        <f>IFERROR(__xludf.DUMMYFUNCTION("GOOGLETRANSLATE(E4788,""fr"",""it"")"),"Amo i perrouches, ma non gli uccelli.")</f>
        <v>Amo i perrouches, ma non gli uccelli.</v>
      </c>
    </row>
    <row r="4789">
      <c r="A4789" s="4">
        <v>4787.0</v>
      </c>
      <c r="B4789" s="5" t="s">
        <v>14368</v>
      </c>
      <c r="C4789" s="4">
        <v>1.0</v>
      </c>
      <c r="D4789" s="5" t="s">
        <v>14369</v>
      </c>
      <c r="E4789" s="5" t="s">
        <v>14370</v>
      </c>
      <c r="F4789" s="6" t="str">
        <f>IFERROR(__xludf.DUMMYFUNCTION("GOOGLETRANSLATE(D4789,""en"",""it"")"),"Mi piacciono gli uccelli, ma non i pappagalli.")</f>
        <v>Mi piacciono gli uccelli, ma non i pappagalli.</v>
      </c>
      <c r="G4789" s="6" t="str">
        <f>IFERROR(__xludf.DUMMYFUNCTION("GOOGLETRANSLATE(E4789,""fr"",""it"")"),"Amo gli uccelli, ma non i perrouches.")</f>
        <v>Amo gli uccelli, ma non i perrouches.</v>
      </c>
    </row>
    <row r="4790">
      <c r="A4790" s="4">
        <v>4788.0</v>
      </c>
      <c r="B4790" s="5" t="s">
        <v>14371</v>
      </c>
      <c r="C4790" s="4">
        <v>1.0</v>
      </c>
      <c r="D4790" s="5" t="s">
        <v>14372</v>
      </c>
      <c r="E4790" s="5" t="s">
        <v>14373</v>
      </c>
      <c r="F4790" s="6" t="str">
        <f>IFERROR(__xludf.DUMMYFUNCTION("GOOGLETRANSLATE(D4790,""en"",""it"")"),"Mi piacciono gli uccelli, ma non i gatti.")</f>
        <v>Mi piacciono gli uccelli, ma non i gatti.</v>
      </c>
      <c r="G4790" s="6" t="str">
        <f>IFERROR(__xludf.DUMMYFUNCTION("GOOGLETRANSLATE(E4790,""fr"",""it"")"),"Amo gli uccelli, ma non i gatti.")</f>
        <v>Amo gli uccelli, ma non i gatti.</v>
      </c>
    </row>
    <row r="4791">
      <c r="A4791" s="4">
        <v>4789.0</v>
      </c>
      <c r="B4791" s="5" t="s">
        <v>14374</v>
      </c>
      <c r="C4791" s="4">
        <v>1.0</v>
      </c>
      <c r="D4791" s="5" t="s">
        <v>14375</v>
      </c>
      <c r="E4791" s="5" t="s">
        <v>14376</v>
      </c>
      <c r="F4791" s="6" t="str">
        <f>IFERROR(__xludf.DUMMYFUNCTION("GOOGLETRANSLATE(D4791,""en"",""it"")"),"Mi piacciono i pappagalli, ma non i criceti.")</f>
        <v>Mi piacciono i pappagalli, ma non i criceti.</v>
      </c>
      <c r="G4791" s="6" t="str">
        <f>IFERROR(__xludf.DUMMYFUNCTION("GOOGLETRANSLATE(E4791,""fr"",""it"")"),"Amo perrouches, ma non criceti.")</f>
        <v>Amo perrouches, ma non criceti.</v>
      </c>
    </row>
    <row r="4792">
      <c r="A4792" s="4">
        <v>4790.0</v>
      </c>
      <c r="B4792" s="5" t="s">
        <v>14377</v>
      </c>
      <c r="C4792" s="4">
        <v>1.0</v>
      </c>
      <c r="D4792" s="5" t="s">
        <v>14378</v>
      </c>
      <c r="E4792" s="5" t="s">
        <v>14379</v>
      </c>
      <c r="F4792" s="6" t="str">
        <f>IFERROR(__xludf.DUMMYFUNCTION("GOOGLETRANSLATE(D4792,""en"",""it"")"),"Mi piacciono i criceti, ma non i pappagalli.")</f>
        <v>Mi piacciono i criceti, ma non i pappagalli.</v>
      </c>
      <c r="G4792" s="6" t="str">
        <f>IFERROR(__xludf.DUMMYFUNCTION("GOOGLETRANSLATE(E4792,""fr"",""it"")"),"Mi piacciono i criceti, ma non i perrouches.")</f>
        <v>Mi piacciono i criceti, ma non i perrouches.</v>
      </c>
    </row>
    <row r="4793">
      <c r="A4793" s="4">
        <v>4791.0</v>
      </c>
      <c r="B4793" s="5" t="s">
        <v>14380</v>
      </c>
      <c r="C4793" s="4">
        <v>1.0</v>
      </c>
      <c r="D4793" s="5" t="s">
        <v>14381</v>
      </c>
      <c r="E4793" s="5" t="s">
        <v>14382</v>
      </c>
      <c r="F4793" s="6" t="str">
        <f>IFERROR(__xludf.DUMMYFUNCTION("GOOGLETRANSLATE(D4793,""en"",""it"")"),"Mi piacciono gli uccelli, ma non i criceti.")</f>
        <v>Mi piacciono gli uccelli, ma non i criceti.</v>
      </c>
      <c r="G4793" s="6" t="str">
        <f>IFERROR(__xludf.DUMMYFUNCTION("GOOGLETRANSLATE(E4793,""fr"",""it"")"),"Amo gli uccelli, ma non i criceti.")</f>
        <v>Amo gli uccelli, ma non i criceti.</v>
      </c>
    </row>
    <row r="4794">
      <c r="A4794" s="4">
        <v>4792.0</v>
      </c>
      <c r="B4794" s="5" t="s">
        <v>14383</v>
      </c>
      <c r="C4794" s="4">
        <v>1.0</v>
      </c>
      <c r="D4794" s="5" t="s">
        <v>14384</v>
      </c>
      <c r="E4794" s="5" t="s">
        <v>14385</v>
      </c>
      <c r="F4794" s="6" t="str">
        <f>IFERROR(__xludf.DUMMYFUNCTION("GOOGLETRANSLATE(D4794,""en"",""it"")"),"Mi piacciono i pappagalli, ma non i maiali.")</f>
        <v>Mi piacciono i pappagalli, ma non i maiali.</v>
      </c>
      <c r="G4794" s="6" t="str">
        <f>IFERROR(__xludf.DUMMYFUNCTION("GOOGLETRANSLATE(E4794,""fr"",""it"")"),"Mi piacciono i perrouches, ma non i maiali.")</f>
        <v>Mi piacciono i perrouches, ma non i maiali.</v>
      </c>
    </row>
    <row r="4795">
      <c r="A4795" s="4">
        <v>4793.0</v>
      </c>
      <c r="B4795" s="5" t="s">
        <v>14386</v>
      </c>
      <c r="C4795" s="4">
        <v>1.0</v>
      </c>
      <c r="D4795" s="5" t="s">
        <v>14387</v>
      </c>
      <c r="E4795" s="5" t="s">
        <v>14388</v>
      </c>
      <c r="F4795" s="6" t="str">
        <f>IFERROR(__xludf.DUMMYFUNCTION("GOOGLETRANSLATE(D4795,""en"",""it"")"),"Mi piacciono i maiali, ma non i pappagalli.")</f>
        <v>Mi piacciono i maiali, ma non i pappagalli.</v>
      </c>
      <c r="G4795" s="6" t="str">
        <f>IFERROR(__xludf.DUMMYFUNCTION("GOOGLETRANSLATE(E4795,""fr"",""it"")"),"Mi piacciono i maiali, ma non i perirouches.")</f>
        <v>Mi piacciono i maiali, ma non i perirouches.</v>
      </c>
    </row>
    <row r="4796">
      <c r="A4796" s="4">
        <v>4794.0</v>
      </c>
      <c r="B4796" s="5" t="s">
        <v>14389</v>
      </c>
      <c r="C4796" s="4">
        <v>1.0</v>
      </c>
      <c r="D4796" s="5" t="s">
        <v>14390</v>
      </c>
      <c r="E4796" s="5" t="s">
        <v>14391</v>
      </c>
      <c r="F4796" s="6" t="str">
        <f>IFERROR(__xludf.DUMMYFUNCTION("GOOGLETRANSLATE(D4796,""en"",""it"")"),"Mi piacciono gli uccelli, ma non i maiali.")</f>
        <v>Mi piacciono gli uccelli, ma non i maiali.</v>
      </c>
      <c r="G4796" s="6" t="str">
        <f>IFERROR(__xludf.DUMMYFUNCTION("GOOGLETRANSLATE(E4796,""fr"",""it"")"),"Mi piacciono gli uccelli, ma non i maiali.")</f>
        <v>Mi piacciono gli uccelli, ma non i maiali.</v>
      </c>
    </row>
    <row r="4797">
      <c r="A4797" s="4">
        <v>4795.0</v>
      </c>
      <c r="B4797" s="5" t="s">
        <v>14392</v>
      </c>
      <c r="C4797" s="4">
        <v>1.0</v>
      </c>
      <c r="D4797" s="5" t="s">
        <v>14393</v>
      </c>
      <c r="E4797" s="5" t="s">
        <v>14394</v>
      </c>
      <c r="F4797" s="6" t="str">
        <f>IFERROR(__xludf.DUMMYFUNCTION("GOOGLETRANSLATE(D4797,""en"",""it"")"),"Mi piacciono i pappagalli, ma non i cani.")</f>
        <v>Mi piacciono i pappagalli, ma non i cani.</v>
      </c>
      <c r="G4797" s="6" t="str">
        <f>IFERROR(__xludf.DUMMYFUNCTION("GOOGLETRANSLATE(E4797,""fr"",""it"")"),"Mi piacciono i perrouches, ma non i cani.")</f>
        <v>Mi piacciono i perrouches, ma non i cani.</v>
      </c>
    </row>
    <row r="4798">
      <c r="A4798" s="4">
        <v>4796.0</v>
      </c>
      <c r="B4798" s="5" t="s">
        <v>14395</v>
      </c>
      <c r="C4798" s="4">
        <v>1.0</v>
      </c>
      <c r="D4798" s="5" t="s">
        <v>14396</v>
      </c>
      <c r="E4798" s="5" t="s">
        <v>14397</v>
      </c>
      <c r="F4798" s="6" t="str">
        <f>IFERROR(__xludf.DUMMYFUNCTION("GOOGLETRANSLATE(D4798,""en"",""it"")"),"Mi piacciono gli uccelli, ma non i cani.")</f>
        <v>Mi piacciono gli uccelli, ma non i cani.</v>
      </c>
      <c r="G4798" s="6" t="str">
        <f>IFERROR(__xludf.DUMMYFUNCTION("GOOGLETRANSLATE(E4798,""fr"",""it"")"),"Mi piacciono gli uccelli, ma non i cani.")</f>
        <v>Mi piacciono gli uccelli, ma non i cani.</v>
      </c>
    </row>
    <row r="4799">
      <c r="A4799" s="4">
        <v>4797.0</v>
      </c>
      <c r="B4799" s="5" t="s">
        <v>14398</v>
      </c>
      <c r="C4799" s="4">
        <v>1.0</v>
      </c>
      <c r="D4799" s="5" t="s">
        <v>14399</v>
      </c>
      <c r="E4799" s="5" t="s">
        <v>14400</v>
      </c>
      <c r="F4799" s="6" t="str">
        <f>IFERROR(__xludf.DUMMYFUNCTION("GOOGLETRANSLATE(D4799,""en"",""it"")"),"Mi piacciono le anatre, ma non i gatti.")</f>
        <v>Mi piacciono le anatre, ma non i gatti.</v>
      </c>
      <c r="G4799" s="6" t="str">
        <f>IFERROR(__xludf.DUMMYFUNCTION("GOOGLETRANSLATE(E4799,""fr"",""it"")"),"Mi piacciono le anatre, ma non i gatti.")</f>
        <v>Mi piacciono le anatre, ma non i gatti.</v>
      </c>
    </row>
    <row r="4800">
      <c r="A4800" s="4">
        <v>4798.0</v>
      </c>
      <c r="B4800" s="5" t="s">
        <v>14401</v>
      </c>
      <c r="C4800" s="4">
        <v>1.0</v>
      </c>
      <c r="D4800" s="5" t="s">
        <v>14402</v>
      </c>
      <c r="E4800" s="5" t="s">
        <v>14403</v>
      </c>
      <c r="F4800" s="6" t="str">
        <f>IFERROR(__xludf.DUMMYFUNCTION("GOOGLETRANSLATE(D4800,""en"",""it"")"),"Mi piacciono i gatti, ma non le anatre.")</f>
        <v>Mi piacciono i gatti, ma non le anatre.</v>
      </c>
      <c r="G4800" s="6" t="str">
        <f>IFERROR(__xludf.DUMMYFUNCTION("GOOGLETRANSLATE(E4800,""fr"",""it"")"),"Mi piacciono i gatti, ma non le anatre.")</f>
        <v>Mi piacciono i gatti, ma non le anatre.</v>
      </c>
    </row>
    <row r="4801">
      <c r="A4801" s="4">
        <v>4799.0</v>
      </c>
      <c r="B4801" s="5" t="s">
        <v>14404</v>
      </c>
      <c r="C4801" s="4">
        <v>0.0</v>
      </c>
      <c r="D4801" s="5" t="s">
        <v>14405</v>
      </c>
      <c r="E4801" s="5" t="s">
        <v>14406</v>
      </c>
      <c r="F4801" s="6" t="str">
        <f>IFERROR(__xludf.DUMMYFUNCTION("GOOGLETRANSLATE(D4801,""en"",""it"")"),"Mi piacciono le anatre, ma non gli uccelli.")</f>
        <v>Mi piacciono le anatre, ma non gli uccelli.</v>
      </c>
      <c r="G4801" s="6" t="str">
        <f>IFERROR(__xludf.DUMMYFUNCTION("GOOGLETRANSLATE(E4801,""fr"",""it"")"),"Mi piacciono le anatre, ma non gli uccelli.")</f>
        <v>Mi piacciono le anatre, ma non gli uccelli.</v>
      </c>
    </row>
    <row r="4802">
      <c r="A4802" s="4">
        <v>4800.0</v>
      </c>
      <c r="B4802" s="5" t="s">
        <v>14407</v>
      </c>
      <c r="C4802" s="4">
        <v>1.0</v>
      </c>
      <c r="D4802" s="5" t="s">
        <v>14408</v>
      </c>
      <c r="E4802" s="5" t="s">
        <v>14409</v>
      </c>
      <c r="F4802" s="6" t="str">
        <f>IFERROR(__xludf.DUMMYFUNCTION("GOOGLETRANSLATE(D4802,""en"",""it"")"),"Mi piacciono gli uccelli, ma non le anatre.")</f>
        <v>Mi piacciono gli uccelli, ma non le anatre.</v>
      </c>
      <c r="G4802" s="6" t="str">
        <f>IFERROR(__xludf.DUMMYFUNCTION("GOOGLETRANSLATE(E4802,""fr"",""it"")"),"Mi piacciono gli uccelli, ma non le anatre.")</f>
        <v>Mi piacciono gli uccelli, ma non le anatre.</v>
      </c>
    </row>
    <row r="4803">
      <c r="A4803" s="4">
        <v>4801.0</v>
      </c>
      <c r="B4803" s="5" t="s">
        <v>14410</v>
      </c>
      <c r="C4803" s="4">
        <v>1.0</v>
      </c>
      <c r="D4803" s="5" t="s">
        <v>14411</v>
      </c>
      <c r="E4803" s="5" t="s">
        <v>14412</v>
      </c>
      <c r="F4803" s="6" t="str">
        <f>IFERROR(__xludf.DUMMYFUNCTION("GOOGLETRANSLATE(D4803,""en"",""it"")"),"Mi piacciono le anatre, ma non i criceti.")</f>
        <v>Mi piacciono le anatre, ma non i criceti.</v>
      </c>
      <c r="G4803" s="6" t="str">
        <f>IFERROR(__xludf.DUMMYFUNCTION("GOOGLETRANSLATE(E4803,""fr"",""it"")"),"Amo le anatre, ma non i criceti.")</f>
        <v>Amo le anatre, ma non i criceti.</v>
      </c>
    </row>
    <row r="4804">
      <c r="A4804" s="4">
        <v>4802.0</v>
      </c>
      <c r="B4804" s="5" t="s">
        <v>14413</v>
      </c>
      <c r="C4804" s="4">
        <v>1.0</v>
      </c>
      <c r="D4804" s="5" t="s">
        <v>14414</v>
      </c>
      <c r="E4804" s="5" t="s">
        <v>14415</v>
      </c>
      <c r="F4804" s="6" t="str">
        <f>IFERROR(__xludf.DUMMYFUNCTION("GOOGLETRANSLATE(D4804,""en"",""it"")"),"Mi piacciono i criceti, ma non le anatre.")</f>
        <v>Mi piacciono i criceti, ma non le anatre.</v>
      </c>
      <c r="G4804" s="6" t="str">
        <f>IFERROR(__xludf.DUMMYFUNCTION("GOOGLETRANSLATE(E4804,""fr"",""it"")"),"Mi piacciono i criceti, ma non le anatre.")</f>
        <v>Mi piacciono i criceti, ma non le anatre.</v>
      </c>
    </row>
    <row r="4805">
      <c r="A4805" s="4">
        <v>4803.0</v>
      </c>
      <c r="B4805" s="5" t="s">
        <v>14416</v>
      </c>
      <c r="C4805" s="4">
        <v>1.0</v>
      </c>
      <c r="D4805" s="5" t="s">
        <v>14417</v>
      </c>
      <c r="E4805" s="5" t="s">
        <v>14418</v>
      </c>
      <c r="F4805" s="6" t="str">
        <f>IFERROR(__xludf.DUMMYFUNCTION("GOOGLETRANSLATE(D4805,""en"",""it"")"),"Mi piacciono le anatre, ma non i maiali.")</f>
        <v>Mi piacciono le anatre, ma non i maiali.</v>
      </c>
      <c r="G4805" s="6" t="str">
        <f>IFERROR(__xludf.DUMMYFUNCTION("GOOGLETRANSLATE(E4805,""fr"",""it"")"),"Mi piacciono le anatre, ma non i maiali.")</f>
        <v>Mi piacciono le anatre, ma non i maiali.</v>
      </c>
    </row>
    <row r="4806">
      <c r="A4806" s="4">
        <v>4804.0</v>
      </c>
      <c r="B4806" s="5" t="s">
        <v>14419</v>
      </c>
      <c r="C4806" s="4">
        <v>1.0</v>
      </c>
      <c r="D4806" s="5" t="s">
        <v>14420</v>
      </c>
      <c r="E4806" s="5" t="s">
        <v>14421</v>
      </c>
      <c r="F4806" s="6" t="str">
        <f>IFERROR(__xludf.DUMMYFUNCTION("GOOGLETRANSLATE(D4806,""en"",""it"")"),"Mi piacciono i maiali, ma non le anatre.")</f>
        <v>Mi piacciono i maiali, ma non le anatre.</v>
      </c>
      <c r="G4806" s="6" t="str">
        <f>IFERROR(__xludf.DUMMYFUNCTION("GOOGLETRANSLATE(E4806,""fr"",""it"")"),"Amo i maiali, ma non le anatre.")</f>
        <v>Amo i maiali, ma non le anatre.</v>
      </c>
    </row>
    <row r="4807">
      <c r="A4807" s="4">
        <v>4805.0</v>
      </c>
      <c r="B4807" s="5" t="s">
        <v>14422</v>
      </c>
      <c r="C4807" s="4">
        <v>1.0</v>
      </c>
      <c r="D4807" s="5" t="s">
        <v>14423</v>
      </c>
      <c r="E4807" s="5" t="s">
        <v>14424</v>
      </c>
      <c r="F4807" s="6" t="str">
        <f>IFERROR(__xludf.DUMMYFUNCTION("GOOGLETRANSLATE(D4807,""en"",""it"")"),"Mi piacciono le anatre, ma non i cani.")</f>
        <v>Mi piacciono le anatre, ma non i cani.</v>
      </c>
      <c r="G4807" s="6" t="str">
        <f>IFERROR(__xludf.DUMMYFUNCTION("GOOGLETRANSLATE(E4807,""fr"",""it"")"),"Mi piacciono le anatre, ma non i cani.")</f>
        <v>Mi piacciono le anatre, ma non i cani.</v>
      </c>
    </row>
    <row r="4808">
      <c r="A4808" s="4">
        <v>4806.0</v>
      </c>
      <c r="B4808" s="5" t="s">
        <v>14425</v>
      </c>
      <c r="C4808" s="4">
        <v>1.0</v>
      </c>
      <c r="D4808" s="5" t="s">
        <v>14426</v>
      </c>
      <c r="E4808" s="5" t="s">
        <v>14427</v>
      </c>
      <c r="F4808" s="6" t="str">
        <f>IFERROR(__xludf.DUMMYFUNCTION("GOOGLETRANSLATE(D4808,""en"",""it"")"),"Mi piacciono i cani, ma non le anatre.")</f>
        <v>Mi piacciono i cani, ma non le anatre.</v>
      </c>
      <c r="G4808" s="6" t="str">
        <f>IFERROR(__xludf.DUMMYFUNCTION("GOOGLETRANSLATE(E4808,""fr"",""it"")"),"Mi piacciono i cani, ma non le anatre.")</f>
        <v>Mi piacciono i cani, ma non le anatre.</v>
      </c>
    </row>
    <row r="4809">
      <c r="A4809" s="4">
        <v>4807.0</v>
      </c>
      <c r="B4809" s="5" t="s">
        <v>14428</v>
      </c>
      <c r="C4809" s="4">
        <v>1.0</v>
      </c>
      <c r="D4809" s="5" t="s">
        <v>14429</v>
      </c>
      <c r="E4809" s="5" t="s">
        <v>14430</v>
      </c>
      <c r="F4809" s="6" t="str">
        <f>IFERROR(__xludf.DUMMYFUNCTION("GOOGLETRANSLATE(D4809,""en"",""it"")"),"Mi piacciono i Blackbirds, ma non i gatti.")</f>
        <v>Mi piacciono i Blackbirds, ma non i gatti.</v>
      </c>
      <c r="G4809" s="6" t="str">
        <f>IFERROR(__xludf.DUMMYFUNCTION("GOOGLETRANSLATE(E4809,""fr"",""it"")"),"Adoro i neri, ma non i gatti.")</f>
        <v>Adoro i neri, ma non i gatti.</v>
      </c>
    </row>
    <row r="4810">
      <c r="A4810" s="4">
        <v>4808.0</v>
      </c>
      <c r="B4810" s="5" t="s">
        <v>14431</v>
      </c>
      <c r="C4810" s="4">
        <v>1.0</v>
      </c>
      <c r="D4810" s="5" t="s">
        <v>14432</v>
      </c>
      <c r="E4810" s="5" t="s">
        <v>14433</v>
      </c>
      <c r="F4810" s="6" t="str">
        <f>IFERROR(__xludf.DUMMYFUNCTION("GOOGLETRANSLATE(D4810,""en"",""it"")"),"Mi piacciono i gatti, ma non i nebuni.")</f>
        <v>Mi piacciono i gatti, ma non i nebuni.</v>
      </c>
      <c r="G4810" s="6" t="str">
        <f>IFERROR(__xludf.DUMMYFUNCTION("GOOGLETRANSLATE(E4810,""fr"",""it"")"),"Mi piacciono i gatti, ma non i Blackbirds.")</f>
        <v>Mi piacciono i gatti, ma non i Blackbirds.</v>
      </c>
    </row>
    <row r="4811">
      <c r="A4811" s="4">
        <v>4809.0</v>
      </c>
      <c r="B4811" s="5" t="s">
        <v>14434</v>
      </c>
      <c r="C4811" s="4">
        <v>0.0</v>
      </c>
      <c r="D4811" s="5" t="s">
        <v>14435</v>
      </c>
      <c r="E4811" s="5" t="s">
        <v>14436</v>
      </c>
      <c r="F4811" s="6" t="str">
        <f>IFERROR(__xludf.DUMMYFUNCTION("GOOGLETRANSLATE(D4811,""en"",""it"")"),"Mi piacciono i blackbirds, ma non gli uccelli.")</f>
        <v>Mi piacciono i blackbirds, ma non gli uccelli.</v>
      </c>
      <c r="G4811" s="6" t="str">
        <f>IFERROR(__xludf.DUMMYFUNCTION("GOOGLETRANSLATE(E4811,""fr"",""it"")"),"Amo i Blackbirds, ma non gli uccelli.")</f>
        <v>Amo i Blackbirds, ma non gli uccelli.</v>
      </c>
    </row>
    <row r="4812">
      <c r="A4812" s="4">
        <v>4810.0</v>
      </c>
      <c r="B4812" s="5" t="s">
        <v>14437</v>
      </c>
      <c r="C4812" s="4">
        <v>1.0</v>
      </c>
      <c r="D4812" s="5" t="s">
        <v>14438</v>
      </c>
      <c r="E4812" s="5" t="s">
        <v>14439</v>
      </c>
      <c r="F4812" s="6" t="str">
        <f>IFERROR(__xludf.DUMMYFUNCTION("GOOGLETRANSLATE(D4812,""en"",""it"")"),"Mi piacciono gli uccelli, ma non i nebuni.")</f>
        <v>Mi piacciono gli uccelli, ma non i nebuni.</v>
      </c>
      <c r="G4812" s="6" t="str">
        <f>IFERROR(__xludf.DUMMYFUNCTION("GOOGLETRANSLATE(E4812,""fr"",""it"")"),"Amo gli uccelli, ma non i Blackbirds.")</f>
        <v>Amo gli uccelli, ma non i Blackbirds.</v>
      </c>
    </row>
    <row r="4813">
      <c r="A4813" s="4">
        <v>4811.0</v>
      </c>
      <c r="B4813" s="5" t="s">
        <v>14440</v>
      </c>
      <c r="C4813" s="4">
        <v>1.0</v>
      </c>
      <c r="D4813" s="5" t="s">
        <v>14441</v>
      </c>
      <c r="E4813" s="5" t="s">
        <v>14442</v>
      </c>
      <c r="F4813" s="6" t="str">
        <f>IFERROR(__xludf.DUMMYFUNCTION("GOOGLETRANSLATE(D4813,""en"",""it"")"),"Mi piacciono i Blackbirds, ma non i criceti.")</f>
        <v>Mi piacciono i Blackbirds, ma non i criceti.</v>
      </c>
      <c r="G4813" s="6" t="str">
        <f>IFERROR(__xludf.DUMMYFUNCTION("GOOGLETRANSLATE(E4813,""fr"",""it"")"),"Adoro i Blackbirds, ma non i criceti.")</f>
        <v>Adoro i Blackbirds, ma non i criceti.</v>
      </c>
    </row>
    <row r="4814">
      <c r="A4814" s="4">
        <v>4812.0</v>
      </c>
      <c r="B4814" s="5" t="s">
        <v>14443</v>
      </c>
      <c r="C4814" s="4">
        <v>1.0</v>
      </c>
      <c r="D4814" s="5" t="s">
        <v>14444</v>
      </c>
      <c r="E4814" s="5" t="s">
        <v>14445</v>
      </c>
      <c r="F4814" s="6" t="str">
        <f>IFERROR(__xludf.DUMMYFUNCTION("GOOGLETRANSLATE(D4814,""en"",""it"")"),"Mi piacciono i criceti, ma non i nebuni.")</f>
        <v>Mi piacciono i criceti, ma non i nebuni.</v>
      </c>
      <c r="G4814" s="6" t="str">
        <f>IFERROR(__xludf.DUMMYFUNCTION("GOOGLETRANSLATE(E4814,""fr"",""it"")"),"Amo i criceti, ma non i Blackmark.")</f>
        <v>Amo i criceti, ma non i Blackmark.</v>
      </c>
    </row>
    <row r="4815">
      <c r="A4815" s="4">
        <v>4813.0</v>
      </c>
      <c r="B4815" s="5" t="s">
        <v>14446</v>
      </c>
      <c r="C4815" s="4">
        <v>1.0</v>
      </c>
      <c r="D4815" s="5" t="s">
        <v>14447</v>
      </c>
      <c r="E4815" s="5" t="s">
        <v>14448</v>
      </c>
      <c r="F4815" s="6" t="str">
        <f>IFERROR(__xludf.DUMMYFUNCTION("GOOGLETRANSLATE(D4815,""en"",""it"")"),"Mi piacciono i Blackbirds, ma non i maiali.")</f>
        <v>Mi piacciono i Blackbirds, ma non i maiali.</v>
      </c>
      <c r="G4815" s="6" t="str">
        <f>IFERROR(__xludf.DUMMYFUNCTION("GOOGLETRANSLATE(E4815,""fr"",""it"")"),"Adoro i neri, ma non i maiali.")</f>
        <v>Adoro i neri, ma non i maiali.</v>
      </c>
    </row>
    <row r="4816">
      <c r="A4816" s="4">
        <v>4814.0</v>
      </c>
      <c r="B4816" s="5" t="s">
        <v>14449</v>
      </c>
      <c r="C4816" s="4">
        <v>1.0</v>
      </c>
      <c r="D4816" s="5" t="s">
        <v>14450</v>
      </c>
      <c r="E4816" s="5" t="s">
        <v>14451</v>
      </c>
      <c r="F4816" s="6" t="str">
        <f>IFERROR(__xludf.DUMMYFUNCTION("GOOGLETRANSLATE(D4816,""en"",""it"")"),"Mi piacciono i maiali, ma non i nebuni.")</f>
        <v>Mi piacciono i maiali, ma non i nebuni.</v>
      </c>
      <c r="G4816" s="6" t="str">
        <f>IFERROR(__xludf.DUMMYFUNCTION("GOOGLETRANSLATE(E4816,""fr"",""it"")"),"Amo i maiali, ma non i Blackbirds.")</f>
        <v>Amo i maiali, ma non i Blackbirds.</v>
      </c>
    </row>
    <row r="4817">
      <c r="A4817" s="4">
        <v>4815.0</v>
      </c>
      <c r="B4817" s="5" t="s">
        <v>14452</v>
      </c>
      <c r="C4817" s="4">
        <v>1.0</v>
      </c>
      <c r="D4817" s="5" t="s">
        <v>14453</v>
      </c>
      <c r="E4817" s="5" t="s">
        <v>14454</v>
      </c>
      <c r="F4817" s="6" t="str">
        <f>IFERROR(__xludf.DUMMYFUNCTION("GOOGLETRANSLATE(D4817,""en"",""it"")"),"Mi piacciono i Blackbirds, ma non i cani.")</f>
        <v>Mi piacciono i Blackbirds, ma non i cani.</v>
      </c>
      <c r="G4817" s="6" t="str">
        <f>IFERROR(__xludf.DUMMYFUNCTION("GOOGLETRANSLATE(E4817,""fr"",""it"")"),"Amo i Blackbirds, ma non i cani.")</f>
        <v>Amo i Blackbirds, ma non i cani.</v>
      </c>
    </row>
    <row r="4818">
      <c r="A4818" s="4">
        <v>4816.0</v>
      </c>
      <c r="B4818" s="5" t="s">
        <v>14455</v>
      </c>
      <c r="C4818" s="4">
        <v>1.0</v>
      </c>
      <c r="D4818" s="5" t="s">
        <v>14456</v>
      </c>
      <c r="E4818" s="5" t="s">
        <v>14457</v>
      </c>
      <c r="F4818" s="6" t="str">
        <f>IFERROR(__xludf.DUMMYFUNCTION("GOOGLETRANSLATE(D4818,""en"",""it"")"),"Mi piacciono i cani, ma non i nebuni.")</f>
        <v>Mi piacciono i cani, ma non i nebuni.</v>
      </c>
      <c r="G4818" s="6" t="str">
        <f>IFERROR(__xludf.DUMMYFUNCTION("GOOGLETRANSLATE(E4818,""fr"",""it"")"),"Amo i cani, ma non i Blackbirds.")</f>
        <v>Amo i cani, ma non i Blackbirds.</v>
      </c>
    </row>
    <row r="4819">
      <c r="A4819" s="4">
        <v>4817.0</v>
      </c>
      <c r="B4819" s="5" t="s">
        <v>14458</v>
      </c>
      <c r="C4819" s="4">
        <v>1.0</v>
      </c>
      <c r="D4819" s="5" t="s">
        <v>14459</v>
      </c>
      <c r="E4819" s="5" t="s">
        <v>14460</v>
      </c>
      <c r="F4819" s="6" t="str">
        <f>IFERROR(__xludf.DUMMYFUNCTION("GOOGLETRANSLATE(D4819,""en"",""it"")"),"Mi piacciono i passeri, ma non i gatti.")</f>
        <v>Mi piacciono i passeri, ma non i gatti.</v>
      </c>
      <c r="G4819" s="6" t="str">
        <f>IFERROR(__xludf.DUMMYFUNCTION("GOOGLETRANSLATE(E4819,""fr"",""it"")"),"Adoro i passeri, ma non i gatti.")</f>
        <v>Adoro i passeri, ma non i gatti.</v>
      </c>
    </row>
    <row r="4820">
      <c r="A4820" s="4">
        <v>4818.0</v>
      </c>
      <c r="B4820" s="5" t="s">
        <v>14461</v>
      </c>
      <c r="C4820" s="4">
        <v>1.0</v>
      </c>
      <c r="D4820" s="5" t="s">
        <v>14462</v>
      </c>
      <c r="E4820" s="5" t="s">
        <v>14463</v>
      </c>
      <c r="F4820" s="6" t="str">
        <f>IFERROR(__xludf.DUMMYFUNCTION("GOOGLETRANSLATE(D4820,""en"",""it"")"),"Mi piacciono i gatti, ma non i passeri.")</f>
        <v>Mi piacciono i gatti, ma non i passeri.</v>
      </c>
      <c r="G4820" s="6" t="str">
        <f>IFERROR(__xludf.DUMMYFUNCTION("GOOGLETRANSLATE(E4820,""fr"",""it"")"),"Mi piacciono i gatti, ma non i passeri.")</f>
        <v>Mi piacciono i gatti, ma non i passeri.</v>
      </c>
    </row>
    <row r="4821">
      <c r="A4821" s="4">
        <v>4819.0</v>
      </c>
      <c r="B4821" s="5" t="s">
        <v>14464</v>
      </c>
      <c r="C4821" s="4">
        <v>0.0</v>
      </c>
      <c r="D4821" s="5" t="s">
        <v>14465</v>
      </c>
      <c r="E4821" s="5" t="s">
        <v>14466</v>
      </c>
      <c r="F4821" s="6" t="str">
        <f>IFERROR(__xludf.DUMMYFUNCTION("GOOGLETRANSLATE(D4821,""en"",""it"")"),"Mi piacciono i passeri, ma non gli uccelli.")</f>
        <v>Mi piacciono i passeri, ma non gli uccelli.</v>
      </c>
      <c r="G4821" s="6" t="str">
        <f>IFERROR(__xludf.DUMMYFUNCTION("GOOGLETRANSLATE(E4821,""fr"",""it"")"),"Amo i passeri, ma non gli uccelli.")</f>
        <v>Amo i passeri, ma non gli uccelli.</v>
      </c>
    </row>
    <row r="4822">
      <c r="A4822" s="4">
        <v>4820.0</v>
      </c>
      <c r="B4822" s="5" t="s">
        <v>14467</v>
      </c>
      <c r="C4822" s="4">
        <v>1.0</v>
      </c>
      <c r="D4822" s="5" t="s">
        <v>14468</v>
      </c>
      <c r="E4822" s="5" t="s">
        <v>14469</v>
      </c>
      <c r="F4822" s="6" t="str">
        <f>IFERROR(__xludf.DUMMYFUNCTION("GOOGLETRANSLATE(D4822,""en"",""it"")"),"Mi piacciono gli uccelli, ma non i passeri.")</f>
        <v>Mi piacciono gli uccelli, ma non i passeri.</v>
      </c>
      <c r="G4822" s="6" t="str">
        <f>IFERROR(__xludf.DUMMYFUNCTION("GOOGLETRANSLATE(E4822,""fr"",""it"")"),"Amo gli uccelli, ma non i passeri.")</f>
        <v>Amo gli uccelli, ma non i passeri.</v>
      </c>
    </row>
    <row r="4823">
      <c r="A4823" s="4">
        <v>4821.0</v>
      </c>
      <c r="B4823" s="5" t="s">
        <v>14470</v>
      </c>
      <c r="C4823" s="4">
        <v>1.0</v>
      </c>
      <c r="D4823" s="5" t="s">
        <v>14471</v>
      </c>
      <c r="E4823" s="5" t="s">
        <v>14472</v>
      </c>
      <c r="F4823" s="6" t="str">
        <f>IFERROR(__xludf.DUMMYFUNCTION("GOOGLETRANSLATE(D4823,""en"",""it"")"),"Mi piacciono i passeri, ma non i criceti.")</f>
        <v>Mi piacciono i passeri, ma non i criceti.</v>
      </c>
      <c r="G4823" s="6" t="str">
        <f>IFERROR(__xludf.DUMMYFUNCTION("GOOGLETRANSLATE(E4823,""fr"",""it"")"),"Amo i passeri, ma non i criceti.")</f>
        <v>Amo i passeri, ma non i criceti.</v>
      </c>
    </row>
    <row r="4824">
      <c r="A4824" s="4">
        <v>4822.0</v>
      </c>
      <c r="B4824" s="5" t="s">
        <v>14473</v>
      </c>
      <c r="C4824" s="4">
        <v>1.0</v>
      </c>
      <c r="D4824" s="5" t="s">
        <v>14474</v>
      </c>
      <c r="E4824" s="5" t="s">
        <v>14475</v>
      </c>
      <c r="F4824" s="6" t="str">
        <f>IFERROR(__xludf.DUMMYFUNCTION("GOOGLETRANSLATE(D4824,""en"",""it"")"),"Mi piacciono i criceti, ma non i passeri.")</f>
        <v>Mi piacciono i criceti, ma non i passeri.</v>
      </c>
      <c r="G4824" s="6" t="str">
        <f>IFERROR(__xludf.DUMMYFUNCTION("GOOGLETRANSLATE(E4824,""fr"",""it"")"),"Amo i criceti, ma non i passeri.")</f>
        <v>Amo i criceti, ma non i passeri.</v>
      </c>
    </row>
    <row r="4825">
      <c r="A4825" s="4">
        <v>4823.0</v>
      </c>
      <c r="B4825" s="5" t="s">
        <v>14476</v>
      </c>
      <c r="C4825" s="4">
        <v>1.0</v>
      </c>
      <c r="D4825" s="5" t="s">
        <v>14477</v>
      </c>
      <c r="E4825" s="5" t="s">
        <v>14478</v>
      </c>
      <c r="F4825" s="6" t="str">
        <f>IFERROR(__xludf.DUMMYFUNCTION("GOOGLETRANSLATE(D4825,""en"",""it"")"),"Mi piacciono i passeri, ma non i maiali.")</f>
        <v>Mi piacciono i passeri, ma non i maiali.</v>
      </c>
      <c r="G4825" s="6" t="str">
        <f>IFERROR(__xludf.DUMMYFUNCTION("GOOGLETRANSLATE(E4825,""fr"",""it"")"),"Amo i passeri, ma non i maiali.")</f>
        <v>Amo i passeri, ma non i maiali.</v>
      </c>
    </row>
    <row r="4826">
      <c r="A4826" s="4">
        <v>4824.0</v>
      </c>
      <c r="B4826" s="5" t="s">
        <v>14479</v>
      </c>
      <c r="C4826" s="4">
        <v>1.0</v>
      </c>
      <c r="D4826" s="5" t="s">
        <v>14480</v>
      </c>
      <c r="E4826" s="5" t="s">
        <v>14481</v>
      </c>
      <c r="F4826" s="6" t="str">
        <f>IFERROR(__xludf.DUMMYFUNCTION("GOOGLETRANSLATE(D4826,""en"",""it"")"),"Mi piacciono i maiali, ma non i passeri.")</f>
        <v>Mi piacciono i maiali, ma non i passeri.</v>
      </c>
      <c r="G4826" s="6" t="str">
        <f>IFERROR(__xludf.DUMMYFUNCTION("GOOGLETRANSLATE(E4826,""fr"",""it"")"),"Mi piacciono i maiali, ma non i passeri.")</f>
        <v>Mi piacciono i maiali, ma non i passeri.</v>
      </c>
    </row>
    <row r="4827">
      <c r="A4827" s="4">
        <v>4825.0</v>
      </c>
      <c r="B4827" s="5" t="s">
        <v>14482</v>
      </c>
      <c r="C4827" s="4">
        <v>1.0</v>
      </c>
      <c r="D4827" s="5" t="s">
        <v>14483</v>
      </c>
      <c r="E4827" s="5" t="s">
        <v>14484</v>
      </c>
      <c r="F4827" s="6" t="str">
        <f>IFERROR(__xludf.DUMMYFUNCTION("GOOGLETRANSLATE(D4827,""en"",""it"")"),"Mi piacciono i passeri, ma non i cani.")</f>
        <v>Mi piacciono i passeri, ma non i cani.</v>
      </c>
      <c r="G4827" s="6" t="str">
        <f>IFERROR(__xludf.DUMMYFUNCTION("GOOGLETRANSLATE(E4827,""fr"",""it"")"),"Amo i passeri, ma non i cani.")</f>
        <v>Amo i passeri, ma non i cani.</v>
      </c>
    </row>
    <row r="4828">
      <c r="A4828" s="4">
        <v>4826.0</v>
      </c>
      <c r="B4828" s="5" t="s">
        <v>14485</v>
      </c>
      <c r="C4828" s="4">
        <v>1.0</v>
      </c>
      <c r="D4828" s="5" t="s">
        <v>14486</v>
      </c>
      <c r="E4828" s="5" t="s">
        <v>14487</v>
      </c>
      <c r="F4828" s="6" t="str">
        <f>IFERROR(__xludf.DUMMYFUNCTION("GOOGLETRANSLATE(D4828,""en"",""it"")"),"Mi piacciono i cani, ma non i passeri.")</f>
        <v>Mi piacciono i cani, ma non i passeri.</v>
      </c>
      <c r="G4828" s="6" t="str">
        <f>IFERROR(__xludf.DUMMYFUNCTION("GOOGLETRANSLATE(E4828,""fr"",""it"")"),"Amo i cani, ma non i passeri.")</f>
        <v>Amo i cani, ma non i passeri.</v>
      </c>
    </row>
    <row r="4829">
      <c r="A4829" s="4">
        <v>4827.0</v>
      </c>
      <c r="B4829" s="5" t="s">
        <v>14488</v>
      </c>
      <c r="C4829" s="4">
        <v>0.0</v>
      </c>
      <c r="D4829" s="5" t="s">
        <v>14489</v>
      </c>
      <c r="E4829" s="5" t="s">
        <v>14490</v>
      </c>
      <c r="F4829" s="6" t="str">
        <f>IFERROR(__xludf.DUMMYFUNCTION("GOOGLETRANSLATE(D4829,""en"",""it"")"),"Mi piacciono i cani, tranne i gatti.")</f>
        <v>Mi piacciono i cani, tranne i gatti.</v>
      </c>
      <c r="G4829" s="6" t="str">
        <f>IFERROR(__xludf.DUMMYFUNCTION("GOOGLETRANSLATE(E4829,""fr"",""it"")"),"Mi piacciono i cani, tranne i gatti.")</f>
        <v>Mi piacciono i cani, tranne i gatti.</v>
      </c>
    </row>
    <row r="4830">
      <c r="A4830" s="4">
        <v>4828.0</v>
      </c>
      <c r="B4830" s="5" t="s">
        <v>14491</v>
      </c>
      <c r="C4830" s="4">
        <v>1.0</v>
      </c>
      <c r="D4830" s="5" t="s">
        <v>14492</v>
      </c>
      <c r="E4830" s="5" t="s">
        <v>14493</v>
      </c>
      <c r="F4830" s="6" t="str">
        <f>IFERROR(__xludf.DUMMYFUNCTION("GOOGLETRANSLATE(D4830,""en"",""it"")"),"Mi piace Harley-Davidson, ma non navi.")</f>
        <v>Mi piace Harley-Davidson, ma non navi.</v>
      </c>
      <c r="G4830" s="6" t="str">
        <f>IFERROR(__xludf.DUMMYFUNCTION("GOOGLETRANSLATE(E4830,""fr"",""it"")"),"Mi piace l'Harley-Davidson, ma non le navi.")</f>
        <v>Mi piace l'Harley-Davidson, ma non le navi.</v>
      </c>
    </row>
    <row r="4831">
      <c r="A4831" s="4">
        <v>4829.0</v>
      </c>
      <c r="B4831" s="5" t="s">
        <v>14494</v>
      </c>
      <c r="C4831" s="4">
        <v>1.0</v>
      </c>
      <c r="D4831" s="5" t="s">
        <v>14495</v>
      </c>
      <c r="E4831" s="5" t="s">
        <v>14496</v>
      </c>
      <c r="F4831" s="6" t="str">
        <f>IFERROR(__xludf.DUMMYFUNCTION("GOOGLETRANSLATE(D4831,""en"",""it"")"),"Mi piacciono le navi, ma non Harley-Davidson.")</f>
        <v>Mi piacciono le navi, ma non Harley-Davidson.</v>
      </c>
      <c r="G4831" s="6" t="str">
        <f>IFERROR(__xludf.DUMMYFUNCTION("GOOGLETRANSLATE(E4831,""fr"",""it"")"),"Amo le navi, ma non l'Harley-Davidson.")</f>
        <v>Amo le navi, ma non l'Harley-Davidson.</v>
      </c>
    </row>
    <row r="4832">
      <c r="A4832" s="4">
        <v>4830.0</v>
      </c>
      <c r="B4832" s="5" t="s">
        <v>14497</v>
      </c>
      <c r="C4832" s="4">
        <v>0.0</v>
      </c>
      <c r="D4832" s="5" t="s">
        <v>14498</v>
      </c>
      <c r="E4832" s="5" t="s">
        <v>14499</v>
      </c>
      <c r="F4832" s="6" t="str">
        <f>IFERROR(__xludf.DUMMYFUNCTION("GOOGLETRANSLATE(D4832,""en"",""it"")"),"Mi piace Harley-Davidson, ma non motociclette.")</f>
        <v>Mi piace Harley-Davidson, ma non motociclette.</v>
      </c>
      <c r="G4832" s="6" t="str">
        <f>IFERROR(__xludf.DUMMYFUNCTION("GOOGLETRANSLATE(E4832,""fr"",""it"")"),"Mi piace l'Harley-Davidson, ma non le motociclette.")</f>
        <v>Mi piace l'Harley-Davidson, ma non le motociclette.</v>
      </c>
    </row>
    <row r="4833">
      <c r="A4833" s="4">
        <v>4831.0</v>
      </c>
      <c r="B4833" s="5" t="s">
        <v>14500</v>
      </c>
      <c r="C4833" s="4">
        <v>1.0</v>
      </c>
      <c r="D4833" s="5" t="s">
        <v>14501</v>
      </c>
      <c r="E4833" s="5" t="s">
        <v>14502</v>
      </c>
      <c r="F4833" s="6" t="str">
        <f>IFERROR(__xludf.DUMMYFUNCTION("GOOGLETRANSLATE(D4833,""en"",""it"")"),"Mi piacciono le motociclette, ma non Harley-Davidson.")</f>
        <v>Mi piacciono le motociclette, ma non Harley-Davidson.</v>
      </c>
      <c r="G4833" s="6" t="str">
        <f>IFERROR(__xludf.DUMMYFUNCTION("GOOGLETRANSLATE(E4833,""fr"",""it"")"),"Amo i motocicli, ma non l'Harley-Davidson.")</f>
        <v>Amo i motocicli, ma non l'Harley-Davidson.</v>
      </c>
    </row>
    <row r="4834">
      <c r="A4834" s="4">
        <v>4832.0</v>
      </c>
      <c r="B4834" s="5" t="s">
        <v>14503</v>
      </c>
      <c r="C4834" s="4">
        <v>1.0</v>
      </c>
      <c r="D4834" s="5" t="s">
        <v>14504</v>
      </c>
      <c r="E4834" s="5" t="s">
        <v>14505</v>
      </c>
      <c r="F4834" s="6" t="str">
        <f>IFERROR(__xludf.DUMMYFUNCTION("GOOGLETRANSLATE(D4834,""en"",""it"")"),"Mi piace Harley-Davidson, ma non le biciclette.")</f>
        <v>Mi piace Harley-Davidson, ma non le biciclette.</v>
      </c>
      <c r="G4834" s="6" t="str">
        <f>IFERROR(__xludf.DUMMYFUNCTION("GOOGLETRANSLATE(E4834,""fr"",""it"")"),"Mi piace l'Harley-Davidson, ma non le biciclette.")</f>
        <v>Mi piace l'Harley-Davidson, ma non le biciclette.</v>
      </c>
    </row>
    <row r="4835">
      <c r="A4835" s="4">
        <v>4833.0</v>
      </c>
      <c r="B4835" s="5" t="s">
        <v>14506</v>
      </c>
      <c r="C4835" s="4">
        <v>1.0</v>
      </c>
      <c r="D4835" s="5" t="s">
        <v>14507</v>
      </c>
      <c r="E4835" s="5" t="s">
        <v>14508</v>
      </c>
      <c r="F4835" s="6" t="str">
        <f>IFERROR(__xludf.DUMMYFUNCTION("GOOGLETRANSLATE(D4835,""en"",""it"")"),"Mi piacciono le biciclette, ma non Harley-Davidson.")</f>
        <v>Mi piacciono le biciclette, ma non Harley-Davidson.</v>
      </c>
      <c r="G4835" s="6" t="str">
        <f>IFERROR(__xludf.DUMMYFUNCTION("GOOGLETRANSLATE(E4835,""fr"",""it"")"),"Amo le biciclette, ma non l'Harley-Davidson.")</f>
        <v>Amo le biciclette, ma non l'Harley-Davidson.</v>
      </c>
    </row>
    <row r="4836">
      <c r="A4836" s="4">
        <v>4834.0</v>
      </c>
      <c r="B4836" s="5" t="s">
        <v>14509</v>
      </c>
      <c r="C4836" s="4">
        <v>1.0</v>
      </c>
      <c r="D4836" s="5" t="s">
        <v>14510</v>
      </c>
      <c r="E4836" s="5" t="s">
        <v>14511</v>
      </c>
      <c r="F4836" s="6" t="str">
        <f>IFERROR(__xludf.DUMMYFUNCTION("GOOGLETRANSLATE(D4836,""en"",""it"")"),"Mi piacciono i motocicli, ma non suzukis.")</f>
        <v>Mi piacciono i motocicli, ma non suzukis.</v>
      </c>
      <c r="G4836" s="6" t="str">
        <f>IFERROR(__xludf.DUMMYFUNCTION("GOOGLETRANSLATE(E4836,""fr"",""it"")"),"Adoro le motociclette, ma non il Suzukis.")</f>
        <v>Adoro le motociclette, ma non il Suzukis.</v>
      </c>
    </row>
    <row r="4837">
      <c r="A4837" s="4">
        <v>4835.0</v>
      </c>
      <c r="B4837" s="5" t="s">
        <v>14512</v>
      </c>
      <c r="C4837" s="4">
        <v>1.0</v>
      </c>
      <c r="D4837" s="5" t="s">
        <v>14513</v>
      </c>
      <c r="E4837" s="5" t="s">
        <v>14514</v>
      </c>
      <c r="F4837" s="6" t="str">
        <f>IFERROR(__xludf.DUMMYFUNCTION("GOOGLETRANSLATE(D4837,""en"",""it"")"),"Mi piace Harley-Davidson, ma non treni.")</f>
        <v>Mi piace Harley-Davidson, ma non treni.</v>
      </c>
      <c r="G4837" s="6" t="str">
        <f>IFERROR(__xludf.DUMMYFUNCTION("GOOGLETRANSLATE(E4837,""fr"",""it"")"),"Mi piace l'Harley-Davidson, ma non i treni.")</f>
        <v>Mi piace l'Harley-Davidson, ma non i treni.</v>
      </c>
    </row>
    <row r="4838">
      <c r="A4838" s="4">
        <v>4836.0</v>
      </c>
      <c r="B4838" s="5" t="s">
        <v>14515</v>
      </c>
      <c r="C4838" s="4">
        <v>1.0</v>
      </c>
      <c r="D4838" s="5" t="s">
        <v>14516</v>
      </c>
      <c r="E4838" s="5" t="s">
        <v>14517</v>
      </c>
      <c r="F4838" s="6" t="str">
        <f>IFERROR(__xludf.DUMMYFUNCTION("GOOGLETRANSLATE(D4838,""en"",""it"")"),"Mi piacciono i treni, ma non Harley-Davidson.")</f>
        <v>Mi piacciono i treni, ma non Harley-Davidson.</v>
      </c>
      <c r="G4838" s="6" t="str">
        <f>IFERROR(__xludf.DUMMYFUNCTION("GOOGLETRANSLATE(E4838,""fr"",""it"")"),"Mi piacciono i treni, ma non l'Harley-Davidson.")</f>
        <v>Mi piacciono i treni, ma non l'Harley-Davidson.</v>
      </c>
    </row>
    <row r="4839">
      <c r="A4839" s="4">
        <v>4837.0</v>
      </c>
      <c r="B4839" s="5" t="s">
        <v>14518</v>
      </c>
      <c r="C4839" s="4">
        <v>1.0</v>
      </c>
      <c r="D4839" s="5" t="s">
        <v>14519</v>
      </c>
      <c r="E4839" s="5" t="s">
        <v>14520</v>
      </c>
      <c r="F4839" s="6" t="str">
        <f>IFERROR(__xludf.DUMMYFUNCTION("GOOGLETRANSLATE(D4839,""en"",""it"")"),"Mi piacciono le motociclette, ma non entroso.")</f>
        <v>Mi piacciono le motociclette, ma non entroso.</v>
      </c>
      <c r="G4839" s="6" t="str">
        <f>IFERROR(__xludf.DUMMYFUNCTION("GOOGLETRANSLATE(E4839,""fr"",""it"")"),"Amo i motocicli, ma non gli enduroso.")</f>
        <v>Amo i motocicli, ma non gli enduroso.</v>
      </c>
    </row>
    <row r="4840">
      <c r="A4840" s="4">
        <v>4838.0</v>
      </c>
      <c r="B4840" s="5" t="s">
        <v>14521</v>
      </c>
      <c r="C4840" s="4">
        <v>1.0</v>
      </c>
      <c r="D4840" s="5" t="s">
        <v>14522</v>
      </c>
      <c r="E4840" s="5" t="s">
        <v>14523</v>
      </c>
      <c r="F4840" s="6" t="str">
        <f>IFERROR(__xludf.DUMMYFUNCTION("GOOGLETRANSLATE(D4840,""en"",""it"")"),"Mi piace Harley-Davidson, ma non aeroplani.")</f>
        <v>Mi piace Harley-Davidson, ma non aeroplani.</v>
      </c>
      <c r="G4840" s="6" t="str">
        <f>IFERROR(__xludf.DUMMYFUNCTION("GOOGLETRANSLATE(E4840,""fr"",""it"")"),"Mi piace l'Harley-Davidson, ma non gli aerei.")</f>
        <v>Mi piace l'Harley-Davidson, ma non gli aerei.</v>
      </c>
    </row>
    <row r="4841">
      <c r="A4841" s="4">
        <v>4839.0</v>
      </c>
      <c r="B4841" s="5" t="s">
        <v>14524</v>
      </c>
      <c r="C4841" s="4">
        <v>1.0</v>
      </c>
      <c r="D4841" s="5" t="s">
        <v>14525</v>
      </c>
      <c r="E4841" s="5" t="s">
        <v>14526</v>
      </c>
      <c r="F4841" s="6" t="str">
        <f>IFERROR(__xludf.DUMMYFUNCTION("GOOGLETRANSLATE(D4841,""en"",""it"")"),"Mi piacciono gli aerei, ma non Harley-Davidson.")</f>
        <v>Mi piacciono gli aerei, ma non Harley-Davidson.</v>
      </c>
      <c r="G4841" s="6" t="str">
        <f>IFERROR(__xludf.DUMMYFUNCTION("GOOGLETRANSLATE(E4841,""fr"",""it"")"),"Mi piacciono gli aerei, ma non l'Harley-Davidson.")</f>
        <v>Mi piacciono gli aerei, ma non l'Harley-Davidson.</v>
      </c>
    </row>
    <row r="4842">
      <c r="A4842" s="4">
        <v>4840.0</v>
      </c>
      <c r="B4842" s="5" t="s">
        <v>14527</v>
      </c>
      <c r="C4842" s="4">
        <v>1.0</v>
      </c>
      <c r="D4842" s="5" t="s">
        <v>14528</v>
      </c>
      <c r="E4842" s="5" t="s">
        <v>14529</v>
      </c>
      <c r="F4842" s="6" t="str">
        <f>IFERROR(__xludf.DUMMYFUNCTION("GOOGLETRANSLATE(D4842,""en"",""it"")"),"Mi piacciono i motocicli, ma non Kawasakis.")</f>
        <v>Mi piacciono i motocicli, ma non Kawasakis.</v>
      </c>
      <c r="G4842" s="6" t="str">
        <f>IFERROR(__xludf.DUMMYFUNCTION("GOOGLETRANSLATE(E4842,""fr"",""it"")"),"Adoro le motociclette, ma non Kawasakis.")</f>
        <v>Adoro le motociclette, ma non Kawasakis.</v>
      </c>
    </row>
    <row r="4843">
      <c r="A4843" s="4">
        <v>4841.0</v>
      </c>
      <c r="B4843" s="5" t="s">
        <v>14530</v>
      </c>
      <c r="C4843" s="4">
        <v>1.0</v>
      </c>
      <c r="D4843" s="5" t="s">
        <v>14531</v>
      </c>
      <c r="E4843" s="5" t="s">
        <v>14532</v>
      </c>
      <c r="F4843" s="6" t="str">
        <f>IFERROR(__xludf.DUMMYFUNCTION("GOOGLETRANSLATE(D4843,""en"",""it"")"),"Mi piace Suzukis, ma non navi.")</f>
        <v>Mi piace Suzukis, ma non navi.</v>
      </c>
      <c r="G4843" s="6" t="str">
        <f>IFERROR(__xludf.DUMMYFUNCTION("GOOGLETRANSLATE(E4843,""fr"",""it"")"),"Mi piace Suzukis, ma non le navi.")</f>
        <v>Mi piace Suzukis, ma non le navi.</v>
      </c>
    </row>
    <row r="4844">
      <c r="A4844" s="4">
        <v>4842.0</v>
      </c>
      <c r="B4844" s="5" t="s">
        <v>14533</v>
      </c>
      <c r="C4844" s="4">
        <v>1.0</v>
      </c>
      <c r="D4844" s="5" t="s">
        <v>14534</v>
      </c>
      <c r="E4844" s="5" t="s">
        <v>14535</v>
      </c>
      <c r="F4844" s="6" t="str">
        <f>IFERROR(__xludf.DUMMYFUNCTION("GOOGLETRANSLATE(D4844,""en"",""it"")"),"Mi piacciono le navi, ma non suzukis.")</f>
        <v>Mi piacciono le navi, ma non suzukis.</v>
      </c>
      <c r="G4844" s="6" t="str">
        <f>IFERROR(__xludf.DUMMYFUNCTION("GOOGLETRANSLATE(E4844,""fr"",""it"")"),"Mi piacciono le navi, ma non il Suzukis.")</f>
        <v>Mi piacciono le navi, ma non il Suzukis.</v>
      </c>
    </row>
    <row r="4845">
      <c r="A4845" s="4">
        <v>4843.0</v>
      </c>
      <c r="B4845" s="5" t="s">
        <v>14536</v>
      </c>
      <c r="C4845" s="4">
        <v>0.0</v>
      </c>
      <c r="D4845" s="5" t="s">
        <v>14537</v>
      </c>
      <c r="E4845" s="5" t="s">
        <v>14538</v>
      </c>
      <c r="F4845" s="6" t="str">
        <f>IFERROR(__xludf.DUMMYFUNCTION("GOOGLETRANSLATE(D4845,""en"",""it"")"),"Mi piace Suzukis, ma non motocicli.")</f>
        <v>Mi piace Suzukis, ma non motocicli.</v>
      </c>
      <c r="G4845" s="6" t="str">
        <f>IFERROR(__xludf.DUMMYFUNCTION("GOOGLETRANSLATE(E4845,""fr"",""it"")"),"Mi piace Suzukis, ma non le motociclette.")</f>
        <v>Mi piace Suzukis, ma non le motociclette.</v>
      </c>
    </row>
    <row r="4846">
      <c r="A4846" s="4">
        <v>4844.0</v>
      </c>
      <c r="B4846" s="5" t="s">
        <v>14539</v>
      </c>
      <c r="C4846" s="4">
        <v>1.0</v>
      </c>
      <c r="D4846" s="5" t="s">
        <v>14540</v>
      </c>
      <c r="E4846" s="5" t="s">
        <v>14541</v>
      </c>
      <c r="F4846" s="6" t="str">
        <f>IFERROR(__xludf.DUMMYFUNCTION("GOOGLETRANSLATE(D4846,""en"",""it"")"),"Mi piace Suzukis, ma non biciclette.")</f>
        <v>Mi piace Suzukis, ma non biciclette.</v>
      </c>
      <c r="G4846" s="6" t="str">
        <f>IFERROR(__xludf.DUMMYFUNCTION("GOOGLETRANSLATE(E4846,""fr"",""it"")"),"Amo Suzukis, ma non in bicicletta.")</f>
        <v>Amo Suzukis, ma non in bicicletta.</v>
      </c>
    </row>
    <row r="4847">
      <c r="A4847" s="4">
        <v>4845.0</v>
      </c>
      <c r="B4847" s="5" t="s">
        <v>14542</v>
      </c>
      <c r="C4847" s="4">
        <v>1.0</v>
      </c>
      <c r="D4847" s="5" t="s">
        <v>14543</v>
      </c>
      <c r="E4847" s="5" t="s">
        <v>14544</v>
      </c>
      <c r="F4847" s="6" t="str">
        <f>IFERROR(__xludf.DUMMYFUNCTION("GOOGLETRANSLATE(D4847,""en"",""it"")"),"Mi piacciono le biciclette, ma non suzukis.")</f>
        <v>Mi piacciono le biciclette, ma non suzukis.</v>
      </c>
      <c r="G4847" s="6" t="str">
        <f>IFERROR(__xludf.DUMMYFUNCTION("GOOGLETRANSLATE(E4847,""fr"",""it"")"),"Amo le biciclette, ma non il Suzukis.")</f>
        <v>Amo le biciclette, ma non il Suzukis.</v>
      </c>
    </row>
    <row r="4848">
      <c r="A4848" s="4">
        <v>4846.0</v>
      </c>
      <c r="B4848" s="5" t="s">
        <v>14545</v>
      </c>
      <c r="C4848" s="4">
        <v>1.0</v>
      </c>
      <c r="D4848" s="5" t="s">
        <v>14546</v>
      </c>
      <c r="E4848" s="5" t="s">
        <v>14547</v>
      </c>
      <c r="F4848" s="6" t="str">
        <f>IFERROR(__xludf.DUMMYFUNCTION("GOOGLETRANSLATE(D4848,""en"",""it"")"),"Mi piace Suzukis, ma non treni.")</f>
        <v>Mi piace Suzukis, ma non treni.</v>
      </c>
      <c r="G4848" s="6" t="str">
        <f>IFERROR(__xludf.DUMMYFUNCTION("GOOGLETRANSLATE(E4848,""fr"",""it"")"),"Mi piace Suzukis, ma non treni.")</f>
        <v>Mi piace Suzukis, ma non treni.</v>
      </c>
    </row>
    <row r="4849">
      <c r="A4849" s="4">
        <v>4847.0</v>
      </c>
      <c r="B4849" s="5" t="s">
        <v>14548</v>
      </c>
      <c r="C4849" s="4">
        <v>1.0</v>
      </c>
      <c r="D4849" s="5" t="s">
        <v>14549</v>
      </c>
      <c r="E4849" s="5" t="s">
        <v>14550</v>
      </c>
      <c r="F4849" s="6" t="str">
        <f>IFERROR(__xludf.DUMMYFUNCTION("GOOGLETRANSLATE(D4849,""en"",""it"")"),"Mi piacciono i treni, ma non suzukis.")</f>
        <v>Mi piacciono i treni, ma non suzukis.</v>
      </c>
      <c r="G4849" s="6" t="str">
        <f>IFERROR(__xludf.DUMMYFUNCTION("GOOGLETRANSLATE(E4849,""fr"",""it"")"),"Mi piacciono i treni, ma non il Suzukis.")</f>
        <v>Mi piacciono i treni, ma non il Suzukis.</v>
      </c>
    </row>
    <row r="4850">
      <c r="A4850" s="4">
        <v>4848.0</v>
      </c>
      <c r="B4850" s="5" t="s">
        <v>14551</v>
      </c>
      <c r="C4850" s="4">
        <v>1.0</v>
      </c>
      <c r="D4850" s="5" t="s">
        <v>14552</v>
      </c>
      <c r="E4850" s="5" t="s">
        <v>14553</v>
      </c>
      <c r="F4850" s="6" t="str">
        <f>IFERROR(__xludf.DUMMYFUNCTION("GOOGLETRANSLATE(D4850,""en"",""it"")"),"Mi piace Suzukis, ma non aeroplani.")</f>
        <v>Mi piace Suzukis, ma non aeroplani.</v>
      </c>
      <c r="G4850" s="6" t="str">
        <f>IFERROR(__xludf.DUMMYFUNCTION("GOOGLETRANSLATE(E4850,""fr"",""it"")"),"Mi piace Suzukis, ma non gli aerei.")</f>
        <v>Mi piace Suzukis, ma non gli aerei.</v>
      </c>
    </row>
    <row r="4851">
      <c r="A4851" s="4">
        <v>4849.0</v>
      </c>
      <c r="B4851" s="5" t="s">
        <v>14554</v>
      </c>
      <c r="C4851" s="4">
        <v>1.0</v>
      </c>
      <c r="D4851" s="5" t="s">
        <v>14555</v>
      </c>
      <c r="E4851" s="5" t="s">
        <v>14556</v>
      </c>
      <c r="F4851" s="6" t="str">
        <f>IFERROR(__xludf.DUMMYFUNCTION("GOOGLETRANSLATE(D4851,""en"",""it"")"),"Mi piacciono gli aerei, ma non suzukis.")</f>
        <v>Mi piacciono gli aerei, ma non suzukis.</v>
      </c>
      <c r="G4851" s="6" t="str">
        <f>IFERROR(__xludf.DUMMYFUNCTION("GOOGLETRANSLATE(E4851,""fr"",""it"")"),"Mi piacciono gli aerei, ma non il Suzukis.")</f>
        <v>Mi piacciono gli aerei, ma non il Suzukis.</v>
      </c>
    </row>
    <row r="4852">
      <c r="A4852" s="4">
        <v>4850.0</v>
      </c>
      <c r="B4852" s="5" t="s">
        <v>14557</v>
      </c>
      <c r="C4852" s="4">
        <v>1.0</v>
      </c>
      <c r="D4852" s="5" t="s">
        <v>14558</v>
      </c>
      <c r="E4852" s="5" t="s">
        <v>14559</v>
      </c>
      <c r="F4852" s="6" t="str">
        <f>IFERROR(__xludf.DUMMYFUNCTION("GOOGLETRANSLATE(D4852,""en"",""it"")"),"Mi piacciono gli Enduros, ma non le navi.")</f>
        <v>Mi piacciono gli Enduros, ma non le navi.</v>
      </c>
      <c r="G4852" s="6" t="str">
        <f>IFERROR(__xludf.DUMMYFUNCTION("GOOGLETRANSLATE(E4852,""fr"",""it"")"),"Adoro Enduros, ma non le navi.")</f>
        <v>Adoro Enduros, ma non le navi.</v>
      </c>
    </row>
    <row r="4853">
      <c r="A4853" s="4">
        <v>4851.0</v>
      </c>
      <c r="B4853" s="5" t="s">
        <v>14560</v>
      </c>
      <c r="C4853" s="4">
        <v>1.0</v>
      </c>
      <c r="D4853" s="5" t="s">
        <v>14561</v>
      </c>
      <c r="E4853" s="5" t="s">
        <v>14562</v>
      </c>
      <c r="F4853" s="6" t="str">
        <f>IFERROR(__xludf.DUMMYFUNCTION("GOOGLETRANSLATE(D4853,""en"",""it"")"),"Mi piacciono le navi, ma non entroso.")</f>
        <v>Mi piacciono le navi, ma non entroso.</v>
      </c>
      <c r="G4853" s="6" t="str">
        <f>IFERROR(__xludf.DUMMYFUNCTION("GOOGLETRANSLATE(E4853,""fr"",""it"")"),"Adoro le navi, ma non gli Enduros.")</f>
        <v>Adoro le navi, ma non gli Enduros.</v>
      </c>
    </row>
    <row r="4854">
      <c r="A4854" s="4">
        <v>4852.0</v>
      </c>
      <c r="B4854" s="5" t="s">
        <v>14563</v>
      </c>
      <c r="C4854" s="4">
        <v>0.0</v>
      </c>
      <c r="D4854" s="5" t="s">
        <v>14564</v>
      </c>
      <c r="E4854" s="5" t="s">
        <v>14565</v>
      </c>
      <c r="F4854" s="6" t="str">
        <f>IFERROR(__xludf.DUMMYFUNCTION("GOOGLETRANSLATE(D4854,""en"",""it"")"),"Mi piacciono Enduros, ma non motocicli.")</f>
        <v>Mi piacciono Enduros, ma non motocicli.</v>
      </c>
      <c r="G4854" s="6" t="str">
        <f>IFERROR(__xludf.DUMMYFUNCTION("GOOGLETRANSLATE(E4854,""fr"",""it"")"),"Adoro Enduros, ma non motocicli.")</f>
        <v>Adoro Enduros, ma non motocicli.</v>
      </c>
    </row>
    <row r="4855">
      <c r="A4855" s="4">
        <v>4853.0</v>
      </c>
      <c r="B4855" s="5" t="s">
        <v>14566</v>
      </c>
      <c r="C4855" s="4">
        <v>1.0</v>
      </c>
      <c r="D4855" s="5" t="s">
        <v>14567</v>
      </c>
      <c r="E4855" s="5" t="s">
        <v>14568</v>
      </c>
      <c r="F4855" s="6" t="str">
        <f>IFERROR(__xludf.DUMMYFUNCTION("GOOGLETRANSLATE(D4855,""en"",""it"")"),"Mi piace Enduros, ma non biciclette.")</f>
        <v>Mi piace Enduros, ma non biciclette.</v>
      </c>
      <c r="G4855" s="6" t="str">
        <f>IFERROR(__xludf.DUMMYFUNCTION("GOOGLETRANSLATE(E4855,""fr"",""it"")"),"Adoro Enduros, ma non le biciclette.")</f>
        <v>Adoro Enduros, ma non le biciclette.</v>
      </c>
    </row>
    <row r="4856">
      <c r="A4856" s="4">
        <v>4854.0</v>
      </c>
      <c r="B4856" s="5" t="s">
        <v>14569</v>
      </c>
      <c r="C4856" s="4">
        <v>1.0</v>
      </c>
      <c r="D4856" s="5" t="s">
        <v>14570</v>
      </c>
      <c r="E4856" s="5" t="s">
        <v>14571</v>
      </c>
      <c r="F4856" s="6" t="str">
        <f>IFERROR(__xludf.DUMMYFUNCTION("GOOGLETRANSLATE(D4856,""en"",""it"")"),"Mi piacciono le biciclette, ma non entroso.")</f>
        <v>Mi piacciono le biciclette, ma non entroso.</v>
      </c>
      <c r="G4856" s="6" t="str">
        <f>IFERROR(__xludf.DUMMYFUNCTION("GOOGLETRANSLATE(E4856,""fr"",""it"")"),"Amo le biciclette, ma non gli Enduros.")</f>
        <v>Amo le biciclette, ma non gli Enduros.</v>
      </c>
    </row>
    <row r="4857">
      <c r="A4857" s="4">
        <v>4855.0</v>
      </c>
      <c r="B4857" s="5" t="s">
        <v>14572</v>
      </c>
      <c r="C4857" s="4">
        <v>1.0</v>
      </c>
      <c r="D4857" s="5" t="s">
        <v>14573</v>
      </c>
      <c r="E4857" s="5" t="s">
        <v>14574</v>
      </c>
      <c r="F4857" s="6" t="str">
        <f>IFERROR(__xludf.DUMMYFUNCTION("GOOGLETRANSLATE(D4857,""en"",""it"")"),"Mi piace Enduros, ma non treni.")</f>
        <v>Mi piace Enduros, ma non treni.</v>
      </c>
      <c r="G4857" s="6" t="str">
        <f>IFERROR(__xludf.DUMMYFUNCTION("GOOGLETRANSLATE(E4857,""fr"",""it"")"),"Adoro Enduros, ma non treni.")</f>
        <v>Adoro Enduros, ma non treni.</v>
      </c>
    </row>
    <row r="4858">
      <c r="A4858" s="4">
        <v>4856.0</v>
      </c>
      <c r="B4858" s="5" t="s">
        <v>14575</v>
      </c>
      <c r="C4858" s="4">
        <v>1.0</v>
      </c>
      <c r="D4858" s="5" t="s">
        <v>14576</v>
      </c>
      <c r="E4858" s="5" t="s">
        <v>14577</v>
      </c>
      <c r="F4858" s="6" t="str">
        <f>IFERROR(__xludf.DUMMYFUNCTION("GOOGLETRANSLATE(D4858,""en"",""it"")"),"Mi piacciono i treni, ma non Enduros.")</f>
        <v>Mi piacciono i treni, ma non Enduros.</v>
      </c>
      <c r="G4858" s="6" t="str">
        <f>IFERROR(__xludf.DUMMYFUNCTION("GOOGLETRANSLATE(E4858,""fr"",""it"")"),"Mi piacciono i treni, ma non gli Enduros.")</f>
        <v>Mi piacciono i treni, ma non gli Enduros.</v>
      </c>
    </row>
    <row r="4859">
      <c r="A4859" s="4">
        <v>4857.0</v>
      </c>
      <c r="B4859" s="5" t="s">
        <v>14578</v>
      </c>
      <c r="C4859" s="4">
        <v>1.0</v>
      </c>
      <c r="D4859" s="5" t="s">
        <v>14579</v>
      </c>
      <c r="E4859" s="5" t="s">
        <v>14580</v>
      </c>
      <c r="F4859" s="6" t="str">
        <f>IFERROR(__xludf.DUMMYFUNCTION("GOOGLETRANSLATE(D4859,""en"",""it"")"),"Mi piacciono gli Enduros, ma non gli aeroplani.")</f>
        <v>Mi piacciono gli Enduros, ma non gli aeroplani.</v>
      </c>
      <c r="G4859" s="6" t="str">
        <f>IFERROR(__xludf.DUMMYFUNCTION("GOOGLETRANSLATE(E4859,""fr"",""it"")"),"Adoro Enduros, ma non gli aerei.")</f>
        <v>Adoro Enduros, ma non gli aerei.</v>
      </c>
    </row>
    <row r="4860">
      <c r="A4860" s="4">
        <v>4858.0</v>
      </c>
      <c r="B4860" s="5" t="s">
        <v>14581</v>
      </c>
      <c r="C4860" s="4">
        <v>1.0</v>
      </c>
      <c r="D4860" s="5" t="s">
        <v>14582</v>
      </c>
      <c r="E4860" s="5" t="s">
        <v>14583</v>
      </c>
      <c r="F4860" s="6" t="str">
        <f>IFERROR(__xludf.DUMMYFUNCTION("GOOGLETRANSLATE(D4860,""en"",""it"")"),"Mi piacciono gli aerei, ma non Enduros.")</f>
        <v>Mi piacciono gli aerei, ma non Enduros.</v>
      </c>
      <c r="G4860" s="6" t="str">
        <f>IFERROR(__xludf.DUMMYFUNCTION("GOOGLETRANSLATE(E4860,""fr"",""it"")"),"Mi piacciono gli aerei, ma non gli Enduros.")</f>
        <v>Mi piacciono gli aerei, ma non gli Enduros.</v>
      </c>
    </row>
    <row r="4861">
      <c r="A4861" s="4">
        <v>4859.0</v>
      </c>
      <c r="B4861" s="5" t="s">
        <v>14584</v>
      </c>
      <c r="C4861" s="4">
        <v>1.0</v>
      </c>
      <c r="D4861" s="5" t="s">
        <v>14585</v>
      </c>
      <c r="E4861" s="5" t="s">
        <v>14586</v>
      </c>
      <c r="F4861" s="6" t="str">
        <f>IFERROR(__xludf.DUMMYFUNCTION("GOOGLETRANSLATE(D4861,""en"",""it"")"),"Mi piace Kawasakis, ma non navi.")</f>
        <v>Mi piace Kawasakis, ma non navi.</v>
      </c>
      <c r="G4861" s="6" t="str">
        <f>IFERROR(__xludf.DUMMYFUNCTION("GOOGLETRANSLATE(E4861,""fr"",""it"")"),"Mi piace Kawasakis, ma non le navi.")</f>
        <v>Mi piace Kawasakis, ma non le navi.</v>
      </c>
    </row>
    <row r="4862">
      <c r="A4862" s="4">
        <v>4860.0</v>
      </c>
      <c r="B4862" s="5" t="s">
        <v>14587</v>
      </c>
      <c r="C4862" s="4">
        <v>1.0</v>
      </c>
      <c r="D4862" s="5" t="s">
        <v>14588</v>
      </c>
      <c r="E4862" s="5" t="s">
        <v>14589</v>
      </c>
      <c r="F4862" s="6" t="str">
        <f>IFERROR(__xludf.DUMMYFUNCTION("GOOGLETRANSLATE(D4862,""en"",""it"")"),"Mi piacciono le navi, ma non Kawasakis.")</f>
        <v>Mi piacciono le navi, ma non Kawasakis.</v>
      </c>
      <c r="G4862" s="6" t="str">
        <f>IFERROR(__xludf.DUMMYFUNCTION("GOOGLETRANSLATE(E4862,""fr"",""it"")"),"Mi piacciono le navi, ma non il kawasakis.")</f>
        <v>Mi piacciono le navi, ma non il kawasakis.</v>
      </c>
    </row>
    <row r="4863">
      <c r="A4863" s="4">
        <v>4861.0</v>
      </c>
      <c r="B4863" s="5" t="s">
        <v>14590</v>
      </c>
      <c r="C4863" s="4">
        <v>0.0</v>
      </c>
      <c r="D4863" s="5" t="s">
        <v>14591</v>
      </c>
      <c r="E4863" s="5" t="s">
        <v>14592</v>
      </c>
      <c r="F4863" s="6" t="str">
        <f>IFERROR(__xludf.DUMMYFUNCTION("GOOGLETRANSLATE(D4863,""en"",""it"")"),"Mi piacciono Kawasakis, ma non motocicli.")</f>
        <v>Mi piacciono Kawasakis, ma non motocicli.</v>
      </c>
      <c r="G4863" s="6" t="str">
        <f>IFERROR(__xludf.DUMMYFUNCTION("GOOGLETRANSLATE(E4863,""fr"",""it"")"),"Mi piace Kawasakis, ma non le motociclette.")</f>
        <v>Mi piace Kawasakis, ma non le motociclette.</v>
      </c>
    </row>
    <row r="4864">
      <c r="A4864" s="4">
        <v>4862.0</v>
      </c>
      <c r="B4864" s="5" t="s">
        <v>14593</v>
      </c>
      <c r="C4864" s="4">
        <v>1.0</v>
      </c>
      <c r="D4864" s="5" t="s">
        <v>14594</v>
      </c>
      <c r="E4864" s="5" t="s">
        <v>14595</v>
      </c>
      <c r="F4864" s="6" t="str">
        <f>IFERROR(__xludf.DUMMYFUNCTION("GOOGLETRANSLATE(D4864,""en"",""it"")"),"Mi piace Kawasakis, ma non le biciclette.")</f>
        <v>Mi piace Kawasakis, ma non le biciclette.</v>
      </c>
      <c r="G4864" s="6" t="str">
        <f>IFERROR(__xludf.DUMMYFUNCTION("GOOGLETRANSLATE(E4864,""fr"",""it"")"),"Mi piacciono Kawasakis, ma non le biciclette.")</f>
        <v>Mi piacciono Kawasakis, ma non le biciclette.</v>
      </c>
    </row>
    <row r="4865">
      <c r="A4865" s="4">
        <v>4863.0</v>
      </c>
      <c r="B4865" s="5" t="s">
        <v>14596</v>
      </c>
      <c r="C4865" s="4">
        <v>1.0</v>
      </c>
      <c r="D4865" s="5" t="s">
        <v>14597</v>
      </c>
      <c r="E4865" s="5" t="s">
        <v>14598</v>
      </c>
      <c r="F4865" s="6" t="str">
        <f>IFERROR(__xludf.DUMMYFUNCTION("GOOGLETRANSLATE(D4865,""en"",""it"")"),"Mi piacciono le biciclette, ma non Kawasakis.")</f>
        <v>Mi piacciono le biciclette, ma non Kawasakis.</v>
      </c>
      <c r="G4865" s="6" t="str">
        <f>IFERROR(__xludf.DUMMYFUNCTION("GOOGLETRANSLATE(E4865,""fr"",""it"")"),"Amo le biciclette, ma non il kawasakis.")</f>
        <v>Amo le biciclette, ma non il kawasakis.</v>
      </c>
    </row>
    <row r="4866">
      <c r="A4866" s="4">
        <v>4864.0</v>
      </c>
      <c r="B4866" s="5" t="s">
        <v>14599</v>
      </c>
      <c r="C4866" s="4">
        <v>1.0</v>
      </c>
      <c r="D4866" s="5" t="s">
        <v>14600</v>
      </c>
      <c r="E4866" s="5" t="s">
        <v>14601</v>
      </c>
      <c r="F4866" s="6" t="str">
        <f>IFERROR(__xludf.DUMMYFUNCTION("GOOGLETRANSLATE(D4866,""en"",""it"")"),"Mi piace Kawasakis, ma non treni.")</f>
        <v>Mi piace Kawasakis, ma non treni.</v>
      </c>
      <c r="G4866" s="6" t="str">
        <f>IFERROR(__xludf.DUMMYFUNCTION("GOOGLETRANSLATE(E4866,""fr"",""it"")"),"Mi piace Kawasakis, ma non treni.")</f>
        <v>Mi piace Kawasakis, ma non treni.</v>
      </c>
    </row>
    <row r="4867">
      <c r="A4867" s="4">
        <v>4865.0</v>
      </c>
      <c r="B4867" s="5" t="s">
        <v>14602</v>
      </c>
      <c r="C4867" s="4">
        <v>1.0</v>
      </c>
      <c r="D4867" s="5" t="s">
        <v>14603</v>
      </c>
      <c r="E4867" s="5" t="s">
        <v>14604</v>
      </c>
      <c r="F4867" s="6" t="str">
        <f>IFERROR(__xludf.DUMMYFUNCTION("GOOGLETRANSLATE(D4867,""en"",""it"")"),"Mi piacciono i treni, ma non Kawasakis.")</f>
        <v>Mi piacciono i treni, ma non Kawasakis.</v>
      </c>
      <c r="G4867" s="6" t="str">
        <f>IFERROR(__xludf.DUMMYFUNCTION("GOOGLETRANSLATE(E4867,""fr"",""it"")"),"Mi piacciono i treni, ma non il kawasakis.")</f>
        <v>Mi piacciono i treni, ma non il kawasakis.</v>
      </c>
    </row>
    <row r="4868">
      <c r="A4868" s="4">
        <v>4866.0</v>
      </c>
      <c r="B4868" s="5" t="s">
        <v>14605</v>
      </c>
      <c r="C4868" s="4">
        <v>1.0</v>
      </c>
      <c r="D4868" s="5" t="s">
        <v>14606</v>
      </c>
      <c r="E4868" s="5" t="s">
        <v>14607</v>
      </c>
      <c r="F4868" s="6" t="str">
        <f>IFERROR(__xludf.DUMMYFUNCTION("GOOGLETRANSLATE(D4868,""en"",""it"")"),"Mi piacciono Kawasakis, ma non aeroplani.")</f>
        <v>Mi piacciono Kawasakis, ma non aeroplani.</v>
      </c>
      <c r="G4868" s="6" t="str">
        <f>IFERROR(__xludf.DUMMYFUNCTION("GOOGLETRANSLATE(E4868,""fr"",""it"")"),"Mi piace Kawasakis, ma non gli aerei.")</f>
        <v>Mi piace Kawasakis, ma non gli aerei.</v>
      </c>
    </row>
    <row r="4869">
      <c r="A4869" s="4">
        <v>4867.0</v>
      </c>
      <c r="B4869" s="5" t="s">
        <v>14608</v>
      </c>
      <c r="C4869" s="4">
        <v>1.0</v>
      </c>
      <c r="D4869" s="5" t="s">
        <v>14609</v>
      </c>
      <c r="E4869" s="5" t="s">
        <v>14610</v>
      </c>
      <c r="F4869" s="6" t="str">
        <f>IFERROR(__xludf.DUMMYFUNCTION("GOOGLETRANSLATE(D4869,""en"",""it"")"),"Mi piacciono gli aerei, ma non Kawasakis.")</f>
        <v>Mi piacciono gli aerei, ma non Kawasakis.</v>
      </c>
      <c r="G4869" s="6" t="str">
        <f>IFERROR(__xludf.DUMMYFUNCTION("GOOGLETRANSLATE(E4869,""fr"",""it"")"),"Mi piacciono gli aerei, ma non Kawasakis.")</f>
        <v>Mi piacciono gli aerei, ma non Kawasakis.</v>
      </c>
    </row>
    <row r="4870">
      <c r="A4870" s="4">
        <v>4868.0</v>
      </c>
      <c r="B4870" s="5" t="s">
        <v>14611</v>
      </c>
      <c r="C4870" s="4">
        <v>1.0</v>
      </c>
      <c r="D4870" s="5" t="s">
        <v>14612</v>
      </c>
      <c r="E4870" s="5" t="s">
        <v>14613</v>
      </c>
      <c r="F4870" s="6" t="str">
        <f>IFERROR(__xludf.DUMMYFUNCTION("GOOGLETRANSLATE(D4870,""en"",""it"")"),"Mi piacciono le camicie, ma non le scarpe.")</f>
        <v>Mi piacciono le camicie, ma non le scarpe.</v>
      </c>
      <c r="G4870" s="6" t="str">
        <f>IFERROR(__xludf.DUMMYFUNCTION("GOOGLETRANSLATE(E4870,""fr"",""it"")"),"Mi piacciono le camicie, ma non le scarpe.")</f>
        <v>Mi piacciono le camicie, ma non le scarpe.</v>
      </c>
    </row>
    <row r="4871">
      <c r="A4871" s="4">
        <v>4869.0</v>
      </c>
      <c r="B4871" s="5" t="s">
        <v>14614</v>
      </c>
      <c r="C4871" s="4">
        <v>1.0</v>
      </c>
      <c r="D4871" s="5" t="s">
        <v>14615</v>
      </c>
      <c r="E4871" s="5" t="s">
        <v>14616</v>
      </c>
      <c r="F4871" s="6" t="str">
        <f>IFERROR(__xludf.DUMMYFUNCTION("GOOGLETRANSLATE(D4871,""en"",""it"")"),"Mi piacciono le scarpe, ma non le camicie.")</f>
        <v>Mi piacciono le scarpe, ma non le camicie.</v>
      </c>
      <c r="G4871" s="6" t="str">
        <f>IFERROR(__xludf.DUMMYFUNCTION("GOOGLETRANSLATE(E4871,""fr"",""it"")"),"Amo le scarpe, ma non le camicie.")</f>
        <v>Amo le scarpe, ma non le camicie.</v>
      </c>
    </row>
    <row r="4872">
      <c r="A4872" s="4">
        <v>4870.0</v>
      </c>
      <c r="B4872" s="5" t="s">
        <v>14617</v>
      </c>
      <c r="C4872" s="4">
        <v>0.0</v>
      </c>
      <c r="D4872" s="5" t="s">
        <v>14618</v>
      </c>
      <c r="E4872" s="5" t="s">
        <v>14619</v>
      </c>
      <c r="F4872" s="6" t="str">
        <f>IFERROR(__xludf.DUMMYFUNCTION("GOOGLETRANSLATE(D4872,""en"",""it"")"),"Mi piacciono le camicie, ma non i vestiti.")</f>
        <v>Mi piacciono le camicie, ma non i vestiti.</v>
      </c>
      <c r="G4872" s="6" t="str">
        <f>IFERROR(__xludf.DUMMYFUNCTION("GOOGLETRANSLATE(E4872,""fr"",""it"")"),"Mi piacciono le camicie, ma non i vestiti.")</f>
        <v>Mi piacciono le camicie, ma non i vestiti.</v>
      </c>
    </row>
    <row r="4873">
      <c r="A4873" s="4">
        <v>4871.0</v>
      </c>
      <c r="B4873" s="5" t="s">
        <v>14620</v>
      </c>
      <c r="C4873" s="4">
        <v>1.0</v>
      </c>
      <c r="D4873" s="5" t="s">
        <v>14621</v>
      </c>
      <c r="E4873" s="5" t="s">
        <v>14622</v>
      </c>
      <c r="F4873" s="6" t="str">
        <f>IFERROR(__xludf.DUMMYFUNCTION("GOOGLETRANSLATE(D4873,""en"",""it"")"),"Mi piacciono i vestiti, ma non le camicie.")</f>
        <v>Mi piacciono i vestiti, ma non le camicie.</v>
      </c>
      <c r="G4873" s="6" t="str">
        <f>IFERROR(__xludf.DUMMYFUNCTION("GOOGLETRANSLATE(E4873,""fr"",""it"")"),"Mi piacciono i vestiti, ma non le camicie.")</f>
        <v>Mi piacciono i vestiti, ma non le camicie.</v>
      </c>
    </row>
    <row r="4874">
      <c r="A4874" s="4">
        <v>4872.0</v>
      </c>
      <c r="B4874" s="5" t="s">
        <v>14623</v>
      </c>
      <c r="C4874" s="4">
        <v>1.0</v>
      </c>
      <c r="D4874" s="5" t="s">
        <v>14624</v>
      </c>
      <c r="E4874" s="5" t="s">
        <v>14625</v>
      </c>
      <c r="F4874" s="6" t="str">
        <f>IFERROR(__xludf.DUMMYFUNCTION("GOOGLETRANSLATE(D4874,""en"",""it"")"),"Mi piacciono i vestiti, ma non le scarpe.")</f>
        <v>Mi piacciono i vestiti, ma non le scarpe.</v>
      </c>
      <c r="G4874" s="6" t="str">
        <f>IFERROR(__xludf.DUMMYFUNCTION("GOOGLETRANSLATE(E4874,""fr"",""it"")"),"Mi piacciono i vestiti, ma non le scarpe.")</f>
        <v>Mi piacciono i vestiti, ma non le scarpe.</v>
      </c>
    </row>
    <row r="4875">
      <c r="A4875" s="4">
        <v>4873.0</v>
      </c>
      <c r="B4875" s="5" t="s">
        <v>14626</v>
      </c>
      <c r="C4875" s="4">
        <v>1.0</v>
      </c>
      <c r="D4875" s="5" t="s">
        <v>14627</v>
      </c>
      <c r="E4875" s="5" t="s">
        <v>14628</v>
      </c>
      <c r="F4875" s="6" t="str">
        <f>IFERROR(__xludf.DUMMYFUNCTION("GOOGLETRANSLATE(D4875,""en"",""it"")"),"Mi piacciono le camicie, ma non gioielli.")</f>
        <v>Mi piacciono le camicie, ma non gioielli.</v>
      </c>
      <c r="G4875" s="6" t="str">
        <f>IFERROR(__xludf.DUMMYFUNCTION("GOOGLETRANSLATE(E4875,""fr"",""it"")"),"Mi piacciono le camicie, ma non gioielli.")</f>
        <v>Mi piacciono le camicie, ma non gioielli.</v>
      </c>
    </row>
    <row r="4876">
      <c r="A4876" s="4">
        <v>4874.0</v>
      </c>
      <c r="B4876" s="5" t="s">
        <v>14629</v>
      </c>
      <c r="C4876" s="4">
        <v>1.0</v>
      </c>
      <c r="D4876" s="5" t="s">
        <v>14630</v>
      </c>
      <c r="E4876" s="5" t="s">
        <v>14631</v>
      </c>
      <c r="F4876" s="6" t="str">
        <f>IFERROR(__xludf.DUMMYFUNCTION("GOOGLETRANSLATE(D4876,""en"",""it"")"),"Mi piacciono i gioielli, ma non le camicie.")</f>
        <v>Mi piacciono i gioielli, ma non le camicie.</v>
      </c>
      <c r="G4876" s="6" t="str">
        <f>IFERROR(__xludf.DUMMYFUNCTION("GOOGLETRANSLATE(E4876,""fr"",""it"")"),"Mi piacciono i gioielli, ma non le camicie.")</f>
        <v>Mi piacciono i gioielli, ma non le camicie.</v>
      </c>
    </row>
    <row r="4877">
      <c r="A4877" s="4">
        <v>4875.0</v>
      </c>
      <c r="B4877" s="5" t="s">
        <v>14632</v>
      </c>
      <c r="C4877" s="4">
        <v>1.0</v>
      </c>
      <c r="D4877" s="5" t="s">
        <v>14633</v>
      </c>
      <c r="E4877" s="5" t="s">
        <v>14634</v>
      </c>
      <c r="F4877" s="6" t="str">
        <f>IFERROR(__xludf.DUMMYFUNCTION("GOOGLETRANSLATE(D4877,""en"",""it"")"),"Mi piacciono i vestiti, ma non gioielli.")</f>
        <v>Mi piacciono i vestiti, ma non gioielli.</v>
      </c>
      <c r="G4877" s="6" t="str">
        <f>IFERROR(__xludf.DUMMYFUNCTION("GOOGLETRANSLATE(E4877,""fr"",""it"")"),"Mi piacciono i vestiti, ma non gioielli.")</f>
        <v>Mi piacciono i vestiti, ma non gioielli.</v>
      </c>
    </row>
    <row r="4878">
      <c r="A4878" s="4">
        <v>4876.0</v>
      </c>
      <c r="B4878" s="5" t="s">
        <v>14635</v>
      </c>
      <c r="C4878" s="4">
        <v>1.0</v>
      </c>
      <c r="D4878" s="5" t="s">
        <v>14636</v>
      </c>
      <c r="E4878" s="5" t="s">
        <v>14637</v>
      </c>
      <c r="F4878" s="6" t="str">
        <f>IFERROR(__xludf.DUMMYFUNCTION("GOOGLETRANSLATE(D4878,""en"",""it"")"),"Mi piacciono le camicie, ma non gli occhiali.")</f>
        <v>Mi piacciono le camicie, ma non gli occhiali.</v>
      </c>
      <c r="G4878" s="6" t="str">
        <f>IFERROR(__xludf.DUMMYFUNCTION("GOOGLETRANSLATE(E4878,""fr"",""it"")"),"Mi piacciono le camicie, ma non gli occhiali.")</f>
        <v>Mi piacciono le camicie, ma non gli occhiali.</v>
      </c>
    </row>
    <row r="4879">
      <c r="A4879" s="4">
        <v>4877.0</v>
      </c>
      <c r="B4879" s="5" t="s">
        <v>14638</v>
      </c>
      <c r="C4879" s="4">
        <v>1.0</v>
      </c>
      <c r="D4879" s="5" t="s">
        <v>14639</v>
      </c>
      <c r="E4879" s="5" t="s">
        <v>14640</v>
      </c>
      <c r="F4879" s="6" t="str">
        <f>IFERROR(__xludf.DUMMYFUNCTION("GOOGLETRANSLATE(D4879,""en"",""it"")"),"Mi piacciono gli occhiali, ma non le camicie.")</f>
        <v>Mi piacciono gli occhiali, ma non le camicie.</v>
      </c>
      <c r="G4879" s="6" t="str">
        <f>IFERROR(__xludf.DUMMYFUNCTION("GOOGLETRANSLATE(E4879,""fr"",""it"")"),"Amo gli occhiali, ma non le camicie.")</f>
        <v>Amo gli occhiali, ma non le camicie.</v>
      </c>
    </row>
    <row r="4880">
      <c r="A4880" s="4">
        <v>4878.0</v>
      </c>
      <c r="B4880" s="5" t="s">
        <v>14641</v>
      </c>
      <c r="C4880" s="4">
        <v>1.0</v>
      </c>
      <c r="D4880" s="5" t="s">
        <v>14642</v>
      </c>
      <c r="E4880" s="5" t="s">
        <v>14643</v>
      </c>
      <c r="F4880" s="6" t="str">
        <f>IFERROR(__xludf.DUMMYFUNCTION("GOOGLETRANSLATE(D4880,""en"",""it"")"),"Mi piacciono i vestiti, ma non gli occhiali.")</f>
        <v>Mi piacciono i vestiti, ma non gli occhiali.</v>
      </c>
      <c r="G4880" s="6" t="str">
        <f>IFERROR(__xludf.DUMMYFUNCTION("GOOGLETRANSLATE(E4880,""fr"",""it"")"),"Mi piacciono i vestiti, ma non gli occhiali.")</f>
        <v>Mi piacciono i vestiti, ma non gli occhiali.</v>
      </c>
    </row>
    <row r="4881">
      <c r="A4881" s="4">
        <v>4879.0</v>
      </c>
      <c r="B4881" s="5" t="s">
        <v>14644</v>
      </c>
      <c r="C4881" s="4">
        <v>1.0</v>
      </c>
      <c r="D4881" s="5" t="s">
        <v>14645</v>
      </c>
      <c r="E4881" s="5" t="s">
        <v>14646</v>
      </c>
      <c r="F4881" s="6" t="str">
        <f>IFERROR(__xludf.DUMMYFUNCTION("GOOGLETRANSLATE(D4881,""en"",""it"")"),"Mi piacciono le camicie, ma non gli orecchini.")</f>
        <v>Mi piacciono le camicie, ma non gli orecchini.</v>
      </c>
      <c r="G4881" s="6" t="str">
        <f>IFERROR(__xludf.DUMMYFUNCTION("GOOGLETRANSLATE(E4881,""fr"",""it"")"),"Mi piacciono le camicie, ma non gli orecchini.")</f>
        <v>Mi piacciono le camicie, ma non gli orecchini.</v>
      </c>
    </row>
    <row r="4882">
      <c r="A4882" s="4">
        <v>4880.0</v>
      </c>
      <c r="B4882" s="5" t="s">
        <v>14647</v>
      </c>
      <c r="C4882" s="4">
        <v>1.0</v>
      </c>
      <c r="D4882" s="5" t="s">
        <v>14648</v>
      </c>
      <c r="E4882" s="5" t="s">
        <v>14649</v>
      </c>
      <c r="F4882" s="6" t="str">
        <f>IFERROR(__xludf.DUMMYFUNCTION("GOOGLETRANSLATE(D4882,""en"",""it"")"),"Mi piacciono gli orecchini, ma non le camicie.")</f>
        <v>Mi piacciono gli orecchini, ma non le camicie.</v>
      </c>
      <c r="G4882" s="6" t="str">
        <f>IFERROR(__xludf.DUMMYFUNCTION("GOOGLETRANSLATE(E4882,""fr"",""it"")"),"Mi piacciono gli orecchini, ma non le camicie.")</f>
        <v>Mi piacciono gli orecchini, ma non le camicie.</v>
      </c>
    </row>
    <row r="4883">
      <c r="A4883" s="4">
        <v>4881.0</v>
      </c>
      <c r="B4883" s="5" t="s">
        <v>14650</v>
      </c>
      <c r="C4883" s="4">
        <v>1.0</v>
      </c>
      <c r="D4883" s="5" t="s">
        <v>14651</v>
      </c>
      <c r="E4883" s="5" t="s">
        <v>14652</v>
      </c>
      <c r="F4883" s="6" t="str">
        <f>IFERROR(__xludf.DUMMYFUNCTION("GOOGLETRANSLATE(D4883,""en"",""it"")"),"Mi piacciono i vestiti, ma non gli orecchini.")</f>
        <v>Mi piacciono i vestiti, ma non gli orecchini.</v>
      </c>
      <c r="G4883" s="6" t="str">
        <f>IFERROR(__xludf.DUMMYFUNCTION("GOOGLETRANSLATE(E4883,""fr"",""it"")"),"Mi piacciono i vestiti, ma non gli orecchini.")</f>
        <v>Mi piacciono i vestiti, ma non gli orecchini.</v>
      </c>
    </row>
    <row r="4884">
      <c r="A4884" s="4">
        <v>4882.0</v>
      </c>
      <c r="B4884" s="5" t="s">
        <v>14653</v>
      </c>
      <c r="C4884" s="4">
        <v>1.0</v>
      </c>
      <c r="D4884" s="5" t="s">
        <v>14654</v>
      </c>
      <c r="E4884" s="5" t="s">
        <v>14655</v>
      </c>
      <c r="F4884" s="6" t="str">
        <f>IFERROR(__xludf.DUMMYFUNCTION("GOOGLETRANSLATE(D4884,""en"",""it"")"),"Mi piacciono i pantaloni, ma non le scarpe.")</f>
        <v>Mi piacciono i pantaloni, ma non le scarpe.</v>
      </c>
      <c r="G4884" s="6" t="str">
        <f>IFERROR(__xludf.DUMMYFUNCTION("GOOGLETRANSLATE(E4884,""fr"",""it"")"),"Mi piacciono i pantaloni, ma non le scarpe.")</f>
        <v>Mi piacciono i pantaloni, ma non le scarpe.</v>
      </c>
    </row>
    <row r="4885">
      <c r="A4885" s="4">
        <v>4883.0</v>
      </c>
      <c r="B4885" s="5" t="s">
        <v>14656</v>
      </c>
      <c r="C4885" s="4">
        <v>1.0</v>
      </c>
      <c r="D4885" s="5" t="s">
        <v>14657</v>
      </c>
      <c r="E4885" s="5" t="s">
        <v>14658</v>
      </c>
      <c r="F4885" s="6" t="str">
        <f>IFERROR(__xludf.DUMMYFUNCTION("GOOGLETRANSLATE(D4885,""en"",""it"")"),"Mi piacciono le scarpe, ma non i pantaloni.")</f>
        <v>Mi piacciono le scarpe, ma non i pantaloni.</v>
      </c>
      <c r="G4885" s="6" t="str">
        <f>IFERROR(__xludf.DUMMYFUNCTION("GOOGLETRANSLATE(E4885,""fr"",""it"")"),"Mi piacciono le scarpe, ma non i pantaloni.")</f>
        <v>Mi piacciono le scarpe, ma non i pantaloni.</v>
      </c>
    </row>
    <row r="4886">
      <c r="A4886" s="4">
        <v>4884.0</v>
      </c>
      <c r="B4886" s="5" t="s">
        <v>14659</v>
      </c>
      <c r="C4886" s="4">
        <v>0.0</v>
      </c>
      <c r="D4886" s="5" t="s">
        <v>14660</v>
      </c>
      <c r="E4886" s="5" t="s">
        <v>14661</v>
      </c>
      <c r="F4886" s="6" t="str">
        <f>IFERROR(__xludf.DUMMYFUNCTION("GOOGLETRANSLATE(D4886,""en"",""it"")"),"Mi piacciono i pantaloni, ma non i vestiti.")</f>
        <v>Mi piacciono i pantaloni, ma non i vestiti.</v>
      </c>
      <c r="G4886" s="6" t="str">
        <f>IFERROR(__xludf.DUMMYFUNCTION("GOOGLETRANSLATE(E4886,""fr"",""it"")"),"Mi piacciono i pantaloni, ma non i vestiti.")</f>
        <v>Mi piacciono i pantaloni, ma non i vestiti.</v>
      </c>
    </row>
    <row r="4887">
      <c r="A4887" s="4">
        <v>4885.0</v>
      </c>
      <c r="B4887" s="5" t="s">
        <v>14662</v>
      </c>
      <c r="C4887" s="4">
        <v>1.0</v>
      </c>
      <c r="D4887" s="5" t="s">
        <v>14663</v>
      </c>
      <c r="E4887" s="5" t="s">
        <v>14664</v>
      </c>
      <c r="F4887" s="6" t="str">
        <f>IFERROR(__xludf.DUMMYFUNCTION("GOOGLETRANSLATE(D4887,""en"",""it"")"),"Mi piacciono i vestiti, ma non i pantaloni.")</f>
        <v>Mi piacciono i vestiti, ma non i pantaloni.</v>
      </c>
      <c r="G4887" s="6" t="str">
        <f>IFERROR(__xludf.DUMMYFUNCTION("GOOGLETRANSLATE(E4887,""fr"",""it"")"),"Mi piacciono i vestiti, ma non i pantaloni.")</f>
        <v>Mi piacciono i vestiti, ma non i pantaloni.</v>
      </c>
    </row>
    <row r="4888">
      <c r="A4888" s="4">
        <v>4886.0</v>
      </c>
      <c r="B4888" s="5" t="s">
        <v>14665</v>
      </c>
      <c r="C4888" s="4">
        <v>1.0</v>
      </c>
      <c r="D4888" s="5" t="s">
        <v>14666</v>
      </c>
      <c r="E4888" s="5" t="s">
        <v>14667</v>
      </c>
      <c r="F4888" s="6" t="str">
        <f>IFERROR(__xludf.DUMMYFUNCTION("GOOGLETRANSLATE(D4888,""en"",""it"")"),"Mi piacciono i pantaloni, ma non gioielli.")</f>
        <v>Mi piacciono i pantaloni, ma non gioielli.</v>
      </c>
      <c r="G4888" s="6" t="str">
        <f>IFERROR(__xludf.DUMMYFUNCTION("GOOGLETRANSLATE(E4888,""fr"",""it"")"),"Mi piacciono i pantaloni, ma non gioielli.")</f>
        <v>Mi piacciono i pantaloni, ma non gioielli.</v>
      </c>
    </row>
    <row r="4889">
      <c r="A4889" s="4">
        <v>4887.0</v>
      </c>
      <c r="B4889" s="5" t="s">
        <v>14668</v>
      </c>
      <c r="C4889" s="4">
        <v>1.0</v>
      </c>
      <c r="D4889" s="5" t="s">
        <v>14669</v>
      </c>
      <c r="E4889" s="5" t="s">
        <v>14670</v>
      </c>
      <c r="F4889" s="6" t="str">
        <f>IFERROR(__xludf.DUMMYFUNCTION("GOOGLETRANSLATE(D4889,""en"",""it"")"),"Mi piacciono i gioielli, ma non i pantaloni.")</f>
        <v>Mi piacciono i gioielli, ma non i pantaloni.</v>
      </c>
      <c r="G4889" s="6" t="str">
        <f>IFERROR(__xludf.DUMMYFUNCTION("GOOGLETRANSLATE(E4889,""fr"",""it"")"),"Mi piacciono i gioielli, ma non i pantaloni.")</f>
        <v>Mi piacciono i gioielli, ma non i pantaloni.</v>
      </c>
    </row>
    <row r="4890">
      <c r="A4890" s="4">
        <v>4888.0</v>
      </c>
      <c r="B4890" s="5" t="s">
        <v>14671</v>
      </c>
      <c r="C4890" s="4">
        <v>1.0</v>
      </c>
      <c r="D4890" s="5" t="s">
        <v>14672</v>
      </c>
      <c r="E4890" s="5" t="s">
        <v>14673</v>
      </c>
      <c r="F4890" s="6" t="str">
        <f>IFERROR(__xludf.DUMMYFUNCTION("GOOGLETRANSLATE(D4890,""en"",""it"")"),"Mi piacciono i pantaloni, ma non gli occhiali.")</f>
        <v>Mi piacciono i pantaloni, ma non gli occhiali.</v>
      </c>
      <c r="G4890" s="6" t="str">
        <f>IFERROR(__xludf.DUMMYFUNCTION("GOOGLETRANSLATE(E4890,""fr"",""it"")"),"Mi piacciono i pantaloni, ma non gli occhiali.")</f>
        <v>Mi piacciono i pantaloni, ma non gli occhiali.</v>
      </c>
    </row>
    <row r="4891">
      <c r="A4891" s="4">
        <v>4889.0</v>
      </c>
      <c r="B4891" s="5" t="s">
        <v>14674</v>
      </c>
      <c r="C4891" s="4">
        <v>1.0</v>
      </c>
      <c r="D4891" s="5" t="s">
        <v>14675</v>
      </c>
      <c r="E4891" s="5" t="s">
        <v>14676</v>
      </c>
      <c r="F4891" s="6" t="str">
        <f>IFERROR(__xludf.DUMMYFUNCTION("GOOGLETRANSLATE(D4891,""en"",""it"")"),"Mi piacciono gli occhiali, ma non i pantaloni.")</f>
        <v>Mi piacciono gli occhiali, ma non i pantaloni.</v>
      </c>
      <c r="G4891" s="6" t="str">
        <f>IFERROR(__xludf.DUMMYFUNCTION("GOOGLETRANSLATE(E4891,""fr"",""it"")"),"Mi piacciono gli occhiali, ma non i pantaloni.")</f>
        <v>Mi piacciono gli occhiali, ma non i pantaloni.</v>
      </c>
    </row>
    <row r="4892">
      <c r="A4892" s="4">
        <v>4890.0</v>
      </c>
      <c r="B4892" s="5" t="s">
        <v>14677</v>
      </c>
      <c r="C4892" s="4">
        <v>1.0</v>
      </c>
      <c r="D4892" s="5" t="s">
        <v>14678</v>
      </c>
      <c r="E4892" s="5" t="s">
        <v>14679</v>
      </c>
      <c r="F4892" s="6" t="str">
        <f>IFERROR(__xludf.DUMMYFUNCTION("GOOGLETRANSLATE(D4892,""en"",""it"")"),"Mi piacciono i pantaloni, ma non gli orecchini.")</f>
        <v>Mi piacciono i pantaloni, ma non gli orecchini.</v>
      </c>
      <c r="G4892" s="6" t="str">
        <f>IFERROR(__xludf.DUMMYFUNCTION("GOOGLETRANSLATE(E4892,""fr"",""it"")"),"Mi piacciono i pantaloni, ma non gli orecchini.")</f>
        <v>Mi piacciono i pantaloni, ma non gli orecchini.</v>
      </c>
    </row>
    <row r="4893">
      <c r="A4893" s="4">
        <v>4891.0</v>
      </c>
      <c r="B4893" s="5" t="s">
        <v>14680</v>
      </c>
      <c r="C4893" s="4">
        <v>1.0</v>
      </c>
      <c r="D4893" s="5" t="s">
        <v>14681</v>
      </c>
      <c r="E4893" s="5" t="s">
        <v>14682</v>
      </c>
      <c r="F4893" s="6" t="str">
        <f>IFERROR(__xludf.DUMMYFUNCTION("GOOGLETRANSLATE(D4893,""en"",""it"")"),"Mi piacciono gli orecchini, ma non i pantaloni.")</f>
        <v>Mi piacciono gli orecchini, ma non i pantaloni.</v>
      </c>
      <c r="G4893" s="6" t="str">
        <f>IFERROR(__xludf.DUMMYFUNCTION("GOOGLETRANSLATE(E4893,""fr"",""it"")"),"Mi piacciono gli orecchini, ma non i pantaloni.")</f>
        <v>Mi piacciono gli orecchini, ma non i pantaloni.</v>
      </c>
    </row>
    <row r="4894">
      <c r="A4894" s="4">
        <v>4892.0</v>
      </c>
      <c r="B4894" s="5" t="s">
        <v>14683</v>
      </c>
      <c r="C4894" s="4">
        <v>1.0</v>
      </c>
      <c r="D4894" s="5" t="s">
        <v>14684</v>
      </c>
      <c r="E4894" s="5" t="s">
        <v>14685</v>
      </c>
      <c r="F4894" s="6" t="str">
        <f>IFERROR(__xludf.DUMMYFUNCTION("GOOGLETRANSLATE(D4894,""en"",""it"")"),"Mi piacciono i calzini, ma non le scarpe.")</f>
        <v>Mi piacciono i calzini, ma non le scarpe.</v>
      </c>
      <c r="G4894" s="6" t="str">
        <f>IFERROR(__xludf.DUMMYFUNCTION("GOOGLETRANSLATE(E4894,""fr"",""it"")"),"Adoro le scarpe, ma non le scarpe.")</f>
        <v>Adoro le scarpe, ma non le scarpe.</v>
      </c>
    </row>
    <row r="4895">
      <c r="A4895" s="4">
        <v>4893.0</v>
      </c>
      <c r="B4895" s="5" t="s">
        <v>14686</v>
      </c>
      <c r="C4895" s="4">
        <v>1.0</v>
      </c>
      <c r="D4895" s="5" t="s">
        <v>14687</v>
      </c>
      <c r="E4895" s="5" t="s">
        <v>14688</v>
      </c>
      <c r="F4895" s="6" t="str">
        <f>IFERROR(__xludf.DUMMYFUNCTION("GOOGLETRANSLATE(D4895,""en"",""it"")"),"Mi piacciono le scarpe, ma non i calzini.")</f>
        <v>Mi piacciono le scarpe, ma non i calzini.</v>
      </c>
      <c r="G4895" s="6" t="str">
        <f>IFERROR(__xludf.DUMMYFUNCTION("GOOGLETRANSLATE(E4895,""fr"",""it"")"),"Amo le scarpe, ma non le scarpe.")</f>
        <v>Amo le scarpe, ma non le scarpe.</v>
      </c>
    </row>
    <row r="4896">
      <c r="A4896" s="4">
        <v>4894.0</v>
      </c>
      <c r="B4896" s="5" t="s">
        <v>14689</v>
      </c>
      <c r="C4896" s="4">
        <v>0.0</v>
      </c>
      <c r="D4896" s="5" t="s">
        <v>14690</v>
      </c>
      <c r="E4896" s="5" t="s">
        <v>14691</v>
      </c>
      <c r="F4896" s="6" t="str">
        <f>IFERROR(__xludf.DUMMYFUNCTION("GOOGLETRANSLATE(D4896,""en"",""it"")"),"Mi piacciono i calzini, ma non i vestiti.")</f>
        <v>Mi piacciono i calzini, ma non i vestiti.</v>
      </c>
      <c r="G4896" s="6" t="str">
        <f>IFERROR(__xludf.DUMMYFUNCTION("GOOGLETRANSLATE(E4896,""fr"",""it"")"),"Adoro le scarpe, ma non i vestiti.")</f>
        <v>Adoro le scarpe, ma non i vestiti.</v>
      </c>
    </row>
    <row r="4897">
      <c r="A4897" s="4">
        <v>4895.0</v>
      </c>
      <c r="B4897" s="5" t="s">
        <v>14692</v>
      </c>
      <c r="C4897" s="4">
        <v>1.0</v>
      </c>
      <c r="D4897" s="5" t="s">
        <v>14693</v>
      </c>
      <c r="E4897" s="5" t="s">
        <v>14694</v>
      </c>
      <c r="F4897" s="6" t="str">
        <f>IFERROR(__xludf.DUMMYFUNCTION("GOOGLETRANSLATE(D4897,""en"",""it"")"),"Mi piacciono i vestiti, ma non i calzini.")</f>
        <v>Mi piacciono i vestiti, ma non i calzini.</v>
      </c>
      <c r="G4897" s="6" t="str">
        <f>IFERROR(__xludf.DUMMYFUNCTION("GOOGLETRANSLATE(E4897,""fr"",""it"")"),"Mi piacciono i vestiti, ma non le scarpe.")</f>
        <v>Mi piacciono i vestiti, ma non le scarpe.</v>
      </c>
    </row>
    <row r="4898">
      <c r="A4898" s="4">
        <v>4896.0</v>
      </c>
      <c r="B4898" s="5" t="s">
        <v>14695</v>
      </c>
      <c r="C4898" s="4">
        <v>1.0</v>
      </c>
      <c r="D4898" s="5" t="s">
        <v>14696</v>
      </c>
      <c r="E4898" s="5" t="s">
        <v>14697</v>
      </c>
      <c r="F4898" s="6" t="str">
        <f>IFERROR(__xludf.DUMMYFUNCTION("GOOGLETRANSLATE(D4898,""en"",""it"")"),"Mi piacciono i calzini, ma non gioielli.")</f>
        <v>Mi piacciono i calzini, ma non gioielli.</v>
      </c>
      <c r="G4898" s="6" t="str">
        <f>IFERROR(__xludf.DUMMYFUNCTION("GOOGLETRANSLATE(E4898,""fr"",""it"")"),"Mi piacciono le scarpe, ma non i gioielli.")</f>
        <v>Mi piacciono le scarpe, ma non i gioielli.</v>
      </c>
    </row>
    <row r="4899">
      <c r="A4899" s="4">
        <v>4897.0</v>
      </c>
      <c r="B4899" s="5" t="s">
        <v>14698</v>
      </c>
      <c r="C4899" s="4">
        <v>1.0</v>
      </c>
      <c r="D4899" s="5" t="s">
        <v>14699</v>
      </c>
      <c r="E4899" s="5" t="s">
        <v>14700</v>
      </c>
      <c r="F4899" s="6" t="str">
        <f>IFERROR(__xludf.DUMMYFUNCTION("GOOGLETRANSLATE(D4899,""en"",""it"")"),"Mi piacciono i gioielli, ma non i calzini.")</f>
        <v>Mi piacciono i gioielli, ma non i calzini.</v>
      </c>
      <c r="G4899" s="6" t="str">
        <f>IFERROR(__xludf.DUMMYFUNCTION("GOOGLETRANSLATE(E4899,""fr"",""it"")"),"Amo i gioielli, ma non le scarpe.")</f>
        <v>Amo i gioielli, ma non le scarpe.</v>
      </c>
    </row>
    <row r="4900">
      <c r="A4900" s="4">
        <v>4898.0</v>
      </c>
      <c r="B4900" s="5" t="s">
        <v>14701</v>
      </c>
      <c r="C4900" s="4">
        <v>1.0</v>
      </c>
      <c r="D4900" s="5" t="s">
        <v>14702</v>
      </c>
      <c r="E4900" s="5" t="s">
        <v>14703</v>
      </c>
      <c r="F4900" s="6" t="str">
        <f>IFERROR(__xludf.DUMMYFUNCTION("GOOGLETRANSLATE(D4900,""en"",""it"")"),"Mi piacciono i calzini, ma non gli occhiali.")</f>
        <v>Mi piacciono i calzini, ma non gli occhiali.</v>
      </c>
      <c r="G4900" s="6" t="str">
        <f>IFERROR(__xludf.DUMMYFUNCTION("GOOGLETRANSLATE(E4900,""fr"",""it"")"),"Mi piacciono le scarpe, ma non gli occhiali.")</f>
        <v>Mi piacciono le scarpe, ma non gli occhiali.</v>
      </c>
    </row>
    <row r="4901">
      <c r="A4901" s="4">
        <v>4899.0</v>
      </c>
      <c r="B4901" s="5" t="s">
        <v>14704</v>
      </c>
      <c r="C4901" s="4">
        <v>1.0</v>
      </c>
      <c r="D4901" s="5" t="s">
        <v>14705</v>
      </c>
      <c r="E4901" s="5" t="s">
        <v>14706</v>
      </c>
      <c r="F4901" s="6" t="str">
        <f>IFERROR(__xludf.DUMMYFUNCTION("GOOGLETRANSLATE(D4901,""en"",""it"")"),"Mi piacciono gli occhiali, ma non i calzini.")</f>
        <v>Mi piacciono gli occhiali, ma non i calzini.</v>
      </c>
      <c r="G4901" s="6" t="str">
        <f>IFERROR(__xludf.DUMMYFUNCTION("GOOGLETRANSLATE(E4901,""fr"",""it"")"),"Amo gli occhiali, ma non le scarpe.")</f>
        <v>Amo gli occhiali, ma non le scarpe.</v>
      </c>
    </row>
    <row r="4902">
      <c r="A4902" s="4">
        <v>4900.0</v>
      </c>
      <c r="B4902" s="5" t="s">
        <v>14707</v>
      </c>
      <c r="C4902" s="4">
        <v>1.0</v>
      </c>
      <c r="D4902" s="5" t="s">
        <v>14708</v>
      </c>
      <c r="E4902" s="5" t="s">
        <v>14709</v>
      </c>
      <c r="F4902" s="6" t="str">
        <f>IFERROR(__xludf.DUMMYFUNCTION("GOOGLETRANSLATE(D4902,""en"",""it"")"),"Mi piacciono i calzini, ma non gli orecchini.")</f>
        <v>Mi piacciono i calzini, ma non gli orecchini.</v>
      </c>
      <c r="G4902" s="6" t="str">
        <f>IFERROR(__xludf.DUMMYFUNCTION("GOOGLETRANSLATE(E4902,""fr"",""it"")"),"Mi piacciono le scarpe, ma non gli orecchini.")</f>
        <v>Mi piacciono le scarpe, ma non gli orecchini.</v>
      </c>
    </row>
    <row r="4903">
      <c r="A4903" s="4">
        <v>4901.0</v>
      </c>
      <c r="B4903" s="5" t="s">
        <v>14710</v>
      </c>
      <c r="C4903" s="4">
        <v>1.0</v>
      </c>
      <c r="D4903" s="5" t="s">
        <v>14711</v>
      </c>
      <c r="E4903" s="5" t="s">
        <v>14712</v>
      </c>
      <c r="F4903" s="6" t="str">
        <f>IFERROR(__xludf.DUMMYFUNCTION("GOOGLETRANSLATE(D4903,""en"",""it"")"),"Mi piacciono gli orecchini, ma non i calzini.")</f>
        <v>Mi piacciono gli orecchini, ma non i calzini.</v>
      </c>
      <c r="G4903" s="6" t="str">
        <f>IFERROR(__xludf.DUMMYFUNCTION("GOOGLETRANSLATE(E4903,""fr"",""it"")"),"Mi piacciono gli orecchini, ma non le scarpe.")</f>
        <v>Mi piacciono gli orecchini, ma non le scarpe.</v>
      </c>
    </row>
    <row r="4904">
      <c r="A4904" s="4">
        <v>4902.0</v>
      </c>
      <c r="B4904" s="5" t="s">
        <v>14713</v>
      </c>
      <c r="C4904" s="4">
        <v>1.0</v>
      </c>
      <c r="D4904" s="5" t="s">
        <v>14714</v>
      </c>
      <c r="E4904" s="5" t="s">
        <v>14715</v>
      </c>
      <c r="F4904" s="6" t="str">
        <f>IFERROR(__xludf.DUMMYFUNCTION("GOOGLETRANSLATE(D4904,""en"",""it"")"),"Mi piacciono le gonne, ma non le scarpe.")</f>
        <v>Mi piacciono le gonne, ma non le scarpe.</v>
      </c>
      <c r="G4904" s="6" t="str">
        <f>IFERROR(__xludf.DUMMYFUNCTION("GOOGLETRANSLATE(E4904,""fr"",""it"")"),"Mi piacciono le gonne, ma non le scarpe.")</f>
        <v>Mi piacciono le gonne, ma non le scarpe.</v>
      </c>
    </row>
    <row r="4905">
      <c r="A4905" s="4">
        <v>4903.0</v>
      </c>
      <c r="B4905" s="5" t="s">
        <v>14716</v>
      </c>
      <c r="C4905" s="4">
        <v>1.0</v>
      </c>
      <c r="D4905" s="5" t="s">
        <v>14717</v>
      </c>
      <c r="E4905" s="5" t="s">
        <v>14718</v>
      </c>
      <c r="F4905" s="6" t="str">
        <f>IFERROR(__xludf.DUMMYFUNCTION("GOOGLETRANSLATE(D4905,""en"",""it"")"),"Mi piacciono le scarpe, ma non le gonne.")</f>
        <v>Mi piacciono le scarpe, ma non le gonne.</v>
      </c>
      <c r="G4905" s="6" t="str">
        <f>IFERROR(__xludf.DUMMYFUNCTION("GOOGLETRANSLATE(E4905,""fr"",""it"")"),"Amo le scarpe, ma non le gonne.")</f>
        <v>Amo le scarpe, ma non le gonne.</v>
      </c>
    </row>
    <row r="4906">
      <c r="A4906" s="4">
        <v>4904.0</v>
      </c>
      <c r="B4906" s="5" t="s">
        <v>14719</v>
      </c>
      <c r="C4906" s="4">
        <v>0.0</v>
      </c>
      <c r="D4906" s="5" t="s">
        <v>14720</v>
      </c>
      <c r="E4906" s="5" t="s">
        <v>14721</v>
      </c>
      <c r="F4906" s="6" t="str">
        <f>IFERROR(__xludf.DUMMYFUNCTION("GOOGLETRANSLATE(D4906,""en"",""it"")"),"Mi piacciono le gonne, ma non i vestiti.")</f>
        <v>Mi piacciono le gonne, ma non i vestiti.</v>
      </c>
      <c r="G4906" s="6" t="str">
        <f>IFERROR(__xludf.DUMMYFUNCTION("GOOGLETRANSLATE(E4906,""fr"",""it"")"),"Mi piacciono le gonne, ma non i vestiti.")</f>
        <v>Mi piacciono le gonne, ma non i vestiti.</v>
      </c>
    </row>
    <row r="4907">
      <c r="A4907" s="4">
        <v>4905.0</v>
      </c>
      <c r="B4907" s="5" t="s">
        <v>14722</v>
      </c>
      <c r="C4907" s="4">
        <v>1.0</v>
      </c>
      <c r="D4907" s="5" t="s">
        <v>14723</v>
      </c>
      <c r="E4907" s="5" t="s">
        <v>14724</v>
      </c>
      <c r="F4907" s="6" t="str">
        <f>IFERROR(__xludf.DUMMYFUNCTION("GOOGLETRANSLATE(D4907,""en"",""it"")"),"Mi piacciono i vestiti, ma non le gonne.")</f>
        <v>Mi piacciono i vestiti, ma non le gonne.</v>
      </c>
      <c r="G4907" s="6" t="str">
        <f>IFERROR(__xludf.DUMMYFUNCTION("GOOGLETRANSLATE(E4907,""fr"",""it"")"),"Mi piacciono i vestiti, ma non le gonne.")</f>
        <v>Mi piacciono i vestiti, ma non le gonne.</v>
      </c>
    </row>
    <row r="4908">
      <c r="A4908" s="4">
        <v>4906.0</v>
      </c>
      <c r="B4908" s="5" t="s">
        <v>14725</v>
      </c>
      <c r="C4908" s="4">
        <v>1.0</v>
      </c>
      <c r="D4908" s="5" t="s">
        <v>14726</v>
      </c>
      <c r="E4908" s="5" t="s">
        <v>14727</v>
      </c>
      <c r="F4908" s="6" t="str">
        <f>IFERROR(__xludf.DUMMYFUNCTION("GOOGLETRANSLATE(D4908,""en"",""it"")"),"Mi piacciono le gonne, ma non gioielli.")</f>
        <v>Mi piacciono le gonne, ma non gioielli.</v>
      </c>
      <c r="G4908" s="6" t="str">
        <f>IFERROR(__xludf.DUMMYFUNCTION("GOOGLETRANSLATE(E4908,""fr"",""it"")"),"Amo le gonne, ma non gioielli.")</f>
        <v>Amo le gonne, ma non gioielli.</v>
      </c>
    </row>
    <row r="4909">
      <c r="A4909" s="4">
        <v>4907.0</v>
      </c>
      <c r="B4909" s="5" t="s">
        <v>14728</v>
      </c>
      <c r="C4909" s="4">
        <v>1.0</v>
      </c>
      <c r="D4909" s="5" t="s">
        <v>14729</v>
      </c>
      <c r="E4909" s="5" t="s">
        <v>14730</v>
      </c>
      <c r="F4909" s="6" t="str">
        <f>IFERROR(__xludf.DUMMYFUNCTION("GOOGLETRANSLATE(D4909,""en"",""it"")"),"Mi piacciono i gioielli, ma non le gonne.")</f>
        <v>Mi piacciono i gioielli, ma non le gonne.</v>
      </c>
      <c r="G4909" s="6" t="str">
        <f>IFERROR(__xludf.DUMMYFUNCTION("GOOGLETRANSLATE(E4909,""fr"",""it"")"),"Mi piacciono i gioielli, ma non le gonne.")</f>
        <v>Mi piacciono i gioielli, ma non le gonne.</v>
      </c>
    </row>
    <row r="4910">
      <c r="A4910" s="4">
        <v>4908.0</v>
      </c>
      <c r="B4910" s="5" t="s">
        <v>14731</v>
      </c>
      <c r="C4910" s="4">
        <v>1.0</v>
      </c>
      <c r="D4910" s="5" t="s">
        <v>14732</v>
      </c>
      <c r="E4910" s="5" t="s">
        <v>14733</v>
      </c>
      <c r="F4910" s="6" t="str">
        <f>IFERROR(__xludf.DUMMYFUNCTION("GOOGLETRANSLATE(D4910,""en"",""it"")"),"Mi piacciono le gonne, ma non gli occhiali.")</f>
        <v>Mi piacciono le gonne, ma non gli occhiali.</v>
      </c>
      <c r="G4910" s="6" t="str">
        <f>IFERROR(__xludf.DUMMYFUNCTION("GOOGLETRANSLATE(E4910,""fr"",""it"")"),"Amo le gonne, ma non gli occhiali.")</f>
        <v>Amo le gonne, ma non gli occhiali.</v>
      </c>
    </row>
    <row r="4911">
      <c r="A4911" s="4">
        <v>4909.0</v>
      </c>
      <c r="B4911" s="5" t="s">
        <v>14734</v>
      </c>
      <c r="C4911" s="4">
        <v>1.0</v>
      </c>
      <c r="D4911" s="5" t="s">
        <v>14735</v>
      </c>
      <c r="E4911" s="5" t="s">
        <v>14736</v>
      </c>
      <c r="F4911" s="6" t="str">
        <f>IFERROR(__xludf.DUMMYFUNCTION("GOOGLETRANSLATE(D4911,""en"",""it"")"),"Mi piacciono gli occhiali, ma non le gonne.")</f>
        <v>Mi piacciono gli occhiali, ma non le gonne.</v>
      </c>
      <c r="G4911" s="6" t="str">
        <f>IFERROR(__xludf.DUMMYFUNCTION("GOOGLETRANSLATE(E4911,""fr"",""it"")"),"Amo gli occhiali, ma non le gonne.")</f>
        <v>Amo gli occhiali, ma non le gonne.</v>
      </c>
    </row>
    <row r="4912">
      <c r="A4912" s="4">
        <v>4910.0</v>
      </c>
      <c r="B4912" s="5" t="s">
        <v>14737</v>
      </c>
      <c r="C4912" s="4">
        <v>1.0</v>
      </c>
      <c r="D4912" s="5" t="s">
        <v>14738</v>
      </c>
      <c r="E4912" s="5" t="s">
        <v>14739</v>
      </c>
      <c r="F4912" s="6" t="str">
        <f>IFERROR(__xludf.DUMMYFUNCTION("GOOGLETRANSLATE(D4912,""en"",""it"")"),"Mi piacciono le gonne, ma non gli orecchini.")</f>
        <v>Mi piacciono le gonne, ma non gli orecchini.</v>
      </c>
      <c r="G4912" s="6" t="str">
        <f>IFERROR(__xludf.DUMMYFUNCTION("GOOGLETRANSLATE(E4912,""fr"",""it"")"),"Amo le gonne, ma non orecchini.")</f>
        <v>Amo le gonne, ma non orecchini.</v>
      </c>
    </row>
    <row r="4913">
      <c r="A4913" s="4">
        <v>4911.0</v>
      </c>
      <c r="B4913" s="5" t="s">
        <v>14740</v>
      </c>
      <c r="C4913" s="4">
        <v>1.0</v>
      </c>
      <c r="D4913" s="5" t="s">
        <v>14741</v>
      </c>
      <c r="E4913" s="5" t="s">
        <v>14742</v>
      </c>
      <c r="F4913" s="6" t="str">
        <f>IFERROR(__xludf.DUMMYFUNCTION("GOOGLETRANSLATE(D4913,""en"",""it"")"),"Mi piacciono gli orecchini, ma non le gonne.")</f>
        <v>Mi piacciono gli orecchini, ma non le gonne.</v>
      </c>
      <c r="G4913" s="6" t="str">
        <f>IFERROR(__xludf.DUMMYFUNCTION("GOOGLETRANSLATE(E4913,""fr"",""it"")"),"Mi piacciono gli orecchini, ma non le gonne.")</f>
        <v>Mi piacciono gli orecchini, ma non le gonne.</v>
      </c>
    </row>
    <row r="4914">
      <c r="A4914" s="4">
        <v>4912.0</v>
      </c>
      <c r="B4914" s="5" t="s">
        <v>14743</v>
      </c>
      <c r="C4914" s="4">
        <v>1.0</v>
      </c>
      <c r="D4914" s="5" t="s">
        <v>14744</v>
      </c>
      <c r="E4914" s="5" t="s">
        <v>14745</v>
      </c>
      <c r="F4914" s="6" t="str">
        <f>IFERROR(__xludf.DUMMYFUNCTION("GOOGLETRANSLATE(D4914,""en"",""it"")"),"Mi piacciono le querce, ma non erba.")</f>
        <v>Mi piacciono le querce, ma non erba.</v>
      </c>
      <c r="G4914" s="6" t="str">
        <f>IFERROR(__xludf.DUMMYFUNCTION("GOOGLETRANSLATE(E4914,""fr"",""it"")"),"Adoro le querce, ma non il prato.")</f>
        <v>Adoro le querce, ma non il prato.</v>
      </c>
    </row>
    <row r="4915">
      <c r="A4915" s="4">
        <v>4913.0</v>
      </c>
      <c r="B4915" s="5" t="s">
        <v>14746</v>
      </c>
      <c r="C4915" s="4">
        <v>1.0</v>
      </c>
      <c r="D4915" s="5" t="s">
        <v>14747</v>
      </c>
      <c r="E4915" s="5" t="s">
        <v>14748</v>
      </c>
      <c r="F4915" s="6" t="str">
        <f>IFERROR(__xludf.DUMMYFUNCTION("GOOGLETRANSLATE(D4915,""en"",""it"")"),"Mi piace l'erba, ma non le querce.")</f>
        <v>Mi piace l'erba, ma non le querce.</v>
      </c>
      <c r="G4915" s="6" t="str">
        <f>IFERROR(__xludf.DUMMYFUNCTION("GOOGLETRANSLATE(E4915,""fr"",""it"")"),"Adoro il prato, ma non le querce.")</f>
        <v>Adoro il prato, ma non le querce.</v>
      </c>
    </row>
    <row r="4916">
      <c r="A4916" s="4">
        <v>4914.0</v>
      </c>
      <c r="B4916" s="5" t="s">
        <v>14749</v>
      </c>
      <c r="C4916" s="4">
        <v>0.0</v>
      </c>
      <c r="D4916" s="5" t="s">
        <v>14750</v>
      </c>
      <c r="E4916" s="5" t="s">
        <v>14751</v>
      </c>
      <c r="F4916" s="6" t="str">
        <f>IFERROR(__xludf.DUMMYFUNCTION("GOOGLETRANSLATE(D4916,""en"",""it"")"),"Mi piacciono le querce, ma non gli alberi.")</f>
        <v>Mi piacciono le querce, ma non gli alberi.</v>
      </c>
      <c r="G4916" s="6" t="str">
        <f>IFERROR(__xludf.DUMMYFUNCTION("GOOGLETRANSLATE(E4916,""fr"",""it"")"),"Adoro le querce, ma non gli alberi.")</f>
        <v>Adoro le querce, ma non gli alberi.</v>
      </c>
    </row>
    <row r="4917">
      <c r="A4917" s="4">
        <v>4915.0</v>
      </c>
      <c r="B4917" s="5" t="s">
        <v>14752</v>
      </c>
      <c r="C4917" s="4">
        <v>1.0</v>
      </c>
      <c r="D4917" s="5" t="s">
        <v>14753</v>
      </c>
      <c r="E4917" s="5" t="s">
        <v>14754</v>
      </c>
      <c r="F4917" s="6" t="str">
        <f>IFERROR(__xludf.DUMMYFUNCTION("GOOGLETRANSLATE(D4917,""en"",""it"")"),"Mi piacciono gli alberi, ma non le querce.")</f>
        <v>Mi piacciono gli alberi, ma non le querce.</v>
      </c>
      <c r="G4917" s="6" t="str">
        <f>IFERROR(__xludf.DUMMYFUNCTION("GOOGLETRANSLATE(E4917,""fr"",""it"")"),"Amo gli alberi, ma non le querce.")</f>
        <v>Amo gli alberi, ma non le querce.</v>
      </c>
    </row>
    <row r="4918">
      <c r="A4918" s="4">
        <v>4916.0</v>
      </c>
      <c r="B4918" s="5" t="s">
        <v>14755</v>
      </c>
      <c r="C4918" s="4">
        <v>1.0</v>
      </c>
      <c r="D4918" s="5" t="s">
        <v>14756</v>
      </c>
      <c r="E4918" s="5" t="s">
        <v>14757</v>
      </c>
      <c r="F4918" s="6" t="str">
        <f>IFERROR(__xludf.DUMMYFUNCTION("GOOGLETRANSLATE(D4918,""en"",""it"")"),"Mi piacciono gli alberi, ma non l'erba.")</f>
        <v>Mi piacciono gli alberi, ma non l'erba.</v>
      </c>
      <c r="G4918" s="6" t="str">
        <f>IFERROR(__xludf.DUMMYFUNCTION("GOOGLETRANSLATE(E4918,""fr"",""it"")"),"Amo gli alberi, ma non il prato.")</f>
        <v>Amo gli alberi, ma non il prato.</v>
      </c>
    </row>
    <row r="4919">
      <c r="A4919" s="4">
        <v>4917.0</v>
      </c>
      <c r="B4919" s="5" t="s">
        <v>14758</v>
      </c>
      <c r="C4919" s="4">
        <v>1.0</v>
      </c>
      <c r="D4919" s="5" t="s">
        <v>14759</v>
      </c>
      <c r="E4919" s="5" t="s">
        <v>14760</v>
      </c>
      <c r="F4919" s="6" t="str">
        <f>IFERROR(__xludf.DUMMYFUNCTION("GOOGLETRANSLATE(D4919,""en"",""it"")"),"Mi piacciono le querce, ma non gli animali.")</f>
        <v>Mi piacciono le querce, ma non gli animali.</v>
      </c>
      <c r="G4919" s="6" t="str">
        <f>IFERROR(__xludf.DUMMYFUNCTION("GOOGLETRANSLATE(E4919,""fr"",""it"")"),"Adoro le querce, ma non gli animali.")</f>
        <v>Adoro le querce, ma non gli animali.</v>
      </c>
    </row>
    <row r="4920">
      <c r="A4920" s="4">
        <v>4918.0</v>
      </c>
      <c r="B4920" s="5" t="s">
        <v>14761</v>
      </c>
      <c r="C4920" s="4">
        <v>1.0</v>
      </c>
      <c r="D4920" s="5" t="s">
        <v>14762</v>
      </c>
      <c r="E4920" s="5" t="s">
        <v>14763</v>
      </c>
      <c r="F4920" s="6" t="str">
        <f>IFERROR(__xludf.DUMMYFUNCTION("GOOGLETRANSLATE(D4920,""en"",""it"")"),"Mi piacciono gli animali, ma non le querce.")</f>
        <v>Mi piacciono gli animali, ma non le querce.</v>
      </c>
      <c r="G4920" s="6" t="str">
        <f>IFERROR(__xludf.DUMMYFUNCTION("GOOGLETRANSLATE(E4920,""fr"",""it"")"),"Amo gli animali, ma non le querce.")</f>
        <v>Amo gli animali, ma non le querce.</v>
      </c>
    </row>
    <row r="4921">
      <c r="A4921" s="4">
        <v>4919.0</v>
      </c>
      <c r="B4921" s="5" t="s">
        <v>14764</v>
      </c>
      <c r="C4921" s="4">
        <v>1.0</v>
      </c>
      <c r="D4921" s="5" t="s">
        <v>14765</v>
      </c>
      <c r="E4921" s="5" t="s">
        <v>14766</v>
      </c>
      <c r="F4921" s="6" t="str">
        <f>IFERROR(__xludf.DUMMYFUNCTION("GOOGLETRANSLATE(D4921,""en"",""it"")"),"Mi piacciono gli alberi, ma non gli animali.")</f>
        <v>Mi piacciono gli alberi, ma non gli animali.</v>
      </c>
      <c r="G4921" s="6" t="str">
        <f>IFERROR(__xludf.DUMMYFUNCTION("GOOGLETRANSLATE(E4921,""fr"",""it"")"),"Amo gli alberi, ma non gli animali.")</f>
        <v>Amo gli alberi, ma non gli animali.</v>
      </c>
    </row>
    <row r="4922">
      <c r="A4922" s="4">
        <v>4920.0</v>
      </c>
      <c r="B4922" s="5" t="s">
        <v>14767</v>
      </c>
      <c r="C4922" s="4">
        <v>1.0</v>
      </c>
      <c r="D4922" s="5" t="s">
        <v>14768</v>
      </c>
      <c r="E4922" s="5" t="s">
        <v>14769</v>
      </c>
      <c r="F4922" s="6" t="str">
        <f>IFERROR(__xludf.DUMMYFUNCTION("GOOGLETRANSLATE(D4922,""en"",""it"")"),"Mi piacciono le querce, ma non cespugli.")</f>
        <v>Mi piacciono le querce, ma non cespugli.</v>
      </c>
      <c r="G4922" s="6" t="str">
        <f>IFERROR(__xludf.DUMMYFUNCTION("GOOGLETRANSLATE(E4922,""fr"",""it"")"),"Adoro le querce, ma non i cespugli.")</f>
        <v>Adoro le querce, ma non i cespugli.</v>
      </c>
    </row>
    <row r="4923">
      <c r="A4923" s="4">
        <v>4921.0</v>
      </c>
      <c r="B4923" s="5" t="s">
        <v>14770</v>
      </c>
      <c r="C4923" s="4">
        <v>1.0</v>
      </c>
      <c r="D4923" s="5" t="s">
        <v>14771</v>
      </c>
      <c r="E4923" s="5" t="s">
        <v>14772</v>
      </c>
      <c r="F4923" s="6" t="str">
        <f>IFERROR(__xludf.DUMMYFUNCTION("GOOGLETRANSLATE(D4923,""en"",""it"")"),"Mi piacciono i cespugli, ma non le querce.")</f>
        <v>Mi piacciono i cespugli, ma non le querce.</v>
      </c>
      <c r="G4923" s="6" t="str">
        <f>IFERROR(__xludf.DUMMYFUNCTION("GOOGLETRANSLATE(E4923,""fr"",""it"")"),"Amo i cespugli, ma non le querce.")</f>
        <v>Amo i cespugli, ma non le querce.</v>
      </c>
    </row>
    <row r="4924">
      <c r="A4924" s="4">
        <v>4922.0</v>
      </c>
      <c r="B4924" s="5" t="s">
        <v>14773</v>
      </c>
      <c r="C4924" s="4">
        <v>1.0</v>
      </c>
      <c r="D4924" s="5" t="s">
        <v>14774</v>
      </c>
      <c r="E4924" s="5" t="s">
        <v>14775</v>
      </c>
      <c r="F4924" s="6" t="str">
        <f>IFERROR(__xludf.DUMMYFUNCTION("GOOGLETRANSLATE(D4924,""en"",""it"")"),"Mi piacciono gli alberi, ma non i cespugli.")</f>
        <v>Mi piacciono gli alberi, ma non i cespugli.</v>
      </c>
      <c r="G4924" s="6" t="str">
        <f>IFERROR(__xludf.DUMMYFUNCTION("GOOGLETRANSLATE(E4924,""fr"",""it"")"),"Amo gli alberi, ma non i cespugli.")</f>
        <v>Amo gli alberi, ma non i cespugli.</v>
      </c>
    </row>
    <row r="4925">
      <c r="A4925" s="4">
        <v>4923.0</v>
      </c>
      <c r="B4925" s="5" t="s">
        <v>14776</v>
      </c>
      <c r="C4925" s="4">
        <v>1.0</v>
      </c>
      <c r="D4925" s="5" t="s">
        <v>14777</v>
      </c>
      <c r="E4925" s="5" t="s">
        <v>14778</v>
      </c>
      <c r="F4925" s="6" t="str">
        <f>IFERROR(__xludf.DUMMYFUNCTION("GOOGLETRANSLATE(D4925,""en"",""it"")"),"Mi piacciono le querce, ma non gli arbusti.")</f>
        <v>Mi piacciono le querce, ma non gli arbusti.</v>
      </c>
      <c r="G4925" s="6" t="str">
        <f>IFERROR(__xludf.DUMMYFUNCTION("GOOGLETRANSLATE(E4925,""fr"",""it"")"),"Amo le querce, ma non gli arbusti.")</f>
        <v>Amo le querce, ma non gli arbusti.</v>
      </c>
    </row>
    <row r="4926">
      <c r="A4926" s="4">
        <v>4924.0</v>
      </c>
      <c r="B4926" s="5" t="s">
        <v>14779</v>
      </c>
      <c r="C4926" s="4">
        <v>1.0</v>
      </c>
      <c r="D4926" s="5" t="s">
        <v>14780</v>
      </c>
      <c r="E4926" s="5" t="s">
        <v>14781</v>
      </c>
      <c r="F4926" s="6" t="str">
        <f>IFERROR(__xludf.DUMMYFUNCTION("GOOGLETRANSLATE(D4926,""en"",""it"")"),"Mi piacciono gli arbusti, ma non le querce.")</f>
        <v>Mi piacciono gli arbusti, ma non le querce.</v>
      </c>
      <c r="G4926" s="6" t="str">
        <f>IFERROR(__xludf.DUMMYFUNCTION("GOOGLETRANSLATE(E4926,""fr"",""it"")"),"Amo gli arbusti, ma non le querce.")</f>
        <v>Amo gli arbusti, ma non le querce.</v>
      </c>
    </row>
    <row r="4927">
      <c r="A4927" s="4">
        <v>4925.0</v>
      </c>
      <c r="B4927" s="5" t="s">
        <v>14782</v>
      </c>
      <c r="C4927" s="4">
        <v>0.0</v>
      </c>
      <c r="D4927" s="5" t="s">
        <v>14783</v>
      </c>
      <c r="E4927" s="5" t="s">
        <v>14784</v>
      </c>
      <c r="F4927" s="6" t="str">
        <f>IFERROR(__xludf.DUMMYFUNCTION("GOOGLETRANSLATE(D4927,""en"",""it"")"),"Mi piace Harley-Davidson, tranne le navi.")</f>
        <v>Mi piace Harley-Davidson, tranne le navi.</v>
      </c>
      <c r="G4927" s="6" t="str">
        <f>IFERROR(__xludf.DUMMYFUNCTION("GOOGLETRANSLATE(E4927,""fr"",""it"")"),"Mi piace l'Harley-Davidson, tranne le navi.")</f>
        <v>Mi piace l'Harley-Davidson, tranne le navi.</v>
      </c>
    </row>
    <row r="4928">
      <c r="A4928" s="4">
        <v>4926.0</v>
      </c>
      <c r="B4928" s="5" t="s">
        <v>14785</v>
      </c>
      <c r="C4928" s="4">
        <v>1.0</v>
      </c>
      <c r="D4928" s="5" t="s">
        <v>14786</v>
      </c>
      <c r="E4928" s="5" t="s">
        <v>14787</v>
      </c>
      <c r="F4928" s="6" t="str">
        <f>IFERROR(__xludf.DUMMYFUNCTION("GOOGLETRANSLATE(D4928,""en"",""it"")"),"Mi piacciono gli alberi, ma non gli arbusti.")</f>
        <v>Mi piacciono gli alberi, ma non gli arbusti.</v>
      </c>
      <c r="G4928" s="6" t="str">
        <f>IFERROR(__xludf.DUMMYFUNCTION("GOOGLETRANSLATE(E4928,""fr"",""it"")"),"Amo gli alberi, ma non gli arbusti.")</f>
        <v>Amo gli alberi, ma non gli arbusti.</v>
      </c>
    </row>
    <row r="4929">
      <c r="A4929" s="4">
        <v>4927.0</v>
      </c>
      <c r="B4929" s="5" t="s">
        <v>14788</v>
      </c>
      <c r="C4929" s="4">
        <v>1.0</v>
      </c>
      <c r="D4929" s="5" t="s">
        <v>14789</v>
      </c>
      <c r="E4929" s="5" t="s">
        <v>14790</v>
      </c>
      <c r="F4929" s="6" t="str">
        <f>IFERROR(__xludf.DUMMYFUNCTION("GOOGLETRANSLATE(D4929,""en"",""it"")"),"Mi piacciono le betulle, ma non l'erba.")</f>
        <v>Mi piacciono le betulle, ma non l'erba.</v>
      </c>
      <c r="G4929" s="6" t="str">
        <f>IFERROR(__xludf.DUMMYFUNCTION("GOOGLETRANSLATE(E4929,""fr"",""it"")"),"Amo la betulla, ma non il prato.")</f>
        <v>Amo la betulla, ma non il prato.</v>
      </c>
    </row>
    <row r="4930">
      <c r="A4930" s="4">
        <v>4928.0</v>
      </c>
      <c r="B4930" s="5" t="s">
        <v>14791</v>
      </c>
      <c r="C4930" s="4">
        <v>1.0</v>
      </c>
      <c r="D4930" s="5" t="s">
        <v>14792</v>
      </c>
      <c r="E4930" s="5" t="s">
        <v>14793</v>
      </c>
      <c r="F4930" s="6" t="str">
        <f>IFERROR(__xludf.DUMMYFUNCTION("GOOGLETRANSLATE(D4930,""en"",""it"")"),"Mi piace l'erba, ma non le betulle.")</f>
        <v>Mi piace l'erba, ma non le betulle.</v>
      </c>
      <c r="G4930" s="6" t="str">
        <f>IFERROR(__xludf.DUMMYFUNCTION("GOOGLETRANSLATE(E4930,""fr"",""it"")"),"Adoro il prato, ma non la betulla.")</f>
        <v>Adoro il prato, ma non la betulla.</v>
      </c>
    </row>
    <row r="4931">
      <c r="A4931" s="4">
        <v>4929.0</v>
      </c>
      <c r="B4931" s="5" t="s">
        <v>14794</v>
      </c>
      <c r="C4931" s="4">
        <v>0.0</v>
      </c>
      <c r="D4931" s="5" t="s">
        <v>14795</v>
      </c>
      <c r="E4931" s="5" t="s">
        <v>14796</v>
      </c>
      <c r="F4931" s="6" t="str">
        <f>IFERROR(__xludf.DUMMYFUNCTION("GOOGLETRANSLATE(D4931,""en"",""it"")"),"Mi piacciono le betulle, ma non gli alberi.")</f>
        <v>Mi piacciono le betulle, ma non gli alberi.</v>
      </c>
      <c r="G4931" s="6" t="str">
        <f>IFERROR(__xludf.DUMMYFUNCTION("GOOGLETRANSLATE(E4931,""fr"",""it"")"),"Amo la betulla, ma non gli alberi.")</f>
        <v>Amo la betulla, ma non gli alberi.</v>
      </c>
    </row>
    <row r="4932">
      <c r="A4932" s="4">
        <v>4930.0</v>
      </c>
      <c r="B4932" s="5" t="s">
        <v>14797</v>
      </c>
      <c r="C4932" s="4">
        <v>1.0</v>
      </c>
      <c r="D4932" s="5" t="s">
        <v>14798</v>
      </c>
      <c r="E4932" s="5" t="s">
        <v>14799</v>
      </c>
      <c r="F4932" s="6" t="str">
        <f>IFERROR(__xludf.DUMMYFUNCTION("GOOGLETRANSLATE(D4932,""en"",""it"")"),"Mi piacciono gli alberi, ma non le betulle.")</f>
        <v>Mi piacciono gli alberi, ma non le betulle.</v>
      </c>
      <c r="G4932" s="6" t="str">
        <f>IFERROR(__xludf.DUMMYFUNCTION("GOOGLETRANSLATE(E4932,""fr"",""it"")"),"Amo gli alberi, ma non la betulla.")</f>
        <v>Amo gli alberi, ma non la betulla.</v>
      </c>
    </row>
    <row r="4933">
      <c r="A4933" s="4">
        <v>4931.0</v>
      </c>
      <c r="B4933" s="5" t="s">
        <v>14800</v>
      </c>
      <c r="C4933" s="4">
        <v>1.0</v>
      </c>
      <c r="D4933" s="5" t="s">
        <v>14801</v>
      </c>
      <c r="E4933" s="5" t="s">
        <v>14802</v>
      </c>
      <c r="F4933" s="6" t="str">
        <f>IFERROR(__xludf.DUMMYFUNCTION("GOOGLETRANSLATE(D4933,""en"",""it"")"),"Mi piacciono le betulle, ma non gli animali.")</f>
        <v>Mi piacciono le betulle, ma non gli animali.</v>
      </c>
      <c r="G4933" s="6" t="str">
        <f>IFERROR(__xludf.DUMMYFUNCTION("GOOGLETRANSLATE(E4933,""fr"",""it"")"),"Amo la betulla, ma non gli animali.")</f>
        <v>Amo la betulla, ma non gli animali.</v>
      </c>
    </row>
    <row r="4934">
      <c r="A4934" s="4">
        <v>4932.0</v>
      </c>
      <c r="B4934" s="5" t="s">
        <v>14803</v>
      </c>
      <c r="C4934" s="4">
        <v>1.0</v>
      </c>
      <c r="D4934" s="5" t="s">
        <v>14804</v>
      </c>
      <c r="E4934" s="5" t="s">
        <v>14805</v>
      </c>
      <c r="F4934" s="6" t="str">
        <f>IFERROR(__xludf.DUMMYFUNCTION("GOOGLETRANSLATE(D4934,""en"",""it"")"),"Mi piacciono gli animali, ma non le betulle.")</f>
        <v>Mi piacciono gli animali, ma non le betulle.</v>
      </c>
      <c r="G4934" s="6" t="str">
        <f>IFERROR(__xludf.DUMMYFUNCTION("GOOGLETRANSLATE(E4934,""fr"",""it"")"),"Amo gli animali, ma non la betulla.")</f>
        <v>Amo gli animali, ma non la betulla.</v>
      </c>
    </row>
    <row r="4935">
      <c r="A4935" s="4">
        <v>4933.0</v>
      </c>
      <c r="B4935" s="5" t="s">
        <v>14806</v>
      </c>
      <c r="C4935" s="4">
        <v>0.0</v>
      </c>
      <c r="D4935" s="5" t="s">
        <v>14807</v>
      </c>
      <c r="E4935" s="5" t="s">
        <v>14808</v>
      </c>
      <c r="F4935" s="6" t="str">
        <f>IFERROR(__xludf.DUMMYFUNCTION("GOOGLETRANSLATE(D4935,""en"",""it"")"),"Mi piacciono le navi, tranne Harley-Davidson.")</f>
        <v>Mi piacciono le navi, tranne Harley-Davidson.</v>
      </c>
      <c r="G4935" s="6" t="str">
        <f>IFERROR(__xludf.DUMMYFUNCTION("GOOGLETRANSLATE(E4935,""fr"",""it"")"),"Mi piacciono le navi, tranne l'Harley-Davidson.")</f>
        <v>Mi piacciono le navi, tranne l'Harley-Davidson.</v>
      </c>
    </row>
    <row r="4936">
      <c r="A4936" s="4">
        <v>4934.0</v>
      </c>
      <c r="B4936" s="5" t="s">
        <v>14809</v>
      </c>
      <c r="C4936" s="4">
        <v>1.0</v>
      </c>
      <c r="D4936" s="5" t="s">
        <v>14810</v>
      </c>
      <c r="E4936" s="5" t="s">
        <v>14811</v>
      </c>
      <c r="F4936" s="6" t="str">
        <f>IFERROR(__xludf.DUMMYFUNCTION("GOOGLETRANSLATE(D4936,""en"",""it"")"),"Mi piacciono le betulle, ma non cespugli.")</f>
        <v>Mi piacciono le betulle, ma non cespugli.</v>
      </c>
      <c r="G4936" s="6" t="str">
        <f>IFERROR(__xludf.DUMMYFUNCTION("GOOGLETRANSLATE(E4936,""fr"",""it"")"),"Amo la betulla, ma non i cespugli.")</f>
        <v>Amo la betulla, ma non i cespugli.</v>
      </c>
    </row>
    <row r="4937">
      <c r="A4937" s="4">
        <v>4935.0</v>
      </c>
      <c r="B4937" s="5" t="s">
        <v>14812</v>
      </c>
      <c r="C4937" s="4">
        <v>1.0</v>
      </c>
      <c r="D4937" s="5" t="s">
        <v>14813</v>
      </c>
      <c r="E4937" s="5" t="s">
        <v>14814</v>
      </c>
      <c r="F4937" s="6" t="str">
        <f>IFERROR(__xludf.DUMMYFUNCTION("GOOGLETRANSLATE(D4937,""en"",""it"")"),"Mi piacciono i cespugli, ma non le betulle.")</f>
        <v>Mi piacciono i cespugli, ma non le betulle.</v>
      </c>
      <c r="G4937" s="6" t="str">
        <f>IFERROR(__xludf.DUMMYFUNCTION("GOOGLETRANSLATE(E4937,""fr"",""it"")"),"Amo i cespugli, ma non la betulla.")</f>
        <v>Amo i cespugli, ma non la betulla.</v>
      </c>
    </row>
    <row r="4938">
      <c r="A4938" s="4">
        <v>4936.0</v>
      </c>
      <c r="B4938" s="5" t="s">
        <v>14815</v>
      </c>
      <c r="C4938" s="4">
        <v>1.0</v>
      </c>
      <c r="D4938" s="5" t="s">
        <v>14816</v>
      </c>
      <c r="E4938" s="5" t="s">
        <v>14817</v>
      </c>
      <c r="F4938" s="6" t="str">
        <f>IFERROR(__xludf.DUMMYFUNCTION("GOOGLETRANSLATE(D4938,""en"",""it"")"),"Mi piacciono le betulle, ma non gli arbusti.")</f>
        <v>Mi piacciono le betulle, ma non gli arbusti.</v>
      </c>
      <c r="G4938" s="6" t="str">
        <f>IFERROR(__xludf.DUMMYFUNCTION("GOOGLETRANSLATE(E4938,""fr"",""it"")"),"Amo la betulla, ma non gli arbusti.")</f>
        <v>Amo la betulla, ma non gli arbusti.</v>
      </c>
    </row>
    <row r="4939">
      <c r="A4939" s="4">
        <v>4937.0</v>
      </c>
      <c r="B4939" s="5" t="s">
        <v>14818</v>
      </c>
      <c r="C4939" s="4">
        <v>1.0</v>
      </c>
      <c r="D4939" s="5" t="s">
        <v>14819</v>
      </c>
      <c r="E4939" s="5" t="s">
        <v>14820</v>
      </c>
      <c r="F4939" s="6" t="str">
        <f>IFERROR(__xludf.DUMMYFUNCTION("GOOGLETRANSLATE(D4939,""en"",""it"")"),"Mi piacciono gli arbusti, ma non le betulle.")</f>
        <v>Mi piacciono gli arbusti, ma non le betulle.</v>
      </c>
      <c r="G4939" s="6" t="str">
        <f>IFERROR(__xludf.DUMMYFUNCTION("GOOGLETRANSLATE(E4939,""fr"",""it"")"),"Amo gli arbusti, ma non la betulla.")</f>
        <v>Amo gli arbusti, ma non la betulla.</v>
      </c>
    </row>
    <row r="4940">
      <c r="A4940" s="4">
        <v>4938.0</v>
      </c>
      <c r="B4940" s="5" t="s">
        <v>14821</v>
      </c>
      <c r="C4940" s="4">
        <v>0.0</v>
      </c>
      <c r="D4940" s="5" t="s">
        <v>14822</v>
      </c>
      <c r="E4940" s="5" t="s">
        <v>14823</v>
      </c>
      <c r="F4940" s="6" t="str">
        <f>IFERROR(__xludf.DUMMYFUNCTION("GOOGLETRANSLATE(D4940,""en"",""it"")"),"Mi piace Harley-Davidson, tranne i motocicli.")</f>
        <v>Mi piace Harley-Davidson, tranne i motocicli.</v>
      </c>
      <c r="G4940" s="6" t="str">
        <f>IFERROR(__xludf.DUMMYFUNCTION("GOOGLETRANSLATE(E4940,""fr"",""it"")"),"Mi piace l'Harley-Davidson, tranne i motocicli.")</f>
        <v>Mi piace l'Harley-Davidson, tranne i motocicli.</v>
      </c>
    </row>
    <row r="4941">
      <c r="A4941" s="4">
        <v>4939.0</v>
      </c>
      <c r="B4941" s="5" t="s">
        <v>14824</v>
      </c>
      <c r="C4941" s="4">
        <v>1.0</v>
      </c>
      <c r="D4941" s="5" t="s">
        <v>14825</v>
      </c>
      <c r="E4941" s="5" t="s">
        <v>14826</v>
      </c>
      <c r="F4941" s="6" t="str">
        <f>IFERROR(__xludf.DUMMYFUNCTION("GOOGLETRANSLATE(D4941,""en"",""it"")"),"Mi piacciono gli abeti, ma non l'erba.")</f>
        <v>Mi piacciono gli abeti, ma non l'erba.</v>
      </c>
      <c r="G4941" s="6" t="str">
        <f>IFERROR(__xludf.DUMMYFUNCTION("GOOGLETRANSLATE(E4941,""fr"",""it"")"),"Adoro gli abeti, ma non il prato.")</f>
        <v>Adoro gli abeti, ma non il prato.</v>
      </c>
    </row>
    <row r="4942">
      <c r="A4942" s="4">
        <v>4940.0</v>
      </c>
      <c r="B4942" s="5" t="s">
        <v>14827</v>
      </c>
      <c r="C4942" s="4">
        <v>1.0</v>
      </c>
      <c r="D4942" s="5" t="s">
        <v>14828</v>
      </c>
      <c r="E4942" s="5" t="s">
        <v>14829</v>
      </c>
      <c r="F4942" s="6" t="str">
        <f>IFERROR(__xludf.DUMMYFUNCTION("GOOGLETRANSLATE(D4942,""en"",""it"")"),"Mi piace l'erba, ma non gli abeti.")</f>
        <v>Mi piace l'erba, ma non gli abeti.</v>
      </c>
      <c r="G4942" s="6" t="str">
        <f>IFERROR(__xludf.DUMMYFUNCTION("GOOGLETRANSLATE(E4942,""fr"",""it"")"),"Adoro il prato, ma non gli abeti.")</f>
        <v>Adoro il prato, ma non gli abeti.</v>
      </c>
    </row>
    <row r="4943">
      <c r="A4943" s="4">
        <v>4941.0</v>
      </c>
      <c r="B4943" s="5" t="s">
        <v>14830</v>
      </c>
      <c r="C4943" s="4">
        <v>0.0</v>
      </c>
      <c r="D4943" s="5" t="s">
        <v>14831</v>
      </c>
      <c r="E4943" s="5" t="s">
        <v>14832</v>
      </c>
      <c r="F4943" s="6" t="str">
        <f>IFERROR(__xludf.DUMMYFUNCTION("GOOGLETRANSLATE(D4943,""en"",""it"")"),"Mi piacciono gli abeti, ma non gli alberi.")</f>
        <v>Mi piacciono gli abeti, ma non gli alberi.</v>
      </c>
      <c r="G4943" s="6" t="str">
        <f>IFERROR(__xludf.DUMMYFUNCTION("GOOGLETRANSLATE(E4943,""fr"",""it"")"),"Adoro gli abeti, ma non gli alberi.")</f>
        <v>Adoro gli abeti, ma non gli alberi.</v>
      </c>
    </row>
    <row r="4944">
      <c r="A4944" s="4">
        <v>4942.0</v>
      </c>
      <c r="B4944" s="5" t="s">
        <v>14833</v>
      </c>
      <c r="C4944" s="4">
        <v>1.0</v>
      </c>
      <c r="D4944" s="5" t="s">
        <v>14834</v>
      </c>
      <c r="E4944" s="5" t="s">
        <v>14835</v>
      </c>
      <c r="F4944" s="6" t="str">
        <f>IFERROR(__xludf.DUMMYFUNCTION("GOOGLETRANSLATE(D4944,""en"",""it"")"),"Mi piacciono gli alberi, ma non gli abeti.")</f>
        <v>Mi piacciono gli alberi, ma non gli abeti.</v>
      </c>
      <c r="G4944" s="6" t="str">
        <f>IFERROR(__xludf.DUMMYFUNCTION("GOOGLETRANSLATE(E4944,""fr"",""it"")"),"Amo gli alberi, ma non gli abeti.")</f>
        <v>Amo gli alberi, ma non gli abeti.</v>
      </c>
    </row>
    <row r="4945">
      <c r="A4945" s="4">
        <v>4943.0</v>
      </c>
      <c r="B4945" s="5" t="s">
        <v>14836</v>
      </c>
      <c r="C4945" s="4">
        <v>1.0</v>
      </c>
      <c r="D4945" s="5" t="s">
        <v>14837</v>
      </c>
      <c r="E4945" s="5" t="s">
        <v>14838</v>
      </c>
      <c r="F4945" s="6" t="str">
        <f>IFERROR(__xludf.DUMMYFUNCTION("GOOGLETRANSLATE(D4945,""en"",""it"")"),"Mi piacciono gli abeti, ma non gli animali.")</f>
        <v>Mi piacciono gli abeti, ma non gli animali.</v>
      </c>
      <c r="G4945" s="6" t="str">
        <f>IFERROR(__xludf.DUMMYFUNCTION("GOOGLETRANSLATE(E4945,""fr"",""it"")"),"Amo l'abete, ma non gli animali.")</f>
        <v>Amo l'abete, ma non gli animali.</v>
      </c>
    </row>
    <row r="4946">
      <c r="A4946" s="4">
        <v>4944.0</v>
      </c>
      <c r="B4946" s="5" t="s">
        <v>14839</v>
      </c>
      <c r="C4946" s="4">
        <v>1.0</v>
      </c>
      <c r="D4946" s="5" t="s">
        <v>14840</v>
      </c>
      <c r="E4946" s="5" t="s">
        <v>14841</v>
      </c>
      <c r="F4946" s="6" t="str">
        <f>IFERROR(__xludf.DUMMYFUNCTION("GOOGLETRANSLATE(D4946,""en"",""it"")"),"Mi piacciono gli animali, ma non gli abeti.")</f>
        <v>Mi piacciono gli animali, ma non gli abeti.</v>
      </c>
      <c r="G4946" s="6" t="str">
        <f>IFERROR(__xludf.DUMMYFUNCTION("GOOGLETRANSLATE(E4946,""fr"",""it"")"),"Amo gli animali, ma non gli abeti.")</f>
        <v>Amo gli animali, ma non gli abeti.</v>
      </c>
    </row>
    <row r="4947">
      <c r="A4947" s="4">
        <v>4945.0</v>
      </c>
      <c r="B4947" s="5" t="s">
        <v>14842</v>
      </c>
      <c r="C4947" s="4">
        <v>1.0</v>
      </c>
      <c r="D4947" s="5" t="s">
        <v>14843</v>
      </c>
      <c r="E4947" s="5" t="s">
        <v>14844</v>
      </c>
      <c r="F4947" s="6" t="str">
        <f>IFERROR(__xludf.DUMMYFUNCTION("GOOGLETRANSLATE(D4947,""en"",""it"")"),"Mi piacciono le motociclette, eccetto Harley-Davidson.")</f>
        <v>Mi piacciono le motociclette, eccetto Harley-Davidson.</v>
      </c>
      <c r="G4947" s="6" t="str">
        <f>IFERROR(__xludf.DUMMYFUNCTION("GOOGLETRANSLATE(E4947,""fr"",""it"")"),"Adoro le motociclette tranne l'Harley-Davidson.")</f>
        <v>Adoro le motociclette tranne l'Harley-Davidson.</v>
      </c>
    </row>
    <row r="4948">
      <c r="A4948" s="4">
        <v>4946.0</v>
      </c>
      <c r="B4948" s="5" t="s">
        <v>14845</v>
      </c>
      <c r="C4948" s="4">
        <v>1.0</v>
      </c>
      <c r="D4948" s="5" t="s">
        <v>14846</v>
      </c>
      <c r="E4948" s="5" t="s">
        <v>14847</v>
      </c>
      <c r="F4948" s="6" t="str">
        <f>IFERROR(__xludf.DUMMYFUNCTION("GOOGLETRANSLATE(D4948,""en"",""it"")"),"Mi piacciono gli abeti, ma non i cespugli.")</f>
        <v>Mi piacciono gli abeti, ma non i cespugli.</v>
      </c>
      <c r="G4948" s="6" t="str">
        <f>IFERROR(__xludf.DUMMYFUNCTION("GOOGLETRANSLATE(E4948,""fr"",""it"")"),"Adoro gli abeti, ma non i cespugli.")</f>
        <v>Adoro gli abeti, ma non i cespugli.</v>
      </c>
    </row>
    <row r="4949">
      <c r="A4949" s="4">
        <v>4947.0</v>
      </c>
      <c r="B4949" s="5" t="s">
        <v>14848</v>
      </c>
      <c r="C4949" s="4">
        <v>1.0</v>
      </c>
      <c r="D4949" s="5" t="s">
        <v>14849</v>
      </c>
      <c r="E4949" s="5" t="s">
        <v>14850</v>
      </c>
      <c r="F4949" s="6" t="str">
        <f>IFERROR(__xludf.DUMMYFUNCTION("GOOGLETRANSLATE(D4949,""en"",""it"")"),"Mi piacciono i cespugli, ma non gli abeti.")</f>
        <v>Mi piacciono i cespugli, ma non gli abeti.</v>
      </c>
      <c r="G4949" s="6" t="str">
        <f>IFERROR(__xludf.DUMMYFUNCTION("GOOGLETRANSLATE(E4949,""fr"",""it"")"),"Amo i cespugli, ma non gli abeti.")</f>
        <v>Amo i cespugli, ma non gli abeti.</v>
      </c>
    </row>
    <row r="4950">
      <c r="A4950" s="4">
        <v>4948.0</v>
      </c>
      <c r="B4950" s="5" t="s">
        <v>14851</v>
      </c>
      <c r="C4950" s="4">
        <v>1.0</v>
      </c>
      <c r="D4950" s="5" t="s">
        <v>14852</v>
      </c>
      <c r="E4950" s="5" t="s">
        <v>14853</v>
      </c>
      <c r="F4950" s="6" t="str">
        <f>IFERROR(__xludf.DUMMYFUNCTION("GOOGLETRANSLATE(D4950,""en"",""it"")"),"Mi piacciono gli abeti, ma non gli arbusti.")</f>
        <v>Mi piacciono gli abeti, ma non gli arbusti.</v>
      </c>
      <c r="G4950" s="6" t="str">
        <f>IFERROR(__xludf.DUMMYFUNCTION("GOOGLETRANSLATE(E4950,""fr"",""it"")"),"Amo gli abeti, ma non gli arbusti.")</f>
        <v>Amo gli abeti, ma non gli arbusti.</v>
      </c>
    </row>
    <row r="4951">
      <c r="A4951" s="4">
        <v>4949.0</v>
      </c>
      <c r="B4951" s="5" t="s">
        <v>14854</v>
      </c>
      <c r="C4951" s="4">
        <v>1.0</v>
      </c>
      <c r="D4951" s="5" t="s">
        <v>14855</v>
      </c>
      <c r="E4951" s="5" t="s">
        <v>14856</v>
      </c>
      <c r="F4951" s="6" t="str">
        <f>IFERROR(__xludf.DUMMYFUNCTION("GOOGLETRANSLATE(D4951,""en"",""it"")"),"Mi piacciono gli arbusti, ma non gli abeti.")</f>
        <v>Mi piacciono gli arbusti, ma non gli abeti.</v>
      </c>
      <c r="G4951" s="6" t="str">
        <f>IFERROR(__xludf.DUMMYFUNCTION("GOOGLETRANSLATE(E4951,""fr"",""it"")"),"Amo gli arbusti, ma non gli abeti.")</f>
        <v>Amo gli arbusti, ma non gli abeti.</v>
      </c>
    </row>
    <row r="4952">
      <c r="A4952" s="4">
        <v>4950.0</v>
      </c>
      <c r="B4952" s="5" t="s">
        <v>14857</v>
      </c>
      <c r="C4952" s="4">
        <v>1.0</v>
      </c>
      <c r="D4952" s="5" t="s">
        <v>14858</v>
      </c>
      <c r="E4952" s="5" t="s">
        <v>14859</v>
      </c>
      <c r="F4952" s="6" t="str">
        <f>IFERROR(__xludf.DUMMYFUNCTION("GOOGLETRANSLATE(D4952,""en"",""it"")"),"Mi piacciono i pini, ma non l'erba.")</f>
        <v>Mi piacciono i pini, ma non l'erba.</v>
      </c>
      <c r="G4952" s="6" t="str">
        <f>IFERROR(__xludf.DUMMYFUNCTION("GOOGLETRANSLATE(E4952,""fr"",""it"")"),"Adoro i pini, ma non il prato.")</f>
        <v>Adoro i pini, ma non il prato.</v>
      </c>
    </row>
    <row r="4953">
      <c r="A4953" s="4">
        <v>4951.0</v>
      </c>
      <c r="B4953" s="5" t="s">
        <v>14860</v>
      </c>
      <c r="C4953" s="4">
        <v>1.0</v>
      </c>
      <c r="D4953" s="5" t="s">
        <v>14861</v>
      </c>
      <c r="E4953" s="5" t="s">
        <v>14862</v>
      </c>
      <c r="F4953" s="6" t="str">
        <f>IFERROR(__xludf.DUMMYFUNCTION("GOOGLETRANSLATE(D4953,""en"",""it"")"),"Mi piace l'erba, ma non i pini.")</f>
        <v>Mi piace l'erba, ma non i pini.</v>
      </c>
      <c r="G4953" s="6" t="str">
        <f>IFERROR(__xludf.DUMMYFUNCTION("GOOGLETRANSLATE(E4953,""fr"",""it"")"),"Adoro il prato, ma non i pini.")</f>
        <v>Adoro il prato, ma non i pini.</v>
      </c>
    </row>
    <row r="4954">
      <c r="A4954" s="4">
        <v>4952.0</v>
      </c>
      <c r="B4954" s="5" t="s">
        <v>14863</v>
      </c>
      <c r="C4954" s="4">
        <v>0.0</v>
      </c>
      <c r="D4954" s="5" t="s">
        <v>14864</v>
      </c>
      <c r="E4954" s="5" t="s">
        <v>14865</v>
      </c>
      <c r="F4954" s="6" t="str">
        <f>IFERROR(__xludf.DUMMYFUNCTION("GOOGLETRANSLATE(D4954,""en"",""it"")"),"Mi piacciono i pini, ma non gli alberi.")</f>
        <v>Mi piacciono i pini, ma non gli alberi.</v>
      </c>
      <c r="G4954" s="6" t="str">
        <f>IFERROR(__xludf.DUMMYFUNCTION("GOOGLETRANSLATE(E4954,""fr"",""it"")"),"Adoro i pini, ma non gli alberi.")</f>
        <v>Adoro i pini, ma non gli alberi.</v>
      </c>
    </row>
    <row r="4955">
      <c r="A4955" s="4">
        <v>4953.0</v>
      </c>
      <c r="B4955" s="5" t="s">
        <v>14866</v>
      </c>
      <c r="C4955" s="4">
        <v>1.0</v>
      </c>
      <c r="D4955" s="5" t="s">
        <v>14867</v>
      </c>
      <c r="E4955" s="5" t="s">
        <v>14868</v>
      </c>
      <c r="F4955" s="6" t="str">
        <f>IFERROR(__xludf.DUMMYFUNCTION("GOOGLETRANSLATE(D4955,""en"",""it"")"),"Mi piacciono gli alberi, ma non i pini.")</f>
        <v>Mi piacciono gli alberi, ma non i pini.</v>
      </c>
      <c r="G4955" s="6" t="str">
        <f>IFERROR(__xludf.DUMMYFUNCTION("GOOGLETRANSLATE(E4955,""fr"",""it"")"),"Amo gli alberi, ma non i pini.")</f>
        <v>Amo gli alberi, ma non i pini.</v>
      </c>
    </row>
    <row r="4956">
      <c r="A4956" s="4">
        <v>4954.0</v>
      </c>
      <c r="B4956" s="5" t="s">
        <v>14869</v>
      </c>
      <c r="C4956" s="4">
        <v>1.0</v>
      </c>
      <c r="D4956" s="5" t="s">
        <v>14870</v>
      </c>
      <c r="E4956" s="5" t="s">
        <v>14871</v>
      </c>
      <c r="F4956" s="6" t="str">
        <f>IFERROR(__xludf.DUMMYFUNCTION("GOOGLETRANSLATE(D4956,""en"",""it"")"),"Mi piacciono i pini, ma non gli animali.")</f>
        <v>Mi piacciono i pini, ma non gli animali.</v>
      </c>
      <c r="G4956" s="6" t="str">
        <f>IFERROR(__xludf.DUMMYFUNCTION("GOOGLETRANSLATE(E4956,""fr"",""it"")"),"Adoro i pini, ma non gli animali.")</f>
        <v>Adoro i pini, ma non gli animali.</v>
      </c>
    </row>
    <row r="4957">
      <c r="A4957" s="4">
        <v>4955.0</v>
      </c>
      <c r="B4957" s="5" t="s">
        <v>14872</v>
      </c>
      <c r="C4957" s="4">
        <v>1.0</v>
      </c>
      <c r="D4957" s="5" t="s">
        <v>14873</v>
      </c>
      <c r="E4957" s="5" t="s">
        <v>14874</v>
      </c>
      <c r="F4957" s="6" t="str">
        <f>IFERROR(__xludf.DUMMYFUNCTION("GOOGLETRANSLATE(D4957,""en"",""it"")"),"Mi piacciono gli animali, ma non i pini.")</f>
        <v>Mi piacciono gli animali, ma non i pini.</v>
      </c>
      <c r="G4957" s="6" t="str">
        <f>IFERROR(__xludf.DUMMYFUNCTION("GOOGLETRANSLATE(E4957,""fr"",""it"")"),"Amo gli animali, ma non i pini.")</f>
        <v>Amo gli animali, ma non i pini.</v>
      </c>
    </row>
    <row r="4958">
      <c r="A4958" s="4">
        <v>4956.0</v>
      </c>
      <c r="B4958" s="5" t="s">
        <v>14875</v>
      </c>
      <c r="C4958" s="4">
        <v>0.0</v>
      </c>
      <c r="D4958" s="5" t="s">
        <v>14876</v>
      </c>
      <c r="E4958" s="5" t="s">
        <v>14877</v>
      </c>
      <c r="F4958" s="6" t="str">
        <f>IFERROR(__xludf.DUMMYFUNCTION("GOOGLETRANSLATE(D4958,""en"",""it"")"),"Mi piace Harley-Davidson, tranne le biciclette.")</f>
        <v>Mi piace Harley-Davidson, tranne le biciclette.</v>
      </c>
      <c r="G4958" s="6" t="str">
        <f>IFERROR(__xludf.DUMMYFUNCTION("GOOGLETRANSLATE(E4958,""fr"",""it"")"),"Mi piace l'Harley-Davidson, tranne le biciclette.")</f>
        <v>Mi piace l'Harley-Davidson, tranne le biciclette.</v>
      </c>
    </row>
    <row r="4959">
      <c r="A4959" s="4">
        <v>4957.0</v>
      </c>
      <c r="B4959" s="5" t="s">
        <v>14878</v>
      </c>
      <c r="C4959" s="4">
        <v>1.0</v>
      </c>
      <c r="D4959" s="5" t="s">
        <v>14879</v>
      </c>
      <c r="E4959" s="5" t="s">
        <v>14880</v>
      </c>
      <c r="F4959" s="6" t="str">
        <f>IFERROR(__xludf.DUMMYFUNCTION("GOOGLETRANSLATE(D4959,""en"",""it"")"),"Mi piacciono i pini, ma non i cespugli.")</f>
        <v>Mi piacciono i pini, ma non i cespugli.</v>
      </c>
      <c r="G4959" s="6" t="str">
        <f>IFERROR(__xludf.DUMMYFUNCTION("GOOGLETRANSLATE(E4959,""fr"",""it"")"),"Adoro i pini, ma non i cespugli.")</f>
        <v>Adoro i pini, ma non i cespugli.</v>
      </c>
    </row>
    <row r="4960">
      <c r="A4960" s="4">
        <v>4958.0</v>
      </c>
      <c r="B4960" s="5" t="s">
        <v>14881</v>
      </c>
      <c r="C4960" s="4">
        <v>1.0</v>
      </c>
      <c r="D4960" s="5" t="s">
        <v>14882</v>
      </c>
      <c r="E4960" s="5" t="s">
        <v>14883</v>
      </c>
      <c r="F4960" s="6" t="str">
        <f>IFERROR(__xludf.DUMMYFUNCTION("GOOGLETRANSLATE(D4960,""en"",""it"")"),"Mi piacciono i cespugli, ma non i pini.")</f>
        <v>Mi piacciono i cespugli, ma non i pini.</v>
      </c>
      <c r="G4960" s="6" t="str">
        <f>IFERROR(__xludf.DUMMYFUNCTION("GOOGLETRANSLATE(E4960,""fr"",""it"")"),"Amo i cespugli, ma non i pini.")</f>
        <v>Amo i cespugli, ma non i pini.</v>
      </c>
    </row>
    <row r="4961">
      <c r="A4961" s="4">
        <v>4959.0</v>
      </c>
      <c r="B4961" s="5" t="s">
        <v>14884</v>
      </c>
      <c r="C4961" s="4">
        <v>1.0</v>
      </c>
      <c r="D4961" s="5" t="s">
        <v>14885</v>
      </c>
      <c r="E4961" s="5" t="s">
        <v>14886</v>
      </c>
      <c r="F4961" s="6" t="str">
        <f>IFERROR(__xludf.DUMMYFUNCTION("GOOGLETRANSLATE(D4961,""en"",""it"")"),"Mi piacciono i pini, ma non gli arbusti.")</f>
        <v>Mi piacciono i pini, ma non gli arbusti.</v>
      </c>
      <c r="G4961" s="6" t="str">
        <f>IFERROR(__xludf.DUMMYFUNCTION("GOOGLETRANSLATE(E4961,""fr"",""it"")"),"Adoro i pini, ma non gli arbusti.")</f>
        <v>Adoro i pini, ma non gli arbusti.</v>
      </c>
    </row>
    <row r="4962">
      <c r="A4962" s="4">
        <v>4960.0</v>
      </c>
      <c r="B4962" s="5" t="s">
        <v>14887</v>
      </c>
      <c r="C4962" s="4">
        <v>1.0</v>
      </c>
      <c r="D4962" s="5" t="s">
        <v>14888</v>
      </c>
      <c r="E4962" s="5" t="s">
        <v>14889</v>
      </c>
      <c r="F4962" s="6" t="str">
        <f>IFERROR(__xludf.DUMMYFUNCTION("GOOGLETRANSLATE(D4962,""en"",""it"")"),"Mi piacciono gli arbusti, ma non i pini.")</f>
        <v>Mi piacciono gli arbusti, ma non i pini.</v>
      </c>
      <c r="G4962" s="6" t="str">
        <f>IFERROR(__xludf.DUMMYFUNCTION("GOOGLETRANSLATE(E4962,""fr"",""it"")"),"Amo gli arbusti, ma non i pini.")</f>
        <v>Amo gli arbusti, ma non i pini.</v>
      </c>
    </row>
    <row r="4963">
      <c r="A4963" s="4">
        <v>4961.0</v>
      </c>
      <c r="B4963" s="5" t="s">
        <v>14890</v>
      </c>
      <c r="C4963" s="4">
        <v>0.0</v>
      </c>
      <c r="D4963" s="5" t="s">
        <v>14891</v>
      </c>
      <c r="E4963" s="5" t="s">
        <v>14892</v>
      </c>
      <c r="F4963" s="6" t="str">
        <f>IFERROR(__xludf.DUMMYFUNCTION("GOOGLETRANSLATE(D4963,""en"",""it"")"),"Mi piacciono le biciclette, eccetto Harley-Davidson.")</f>
        <v>Mi piacciono le biciclette, eccetto Harley-Davidson.</v>
      </c>
      <c r="G4963" s="6" t="str">
        <f>IFERROR(__xludf.DUMMYFUNCTION("GOOGLETRANSLATE(E4963,""fr"",""it"")"),"Adoro le biciclette tranne Harley-Davidson.")</f>
        <v>Adoro le biciclette tranne Harley-Davidson.</v>
      </c>
    </row>
    <row r="4964">
      <c r="A4964" s="4">
        <v>4962.0</v>
      </c>
      <c r="B4964" s="5" t="s">
        <v>14893</v>
      </c>
      <c r="C4964" s="4">
        <v>1.0</v>
      </c>
      <c r="D4964" s="5" t="s">
        <v>14894</v>
      </c>
      <c r="E4964" s="5" t="s">
        <v>14895</v>
      </c>
      <c r="F4964" s="6" t="str">
        <f>IFERROR(__xludf.DUMMYFUNCTION("GOOGLETRANSLATE(D4964,""en"",""it"")"),"Io uso poliestere, ma non in legno.")</f>
        <v>Io uso poliestere, ma non in legno.</v>
      </c>
      <c r="G4964" s="6" t="str">
        <f>IFERROR(__xludf.DUMMYFUNCTION("GOOGLETRANSLATE(E4964,""fr"",""it"")"),"Io uso il poliestere, ma non il legno.")</f>
        <v>Io uso il poliestere, ma non il legno.</v>
      </c>
    </row>
    <row r="4965">
      <c r="A4965" s="4">
        <v>4963.0</v>
      </c>
      <c r="B4965" s="5" t="s">
        <v>14896</v>
      </c>
      <c r="C4965" s="4">
        <v>1.0</v>
      </c>
      <c r="D4965" s="5" t="s">
        <v>14897</v>
      </c>
      <c r="E4965" s="5" t="s">
        <v>14898</v>
      </c>
      <c r="F4965" s="6" t="str">
        <f>IFERROR(__xludf.DUMMYFUNCTION("GOOGLETRANSLATE(D4965,""en"",""it"")"),"Io uso il legno, ma non in poliestere.")</f>
        <v>Io uso il legno, ma non in poliestere.</v>
      </c>
      <c r="G4965" s="6" t="str">
        <f>IFERROR(__xludf.DUMMYFUNCTION("GOOGLETRANSLATE(E4965,""fr"",""it"")"),"Io uso il legno, ma non il poliestere.")</f>
        <v>Io uso il legno, ma non il poliestere.</v>
      </c>
    </row>
    <row r="4966">
      <c r="A4966" s="4">
        <v>4964.0</v>
      </c>
      <c r="B4966" s="5" t="s">
        <v>14899</v>
      </c>
      <c r="C4966" s="4">
        <v>0.0</v>
      </c>
      <c r="D4966" s="5" t="s">
        <v>14900</v>
      </c>
      <c r="E4966" s="5" t="s">
        <v>14901</v>
      </c>
      <c r="F4966" s="6" t="str">
        <f>IFERROR(__xludf.DUMMYFUNCTION("GOOGLETRANSLATE(D4966,""en"",""it"")"),"Uso il poliestere, ma non la plastica.")</f>
        <v>Uso il poliestere, ma non la plastica.</v>
      </c>
      <c r="G4966" s="6" t="str">
        <f>IFERROR(__xludf.DUMMYFUNCTION("GOOGLETRANSLATE(E4966,""fr"",""it"")"),"Io uso il poliestere, ma non la plastica.")</f>
        <v>Io uso il poliestere, ma non la plastica.</v>
      </c>
    </row>
    <row r="4967">
      <c r="A4967" s="4">
        <v>4965.0</v>
      </c>
      <c r="B4967" s="5" t="s">
        <v>14902</v>
      </c>
      <c r="C4967" s="4">
        <v>1.0</v>
      </c>
      <c r="D4967" s="5" t="s">
        <v>14903</v>
      </c>
      <c r="E4967" s="5" t="s">
        <v>14904</v>
      </c>
      <c r="F4967" s="6" t="str">
        <f>IFERROR(__xludf.DUMMYFUNCTION("GOOGLETRANSLATE(D4967,""en"",""it"")"),"Io uso la plastica, ma non in poliestere.")</f>
        <v>Io uso la plastica, ma non in poliestere.</v>
      </c>
      <c r="G4967" s="6" t="str">
        <f>IFERROR(__xludf.DUMMYFUNCTION("GOOGLETRANSLATE(E4967,""fr"",""it"")"),"Io uso la plastica, ma non il poliestere.")</f>
        <v>Io uso la plastica, ma non il poliestere.</v>
      </c>
    </row>
    <row r="4968">
      <c r="A4968" s="4">
        <v>4966.0</v>
      </c>
      <c r="B4968" s="5" t="s">
        <v>14905</v>
      </c>
      <c r="C4968" s="4">
        <v>1.0</v>
      </c>
      <c r="D4968" s="5" t="s">
        <v>14906</v>
      </c>
      <c r="E4968" s="5" t="s">
        <v>14907</v>
      </c>
      <c r="F4968" s="6" t="str">
        <f>IFERROR(__xludf.DUMMYFUNCTION("GOOGLETRANSLATE(D4968,""en"",""it"")"),"Io uso la plastica, ma non il legno.")</f>
        <v>Io uso la plastica, ma non il legno.</v>
      </c>
      <c r="G4968" s="6" t="str">
        <f>IFERROR(__xludf.DUMMYFUNCTION("GOOGLETRANSLATE(E4968,""fr"",""it"")"),"Io uso la plastica, ma non il legno.")</f>
        <v>Io uso la plastica, ma non il legno.</v>
      </c>
    </row>
    <row r="4969">
      <c r="A4969" s="4">
        <v>4967.0</v>
      </c>
      <c r="B4969" s="5" t="s">
        <v>14908</v>
      </c>
      <c r="C4969" s="4">
        <v>1.0</v>
      </c>
      <c r="D4969" s="5" t="s">
        <v>14909</v>
      </c>
      <c r="E4969" s="5" t="s">
        <v>14910</v>
      </c>
      <c r="F4969" s="6" t="str">
        <f>IFERROR(__xludf.DUMMYFUNCTION("GOOGLETRANSLATE(D4969,""en"",""it"")"),"Uso il poliestere, ma non il cotone.")</f>
        <v>Uso il poliestere, ma non il cotone.</v>
      </c>
      <c r="G4969" s="6" t="str">
        <f>IFERROR(__xludf.DUMMYFUNCTION("GOOGLETRANSLATE(E4969,""fr"",""it"")"),"Io uso il poliestere, ma non il cotone.")</f>
        <v>Io uso il poliestere, ma non il cotone.</v>
      </c>
    </row>
    <row r="4970">
      <c r="A4970" s="4">
        <v>4968.0</v>
      </c>
      <c r="B4970" s="5" t="s">
        <v>14911</v>
      </c>
      <c r="C4970" s="4">
        <v>1.0</v>
      </c>
      <c r="D4970" s="5" t="s">
        <v>14912</v>
      </c>
      <c r="E4970" s="5" t="s">
        <v>14913</v>
      </c>
      <c r="F4970" s="6" t="str">
        <f>IFERROR(__xludf.DUMMYFUNCTION("GOOGLETRANSLATE(D4970,""en"",""it"")"),"Io uso cotone, ma non poliestere.")</f>
        <v>Io uso cotone, ma non poliestere.</v>
      </c>
      <c r="G4970" s="6" t="str">
        <f>IFERROR(__xludf.DUMMYFUNCTION("GOOGLETRANSLATE(E4970,""fr"",""it"")"),"Uso il cotone, ma non il poliestere.")</f>
        <v>Uso il cotone, ma non il poliestere.</v>
      </c>
    </row>
    <row r="4971">
      <c r="A4971" s="4">
        <v>4969.0</v>
      </c>
      <c r="B4971" s="5" t="s">
        <v>14914</v>
      </c>
      <c r="C4971" s="4">
        <v>1.0</v>
      </c>
      <c r="D4971" s="5" t="s">
        <v>14915</v>
      </c>
      <c r="E4971" s="5" t="s">
        <v>14916</v>
      </c>
      <c r="F4971" s="6" t="str">
        <f>IFERROR(__xludf.DUMMYFUNCTION("GOOGLETRANSLATE(D4971,""en"",""it"")"),"Io uso la plastica, ma non il cotone.")</f>
        <v>Io uso la plastica, ma non il cotone.</v>
      </c>
      <c r="G4971" s="6" t="str">
        <f>IFERROR(__xludf.DUMMYFUNCTION("GOOGLETRANSLATE(E4971,""fr"",""it"")"),"Io uso la plastica, ma non il cotone.")</f>
        <v>Io uso la plastica, ma non il cotone.</v>
      </c>
    </row>
    <row r="4972">
      <c r="A4972" s="4">
        <v>4970.0</v>
      </c>
      <c r="B4972" s="5" t="s">
        <v>14917</v>
      </c>
      <c r="C4972" s="4">
        <v>1.0</v>
      </c>
      <c r="D4972" s="5" t="s">
        <v>14918</v>
      </c>
      <c r="E4972" s="5" t="s">
        <v>14919</v>
      </c>
      <c r="F4972" s="6" t="str">
        <f>IFERROR(__xludf.DUMMYFUNCTION("GOOGLETRANSLATE(D4972,""en"",""it"")"),"Uso il poliestere, ma non il vetro.")</f>
        <v>Uso il poliestere, ma non il vetro.</v>
      </c>
      <c r="G4972" s="6" t="str">
        <f>IFERROR(__xludf.DUMMYFUNCTION("GOOGLETRANSLATE(E4972,""fr"",""it"")"),"Io uso il poliestere, ma non il vetro.")</f>
        <v>Io uso il poliestere, ma non il vetro.</v>
      </c>
    </row>
    <row r="4973">
      <c r="A4973" s="4">
        <v>4971.0</v>
      </c>
      <c r="B4973" s="5" t="s">
        <v>14920</v>
      </c>
      <c r="C4973" s="4">
        <v>1.0</v>
      </c>
      <c r="D4973" s="5" t="s">
        <v>14921</v>
      </c>
      <c r="E4973" s="5" t="s">
        <v>14922</v>
      </c>
      <c r="F4973" s="6" t="str">
        <f>IFERROR(__xludf.DUMMYFUNCTION("GOOGLETRANSLATE(D4973,""en"",""it"")"),"Io uso il vetro, ma non in poliestere.")</f>
        <v>Io uso il vetro, ma non in poliestere.</v>
      </c>
      <c r="G4973" s="6" t="str">
        <f>IFERROR(__xludf.DUMMYFUNCTION("GOOGLETRANSLATE(E4973,""fr"",""it"")"),"Io uso il vetro, ma non il poliestere.")</f>
        <v>Io uso il vetro, ma non il poliestere.</v>
      </c>
    </row>
    <row r="4974">
      <c r="A4974" s="4">
        <v>4972.0</v>
      </c>
      <c r="B4974" s="5" t="s">
        <v>14923</v>
      </c>
      <c r="C4974" s="4">
        <v>1.0</v>
      </c>
      <c r="D4974" s="5" t="s">
        <v>14924</v>
      </c>
      <c r="E4974" s="5" t="s">
        <v>14925</v>
      </c>
      <c r="F4974" s="6" t="str">
        <f>IFERROR(__xludf.DUMMYFUNCTION("GOOGLETRANSLATE(D4974,""en"",""it"")"),"Io uso la plastica, ma non il vetro.")</f>
        <v>Io uso la plastica, ma non il vetro.</v>
      </c>
      <c r="G4974" s="6" t="str">
        <f>IFERROR(__xludf.DUMMYFUNCTION("GOOGLETRANSLATE(E4974,""fr"",""it"")"),"Io uso la plastica, ma non il vetro.")</f>
        <v>Io uso la plastica, ma non il vetro.</v>
      </c>
    </row>
    <row r="4975">
      <c r="A4975" s="4">
        <v>4973.0</v>
      </c>
      <c r="B4975" s="5" t="s">
        <v>14926</v>
      </c>
      <c r="C4975" s="4">
        <v>1.0</v>
      </c>
      <c r="D4975" s="5" t="s">
        <v>14927</v>
      </c>
      <c r="E4975" s="5" t="s">
        <v>14928</v>
      </c>
      <c r="F4975" s="6" t="str">
        <f>IFERROR(__xludf.DUMMYFUNCTION("GOOGLETRANSLATE(D4975,""en"",""it"")"),"Io uso poliestere, ma non pelle.")</f>
        <v>Io uso poliestere, ma non pelle.</v>
      </c>
      <c r="G4975" s="6" t="str">
        <f>IFERROR(__xludf.DUMMYFUNCTION("GOOGLETRANSLATE(E4975,""fr"",""it"")"),"Io uso il poliestere, ma non la pelle.")</f>
        <v>Io uso il poliestere, ma non la pelle.</v>
      </c>
    </row>
    <row r="4976">
      <c r="A4976" s="4">
        <v>4974.0</v>
      </c>
      <c r="B4976" s="5" t="s">
        <v>14929</v>
      </c>
      <c r="C4976" s="4">
        <v>1.0</v>
      </c>
      <c r="D4976" s="5" t="s">
        <v>14930</v>
      </c>
      <c r="E4976" s="5" t="s">
        <v>14931</v>
      </c>
      <c r="F4976" s="6" t="str">
        <f>IFERROR(__xludf.DUMMYFUNCTION("GOOGLETRANSLATE(D4976,""en"",""it"")"),"Io uso pelle, ma non poliestere.")</f>
        <v>Io uso pelle, ma non poliestere.</v>
      </c>
      <c r="G4976" s="6" t="str">
        <f>IFERROR(__xludf.DUMMYFUNCTION("GOOGLETRANSLATE(E4976,""fr"",""it"")"),"Io uso la pelle, ma non il poliestere.")</f>
        <v>Io uso la pelle, ma non il poliestere.</v>
      </c>
    </row>
    <row r="4977">
      <c r="A4977" s="4">
        <v>4975.0</v>
      </c>
      <c r="B4977" s="5" t="s">
        <v>14932</v>
      </c>
      <c r="C4977" s="4">
        <v>1.0</v>
      </c>
      <c r="D4977" s="5" t="s">
        <v>14933</v>
      </c>
      <c r="E4977" s="5" t="s">
        <v>14934</v>
      </c>
      <c r="F4977" s="6" t="str">
        <f>IFERROR(__xludf.DUMMYFUNCTION("GOOGLETRANSLATE(D4977,""en"",""it"")"),"Io uso la plastica, ma non pelle.")</f>
        <v>Io uso la plastica, ma non pelle.</v>
      </c>
      <c r="G4977" s="6" t="str">
        <f>IFERROR(__xludf.DUMMYFUNCTION("GOOGLETRANSLATE(E4977,""fr"",""it"")"),"Io uso la plastica, ma non la pelle.")</f>
        <v>Io uso la plastica, ma non la pelle.</v>
      </c>
    </row>
    <row r="4978">
      <c r="A4978" s="4">
        <v>4976.0</v>
      </c>
      <c r="B4978" s="5" t="s">
        <v>14935</v>
      </c>
      <c r="C4978" s="4">
        <v>1.0</v>
      </c>
      <c r="D4978" s="5" t="s">
        <v>14936</v>
      </c>
      <c r="E4978" s="5" t="s">
        <v>14937</v>
      </c>
      <c r="F4978" s="6" t="str">
        <f>IFERROR(__xludf.DUMMYFUNCTION("GOOGLETRANSLATE(D4978,""en"",""it"")"),"Io uso il nylon, ma non il legno.")</f>
        <v>Io uso il nylon, ma non il legno.</v>
      </c>
      <c r="G4978" s="6" t="str">
        <f>IFERROR(__xludf.DUMMYFUNCTION("GOOGLETRANSLATE(E4978,""fr"",""it"")"),"Io uso il nylon, ma non il legno.")</f>
        <v>Io uso il nylon, ma non il legno.</v>
      </c>
    </row>
    <row r="4979">
      <c r="A4979" s="4">
        <v>4977.0</v>
      </c>
      <c r="B4979" s="5" t="s">
        <v>14938</v>
      </c>
      <c r="C4979" s="4">
        <v>1.0</v>
      </c>
      <c r="D4979" s="5" t="s">
        <v>14939</v>
      </c>
      <c r="E4979" s="5" t="s">
        <v>14940</v>
      </c>
      <c r="F4979" s="6" t="str">
        <f>IFERROR(__xludf.DUMMYFUNCTION("GOOGLETRANSLATE(D4979,""en"",""it"")"),"Io uso il legno, ma non in nylon.")</f>
        <v>Io uso il legno, ma non in nylon.</v>
      </c>
      <c r="G4979" s="6" t="str">
        <f>IFERROR(__xludf.DUMMYFUNCTION("GOOGLETRANSLATE(E4979,""fr"",""it"")"),"Io uso il legno, ma non in nylon.")</f>
        <v>Io uso il legno, ma non in nylon.</v>
      </c>
    </row>
    <row r="4980">
      <c r="A4980" s="4">
        <v>4978.0</v>
      </c>
      <c r="B4980" s="5" t="s">
        <v>14941</v>
      </c>
      <c r="C4980" s="4">
        <v>0.0</v>
      </c>
      <c r="D4980" s="5" t="s">
        <v>14942</v>
      </c>
      <c r="E4980" s="5" t="s">
        <v>14943</v>
      </c>
      <c r="F4980" s="6" t="str">
        <f>IFERROR(__xludf.DUMMYFUNCTION("GOOGLETRANSLATE(D4980,""en"",""it"")"),"Io uso il nylon, ma non la plastica.")</f>
        <v>Io uso il nylon, ma non la plastica.</v>
      </c>
      <c r="G4980" s="6" t="str">
        <f>IFERROR(__xludf.DUMMYFUNCTION("GOOGLETRANSLATE(E4980,""fr"",""it"")"),"Io uso il nylon, ma non la plastica.")</f>
        <v>Io uso il nylon, ma non la plastica.</v>
      </c>
    </row>
    <row r="4981">
      <c r="A4981" s="4">
        <v>4979.0</v>
      </c>
      <c r="B4981" s="5" t="s">
        <v>14944</v>
      </c>
      <c r="C4981" s="4">
        <v>1.0</v>
      </c>
      <c r="D4981" s="5" t="s">
        <v>14945</v>
      </c>
      <c r="E4981" s="5" t="s">
        <v>14946</v>
      </c>
      <c r="F4981" s="6" t="str">
        <f>IFERROR(__xludf.DUMMYFUNCTION("GOOGLETRANSLATE(D4981,""en"",""it"")"),"Io uso la plastica, ma non in nylon.")</f>
        <v>Io uso la plastica, ma non in nylon.</v>
      </c>
      <c r="G4981" s="6" t="str">
        <f>IFERROR(__xludf.DUMMYFUNCTION("GOOGLETRANSLATE(E4981,""fr"",""it"")"),"Io uso la plastica, ma non in nylon.")</f>
        <v>Io uso la plastica, ma non in nylon.</v>
      </c>
    </row>
    <row r="4982">
      <c r="A4982" s="4">
        <v>4980.0</v>
      </c>
      <c r="B4982" s="5" t="s">
        <v>14947</v>
      </c>
      <c r="C4982" s="4">
        <v>1.0</v>
      </c>
      <c r="D4982" s="5" t="s">
        <v>14948</v>
      </c>
      <c r="E4982" s="5" t="s">
        <v>14949</v>
      </c>
      <c r="F4982" s="6" t="str">
        <f>IFERROR(__xludf.DUMMYFUNCTION("GOOGLETRANSLATE(D4982,""en"",""it"")"),"Io uso il nylon, ma non il cotone.")</f>
        <v>Io uso il nylon, ma non il cotone.</v>
      </c>
      <c r="G4982" s="6" t="str">
        <f>IFERROR(__xludf.DUMMYFUNCTION("GOOGLETRANSLATE(E4982,""fr"",""it"")"),"Io uso il nylon, ma non il cotone.")</f>
        <v>Io uso il nylon, ma non il cotone.</v>
      </c>
    </row>
    <row r="4983">
      <c r="A4983" s="4">
        <v>4981.0</v>
      </c>
      <c r="B4983" s="5" t="s">
        <v>14950</v>
      </c>
      <c r="C4983" s="4">
        <v>1.0</v>
      </c>
      <c r="D4983" s="5" t="s">
        <v>14951</v>
      </c>
      <c r="E4983" s="5" t="s">
        <v>14952</v>
      </c>
      <c r="F4983" s="6" t="str">
        <f>IFERROR(__xludf.DUMMYFUNCTION("GOOGLETRANSLATE(D4983,""en"",""it"")"),"Io uso cotone, ma non in nylon.")</f>
        <v>Io uso cotone, ma non in nylon.</v>
      </c>
      <c r="G4983" s="6" t="str">
        <f>IFERROR(__xludf.DUMMYFUNCTION("GOOGLETRANSLATE(E4983,""fr"",""it"")"),"Io uso cotone, ma non in nylon.")</f>
        <v>Io uso cotone, ma non in nylon.</v>
      </c>
    </row>
    <row r="4984">
      <c r="A4984" s="4">
        <v>4982.0</v>
      </c>
      <c r="B4984" s="5" t="s">
        <v>14953</v>
      </c>
      <c r="C4984" s="4">
        <v>0.0</v>
      </c>
      <c r="D4984" s="5" t="s">
        <v>14954</v>
      </c>
      <c r="E4984" s="5" t="s">
        <v>14955</v>
      </c>
      <c r="F4984" s="6" t="str">
        <f>IFERROR(__xludf.DUMMYFUNCTION("GOOGLETRANSLATE(D4984,""en"",""it"")"),"Mi piacciono i motocicli, tranne Suzukis.")</f>
        <v>Mi piacciono i motocicli, tranne Suzukis.</v>
      </c>
      <c r="G4984" s="6" t="str">
        <f>IFERROR(__xludf.DUMMYFUNCTION("GOOGLETRANSLATE(E4984,""fr"",""it"")"),"Adoro le motociclette tranne Suzukis.")</f>
        <v>Adoro le motociclette tranne Suzukis.</v>
      </c>
    </row>
    <row r="4985">
      <c r="A4985" s="4">
        <v>4983.0</v>
      </c>
      <c r="B4985" s="5" t="s">
        <v>14956</v>
      </c>
      <c r="C4985" s="4">
        <v>1.0</v>
      </c>
      <c r="D4985" s="5" t="s">
        <v>14957</v>
      </c>
      <c r="E4985" s="5" t="s">
        <v>14958</v>
      </c>
      <c r="F4985" s="6" t="str">
        <f>IFERROR(__xludf.DUMMYFUNCTION("GOOGLETRANSLATE(D4985,""en"",""it"")"),"Io uso il nylon, ma non il vetro.")</f>
        <v>Io uso il nylon, ma non il vetro.</v>
      </c>
      <c r="G4985" s="6" t="str">
        <f>IFERROR(__xludf.DUMMYFUNCTION("GOOGLETRANSLATE(E4985,""fr"",""it"")"),"Io uso il nylon, ma non il vetro.")</f>
        <v>Io uso il nylon, ma non il vetro.</v>
      </c>
    </row>
    <row r="4986">
      <c r="A4986" s="4">
        <v>4984.0</v>
      </c>
      <c r="B4986" s="5" t="s">
        <v>14959</v>
      </c>
      <c r="C4986" s="4">
        <v>1.0</v>
      </c>
      <c r="D4986" s="5" t="s">
        <v>14960</v>
      </c>
      <c r="E4986" s="5" t="s">
        <v>14961</v>
      </c>
      <c r="F4986" s="6" t="str">
        <f>IFERROR(__xludf.DUMMYFUNCTION("GOOGLETRANSLATE(D4986,""en"",""it"")"),"Io uso il vetro, ma non in nylon.")</f>
        <v>Io uso il vetro, ma non in nylon.</v>
      </c>
      <c r="G4986" s="6" t="str">
        <f>IFERROR(__xludf.DUMMYFUNCTION("GOOGLETRANSLATE(E4986,""fr"",""it"")"),"Io uso il vetro, ma non in nylon.")</f>
        <v>Io uso il vetro, ma non in nylon.</v>
      </c>
    </row>
    <row r="4987">
      <c r="A4987" s="4">
        <v>4985.0</v>
      </c>
      <c r="B4987" s="5" t="s">
        <v>14962</v>
      </c>
      <c r="C4987" s="4">
        <v>1.0</v>
      </c>
      <c r="D4987" s="5" t="s">
        <v>14963</v>
      </c>
      <c r="E4987" s="5" t="s">
        <v>14964</v>
      </c>
      <c r="F4987" s="6" t="str">
        <f>IFERROR(__xludf.DUMMYFUNCTION("GOOGLETRANSLATE(D4987,""en"",""it"")"),"Io uso nylon, ma non pelle.")</f>
        <v>Io uso nylon, ma non pelle.</v>
      </c>
      <c r="G4987" s="6" t="str">
        <f>IFERROR(__xludf.DUMMYFUNCTION("GOOGLETRANSLATE(E4987,""fr"",""it"")"),"Io uso il nylon, ma non la pelle.")</f>
        <v>Io uso il nylon, ma non la pelle.</v>
      </c>
    </row>
    <row r="4988">
      <c r="A4988" s="4">
        <v>4986.0</v>
      </c>
      <c r="B4988" s="5" t="s">
        <v>14965</v>
      </c>
      <c r="C4988" s="4">
        <v>1.0</v>
      </c>
      <c r="D4988" s="5" t="s">
        <v>14966</v>
      </c>
      <c r="E4988" s="5" t="s">
        <v>14967</v>
      </c>
      <c r="F4988" s="6" t="str">
        <f>IFERROR(__xludf.DUMMYFUNCTION("GOOGLETRANSLATE(D4988,""en"",""it"")"),"Io uso pelle, ma non in nylon.")</f>
        <v>Io uso pelle, ma non in nylon.</v>
      </c>
      <c r="G4988" s="6" t="str">
        <f>IFERROR(__xludf.DUMMYFUNCTION("GOOGLETRANSLATE(E4988,""fr"",""it"")"),"Io uso la pelle, ma non il nylon.")</f>
        <v>Io uso la pelle, ma non il nylon.</v>
      </c>
    </row>
    <row r="4989">
      <c r="A4989" s="4">
        <v>4987.0</v>
      </c>
      <c r="B4989" s="5" t="s">
        <v>14968</v>
      </c>
      <c r="C4989" s="4">
        <v>0.0</v>
      </c>
      <c r="D4989" s="5" t="s">
        <v>14969</v>
      </c>
      <c r="E4989" s="5" t="s">
        <v>14970</v>
      </c>
      <c r="F4989" s="6" t="str">
        <f>IFERROR(__xludf.DUMMYFUNCTION("GOOGLETRANSLATE(D4989,""en"",""it"")"),"Mi piace Harley-Davidson, tranne i treni.")</f>
        <v>Mi piace Harley-Davidson, tranne i treni.</v>
      </c>
      <c r="G4989" s="6" t="str">
        <f>IFERROR(__xludf.DUMMYFUNCTION("GOOGLETRANSLATE(E4989,""fr"",""it"")"),"Mi piace l'Harley-Davidson, tranne i treni.")</f>
        <v>Mi piace l'Harley-Davidson, tranne i treni.</v>
      </c>
    </row>
    <row r="4990">
      <c r="A4990" s="4">
        <v>4988.0</v>
      </c>
      <c r="B4990" s="5" t="s">
        <v>14971</v>
      </c>
      <c r="C4990" s="4">
        <v>1.0</v>
      </c>
      <c r="D4990" s="5" t="s">
        <v>14972</v>
      </c>
      <c r="E4990" s="5" t="s">
        <v>14973</v>
      </c>
      <c r="F4990" s="6" t="str">
        <f>IFERROR(__xludf.DUMMYFUNCTION("GOOGLETRANSLATE(D4990,""en"",""it"")"),"Io uso il vinile, ma non il legno.")</f>
        <v>Io uso il vinile, ma non il legno.</v>
      </c>
      <c r="G4990" s="6" t="str">
        <f>IFERROR(__xludf.DUMMYFUNCTION("GOOGLETRANSLATE(E4990,""fr"",""it"")"),"Io uso il vinile, ma non il legno.")</f>
        <v>Io uso il vinile, ma non il legno.</v>
      </c>
    </row>
    <row r="4991">
      <c r="A4991" s="4">
        <v>4989.0</v>
      </c>
      <c r="B4991" s="5" t="s">
        <v>14974</v>
      </c>
      <c r="C4991" s="4">
        <v>1.0</v>
      </c>
      <c r="D4991" s="5" t="s">
        <v>14975</v>
      </c>
      <c r="E4991" s="5" t="s">
        <v>14976</v>
      </c>
      <c r="F4991" s="6" t="str">
        <f>IFERROR(__xludf.DUMMYFUNCTION("GOOGLETRANSLATE(D4991,""en"",""it"")"),"Io uso il legno, ma non in vinile.")</f>
        <v>Io uso il legno, ma non in vinile.</v>
      </c>
      <c r="G4991" s="6" t="str">
        <f>IFERROR(__xludf.DUMMYFUNCTION("GOOGLETRANSLATE(E4991,""fr"",""it"")"),"Io uso il legno, ma non in vinile.")</f>
        <v>Io uso il legno, ma non in vinile.</v>
      </c>
    </row>
    <row r="4992">
      <c r="A4992" s="4">
        <v>4990.0</v>
      </c>
      <c r="B4992" s="5" t="s">
        <v>14977</v>
      </c>
      <c r="C4992" s="4">
        <v>0.0</v>
      </c>
      <c r="D4992" s="5" t="s">
        <v>14978</v>
      </c>
      <c r="E4992" s="5" t="s">
        <v>14979</v>
      </c>
      <c r="F4992" s="6" t="str">
        <f>IFERROR(__xludf.DUMMYFUNCTION("GOOGLETRANSLATE(D4992,""en"",""it"")"),"Io uso il vinile, ma non la plastica.")</f>
        <v>Io uso il vinile, ma non la plastica.</v>
      </c>
      <c r="G4992" s="6" t="str">
        <f>IFERROR(__xludf.DUMMYFUNCTION("GOOGLETRANSLATE(E4992,""fr"",""it"")"),"Io uso il vinile, ma non la plastica.")</f>
        <v>Io uso il vinile, ma non la plastica.</v>
      </c>
    </row>
    <row r="4993">
      <c r="A4993" s="4">
        <v>4991.0</v>
      </c>
      <c r="B4993" s="5" t="s">
        <v>14980</v>
      </c>
      <c r="C4993" s="4">
        <v>1.0</v>
      </c>
      <c r="D4993" s="5" t="s">
        <v>14981</v>
      </c>
      <c r="E4993" s="5" t="s">
        <v>14982</v>
      </c>
      <c r="F4993" s="6" t="str">
        <f>IFERROR(__xludf.DUMMYFUNCTION("GOOGLETRANSLATE(D4993,""en"",""it"")"),"Io uso plastica, ma non vinile.")</f>
        <v>Io uso plastica, ma non vinile.</v>
      </c>
      <c r="G4993" s="6" t="str">
        <f>IFERROR(__xludf.DUMMYFUNCTION("GOOGLETRANSLATE(E4993,""fr"",""it"")"),"Io uso plastica, ma non vinile.")</f>
        <v>Io uso plastica, ma non vinile.</v>
      </c>
    </row>
    <row r="4994">
      <c r="A4994" s="4">
        <v>4992.0</v>
      </c>
      <c r="B4994" s="5" t="s">
        <v>14983</v>
      </c>
      <c r="C4994" s="4">
        <v>1.0</v>
      </c>
      <c r="D4994" s="5" t="s">
        <v>14984</v>
      </c>
      <c r="E4994" s="5" t="s">
        <v>14985</v>
      </c>
      <c r="F4994" s="6" t="str">
        <f>IFERROR(__xludf.DUMMYFUNCTION("GOOGLETRANSLATE(D4994,""en"",""it"")"),"Io uso vinile, ma non cotone.")</f>
        <v>Io uso vinile, ma non cotone.</v>
      </c>
      <c r="G4994" s="6" t="str">
        <f>IFERROR(__xludf.DUMMYFUNCTION("GOOGLETRANSLATE(E4994,""fr"",""it"")"),"Io uso vinile, ma non cotone.")</f>
        <v>Io uso vinile, ma non cotone.</v>
      </c>
    </row>
    <row r="4995">
      <c r="A4995" s="4">
        <v>4993.0</v>
      </c>
      <c r="B4995" s="5" t="s">
        <v>14986</v>
      </c>
      <c r="C4995" s="4">
        <v>1.0</v>
      </c>
      <c r="D4995" s="5" t="s">
        <v>14987</v>
      </c>
      <c r="E4995" s="5" t="s">
        <v>14988</v>
      </c>
      <c r="F4995" s="6" t="str">
        <f>IFERROR(__xludf.DUMMYFUNCTION("GOOGLETRANSLATE(D4995,""en"",""it"")"),"Io uso cotone, ma non vinile.")</f>
        <v>Io uso cotone, ma non vinile.</v>
      </c>
      <c r="G4995" s="6" t="str">
        <f>IFERROR(__xludf.DUMMYFUNCTION("GOOGLETRANSLATE(E4995,""fr"",""it"")"),"Io uso cotone, ma non vinile.")</f>
        <v>Io uso cotone, ma non vinile.</v>
      </c>
    </row>
    <row r="4996">
      <c r="A4996" s="4">
        <v>4994.0</v>
      </c>
      <c r="B4996" s="5" t="s">
        <v>14989</v>
      </c>
      <c r="C4996" s="4">
        <v>0.0</v>
      </c>
      <c r="D4996" s="5" t="s">
        <v>14990</v>
      </c>
      <c r="E4996" s="5" t="s">
        <v>14991</v>
      </c>
      <c r="F4996" s="6" t="str">
        <f>IFERROR(__xludf.DUMMYFUNCTION("GOOGLETRANSLATE(D4996,""en"",""it"")"),"Mi piacciono i treni, tranne Harley-Davidson.")</f>
        <v>Mi piacciono i treni, tranne Harley-Davidson.</v>
      </c>
      <c r="G4996" s="6" t="str">
        <f>IFERROR(__xludf.DUMMYFUNCTION("GOOGLETRANSLATE(E4996,""fr"",""it"")"),"Mi piacciono i treni, tranne l'Harley-Davidson.")</f>
        <v>Mi piacciono i treni, tranne l'Harley-Davidson.</v>
      </c>
    </row>
    <row r="4997">
      <c r="A4997" s="4">
        <v>4995.0</v>
      </c>
      <c r="B4997" s="5" t="s">
        <v>14992</v>
      </c>
      <c r="C4997" s="4">
        <v>1.0</v>
      </c>
      <c r="D4997" s="5" t="s">
        <v>14993</v>
      </c>
      <c r="E4997" s="5" t="s">
        <v>14994</v>
      </c>
      <c r="F4997" s="6" t="str">
        <f>IFERROR(__xludf.DUMMYFUNCTION("GOOGLETRANSLATE(D4997,""en"",""it"")"),"Io uso il vinile, ma non il vetro.")</f>
        <v>Io uso il vinile, ma non il vetro.</v>
      </c>
      <c r="G4997" s="6" t="str">
        <f>IFERROR(__xludf.DUMMYFUNCTION("GOOGLETRANSLATE(E4997,""fr"",""it"")"),"Io uso il vinile, ma non il vetro.")</f>
        <v>Io uso il vinile, ma non il vetro.</v>
      </c>
    </row>
    <row r="4998">
      <c r="A4998" s="4">
        <v>4996.0</v>
      </c>
      <c r="B4998" s="5" t="s">
        <v>14995</v>
      </c>
      <c r="C4998" s="4">
        <v>1.0</v>
      </c>
      <c r="D4998" s="5" t="s">
        <v>14996</v>
      </c>
      <c r="E4998" s="5" t="s">
        <v>14997</v>
      </c>
      <c r="F4998" s="6" t="str">
        <f>IFERROR(__xludf.DUMMYFUNCTION("GOOGLETRANSLATE(D4998,""en"",""it"")"),"Io uso vetro, ma non vinile.")</f>
        <v>Io uso vetro, ma non vinile.</v>
      </c>
      <c r="G4998" s="6" t="str">
        <f>IFERROR(__xludf.DUMMYFUNCTION("GOOGLETRANSLATE(E4998,""fr"",""it"")"),"Io uso vetro, ma non vinile.")</f>
        <v>Io uso vetro, ma non vinile.</v>
      </c>
    </row>
    <row r="4999">
      <c r="A4999" s="4">
        <v>4997.0</v>
      </c>
      <c r="B4999" s="5" t="s">
        <v>14998</v>
      </c>
      <c r="C4999" s="4">
        <v>1.0</v>
      </c>
      <c r="D4999" s="5" t="s">
        <v>14999</v>
      </c>
      <c r="E4999" s="5" t="s">
        <v>15000</v>
      </c>
      <c r="F4999" s="6" t="str">
        <f>IFERROR(__xludf.DUMMYFUNCTION("GOOGLETRANSLATE(D4999,""en"",""it"")"),"Io uso vinile, ma non pelle.")</f>
        <v>Io uso vinile, ma non pelle.</v>
      </c>
      <c r="G4999" s="6" t="str">
        <f>IFERROR(__xludf.DUMMYFUNCTION("GOOGLETRANSLATE(E4999,""fr"",""it"")"),"Io uso vinile, ma non pelle.")</f>
        <v>Io uso vinile, ma non pelle.</v>
      </c>
    </row>
    <row r="5000">
      <c r="A5000" s="4">
        <v>4998.0</v>
      </c>
      <c r="B5000" s="5" t="s">
        <v>15001</v>
      </c>
      <c r="C5000" s="4">
        <v>1.0</v>
      </c>
      <c r="D5000" s="5" t="s">
        <v>15002</v>
      </c>
      <c r="E5000" s="5" t="s">
        <v>15003</v>
      </c>
      <c r="F5000" s="6" t="str">
        <f>IFERROR(__xludf.DUMMYFUNCTION("GOOGLETRANSLATE(D5000,""en"",""it"")"),"Io uso pelle, ma non vinile.")</f>
        <v>Io uso pelle, ma non vinile.</v>
      </c>
      <c r="G5000" s="6" t="str">
        <f>IFERROR(__xludf.DUMMYFUNCTION("GOOGLETRANSLATE(E5000,""fr"",""it"")"),"Io uso pelle, ma non vinile.")</f>
        <v>Io uso pelle, ma non vinile.</v>
      </c>
    </row>
    <row r="5001">
      <c r="A5001" s="4">
        <v>4999.0</v>
      </c>
      <c r="B5001" s="5" t="s">
        <v>15004</v>
      </c>
      <c r="C5001" s="4">
        <v>1.0</v>
      </c>
      <c r="D5001" s="5" t="s">
        <v>15005</v>
      </c>
      <c r="E5001" s="5" t="s">
        <v>15006</v>
      </c>
      <c r="F5001" s="6" t="str">
        <f>IFERROR(__xludf.DUMMYFUNCTION("GOOGLETRANSLATE(D5001,""en"",""it"")"),"Io uso il PVC, ma non il legno.")</f>
        <v>Io uso il PVC, ma non il legno.</v>
      </c>
      <c r="G5001" s="6" t="str">
        <f>IFERROR(__xludf.DUMMYFUNCTION("GOOGLETRANSLATE(E5001,""fr"",""it"")"),"Io uso il PVC, ma non il legno.")</f>
        <v>Io uso il PVC, ma non il legno.</v>
      </c>
    </row>
    <row r="5002">
      <c r="A5002" s="4">
        <v>5000.0</v>
      </c>
      <c r="B5002" s="5" t="s">
        <v>15007</v>
      </c>
      <c r="C5002" s="4">
        <v>1.0</v>
      </c>
      <c r="D5002" s="5" t="s">
        <v>15008</v>
      </c>
      <c r="E5002" s="5" t="s">
        <v>15009</v>
      </c>
      <c r="F5002" s="6" t="str">
        <f>IFERROR(__xludf.DUMMYFUNCTION("GOOGLETRANSLATE(D5002,""en"",""it"")"),"Io uso il legno, ma non in PVC.")</f>
        <v>Io uso il legno, ma non in PVC.</v>
      </c>
      <c r="G5002" s="6" t="str">
        <f>IFERROR(__xludf.DUMMYFUNCTION("GOOGLETRANSLATE(E5002,""fr"",""it"")"),"Io uso il legno, ma non il PVC.")</f>
        <v>Io uso il legno, ma non il PVC.</v>
      </c>
    </row>
    <row r="5003">
      <c r="A5003" s="4">
        <v>5001.0</v>
      </c>
      <c r="B5003" s="5" t="s">
        <v>15010</v>
      </c>
      <c r="C5003" s="4">
        <v>0.0</v>
      </c>
      <c r="D5003" s="5" t="s">
        <v>15011</v>
      </c>
      <c r="E5003" s="5" t="s">
        <v>15012</v>
      </c>
      <c r="F5003" s="6" t="str">
        <f>IFERROR(__xludf.DUMMYFUNCTION("GOOGLETRANSLATE(D5003,""en"",""it"")"),"Io uso il PVC, ma non la plastica.")</f>
        <v>Io uso il PVC, ma non la plastica.</v>
      </c>
      <c r="G5003" s="6" t="str">
        <f>IFERROR(__xludf.DUMMYFUNCTION("GOOGLETRANSLATE(E5003,""fr"",""it"")"),"Io uso il PVC, ma non la plastica.")</f>
        <v>Io uso il PVC, ma non la plastica.</v>
      </c>
    </row>
    <row r="5004">
      <c r="A5004" s="4">
        <v>5002.0</v>
      </c>
      <c r="B5004" s="5" t="s">
        <v>15013</v>
      </c>
      <c r="C5004" s="4">
        <v>1.0</v>
      </c>
      <c r="D5004" s="5" t="s">
        <v>15014</v>
      </c>
      <c r="E5004" s="5" t="s">
        <v>15015</v>
      </c>
      <c r="F5004" s="6" t="str">
        <f>IFERROR(__xludf.DUMMYFUNCTION("GOOGLETRANSLATE(D5004,""en"",""it"")"),"Io uso la plastica, ma non in PVC.")</f>
        <v>Io uso la plastica, ma non in PVC.</v>
      </c>
      <c r="G5004" s="6" t="str">
        <f>IFERROR(__xludf.DUMMYFUNCTION("GOOGLETRANSLATE(E5004,""fr"",""it"")"),"Io uso la plastica, ma non il PVC.")</f>
        <v>Io uso la plastica, ma non il PVC.</v>
      </c>
    </row>
    <row r="5005">
      <c r="A5005" s="4">
        <v>5003.0</v>
      </c>
      <c r="B5005" s="5" t="s">
        <v>15016</v>
      </c>
      <c r="C5005" s="4">
        <v>1.0</v>
      </c>
      <c r="D5005" s="5" t="s">
        <v>15017</v>
      </c>
      <c r="E5005" s="5" t="s">
        <v>15018</v>
      </c>
      <c r="F5005" s="6" t="str">
        <f>IFERROR(__xludf.DUMMYFUNCTION("GOOGLETRANSLATE(D5005,""en"",""it"")"),"Io uso il PVC, ma non il cotone.")</f>
        <v>Io uso il PVC, ma non il cotone.</v>
      </c>
      <c r="G5005" s="6" t="str">
        <f>IFERROR(__xludf.DUMMYFUNCTION("GOOGLETRANSLATE(E5005,""fr"",""it"")"),"Io uso il PVC, ma non il cotone.")</f>
        <v>Io uso il PVC, ma non il cotone.</v>
      </c>
    </row>
    <row r="5006">
      <c r="A5006" s="4">
        <v>5004.0</v>
      </c>
      <c r="B5006" s="5" t="s">
        <v>15019</v>
      </c>
      <c r="C5006" s="4">
        <v>1.0</v>
      </c>
      <c r="D5006" s="5" t="s">
        <v>15020</v>
      </c>
      <c r="E5006" s="5" t="s">
        <v>15021</v>
      </c>
      <c r="F5006" s="6" t="str">
        <f>IFERROR(__xludf.DUMMYFUNCTION("GOOGLETRANSLATE(D5006,""en"",""it"")"),"Io uso cotone, ma non in PVC.")</f>
        <v>Io uso cotone, ma non in PVC.</v>
      </c>
      <c r="G5006" s="6" t="str">
        <f>IFERROR(__xludf.DUMMYFUNCTION("GOOGLETRANSLATE(E5006,""fr"",""it"")"),"Io uso cotone, ma non il PVC.")</f>
        <v>Io uso cotone, ma non il PVC.</v>
      </c>
    </row>
    <row r="5007">
      <c r="A5007" s="4">
        <v>5005.0</v>
      </c>
      <c r="B5007" s="5" t="s">
        <v>15022</v>
      </c>
      <c r="C5007" s="4">
        <v>1.0</v>
      </c>
      <c r="D5007" s="5" t="s">
        <v>15023</v>
      </c>
      <c r="E5007" s="5" t="s">
        <v>15024</v>
      </c>
      <c r="F5007" s="6" t="str">
        <f>IFERROR(__xludf.DUMMYFUNCTION("GOOGLETRANSLATE(D5007,""en"",""it"")"),"Io uso il PVC, ma non il vetro.")</f>
        <v>Io uso il PVC, ma non il vetro.</v>
      </c>
      <c r="G5007" s="6" t="str">
        <f>IFERROR(__xludf.DUMMYFUNCTION("GOOGLETRANSLATE(E5007,""fr"",""it"")"),"Io uso il PVC, ma non il vetro.")</f>
        <v>Io uso il PVC, ma non il vetro.</v>
      </c>
    </row>
    <row r="5008">
      <c r="A5008" s="4">
        <v>5006.0</v>
      </c>
      <c r="B5008" s="5" t="s">
        <v>15025</v>
      </c>
      <c r="C5008" s="4">
        <v>1.0</v>
      </c>
      <c r="D5008" s="5" t="s">
        <v>15026</v>
      </c>
      <c r="E5008" s="5" t="s">
        <v>15027</v>
      </c>
      <c r="F5008" s="6" t="str">
        <f>IFERROR(__xludf.DUMMYFUNCTION("GOOGLETRANSLATE(D5008,""en"",""it"")"),"Io uso il vetro, ma non in PVC.")</f>
        <v>Io uso il vetro, ma non in PVC.</v>
      </c>
      <c r="G5008" s="6" t="str">
        <f>IFERROR(__xludf.DUMMYFUNCTION("GOOGLETRANSLATE(E5008,""fr"",""it"")"),"Io uso il vetro, ma non il PVC.")</f>
        <v>Io uso il vetro, ma non il PVC.</v>
      </c>
    </row>
    <row r="5009">
      <c r="A5009" s="4">
        <v>5007.0</v>
      </c>
      <c r="B5009" s="5" t="s">
        <v>15028</v>
      </c>
      <c r="C5009" s="4">
        <v>1.0</v>
      </c>
      <c r="D5009" s="5" t="s">
        <v>15029</v>
      </c>
      <c r="E5009" s="5" t="s">
        <v>15030</v>
      </c>
      <c r="F5009" s="6" t="str">
        <f>IFERROR(__xludf.DUMMYFUNCTION("GOOGLETRANSLATE(D5009,""en"",""it"")"),"Io uso PVC, ma non pelle.")</f>
        <v>Io uso PVC, ma non pelle.</v>
      </c>
      <c r="G5009" s="6" t="str">
        <f>IFERROR(__xludf.DUMMYFUNCTION("GOOGLETRANSLATE(E5009,""fr"",""it"")"),"Io uso il PVC, ma non la pelle.")</f>
        <v>Io uso il PVC, ma non la pelle.</v>
      </c>
    </row>
    <row r="5010">
      <c r="A5010" s="4">
        <v>5008.0</v>
      </c>
      <c r="B5010" s="5" t="s">
        <v>15031</v>
      </c>
      <c r="C5010" s="4">
        <v>1.0</v>
      </c>
      <c r="D5010" s="5" t="s">
        <v>15032</v>
      </c>
      <c r="E5010" s="5" t="s">
        <v>15033</v>
      </c>
      <c r="F5010" s="6" t="str">
        <f>IFERROR(__xludf.DUMMYFUNCTION("GOOGLETRANSLATE(D5010,""en"",""it"")"),"Io uso pelle, ma non in PVC.")</f>
        <v>Io uso pelle, ma non in PVC.</v>
      </c>
      <c r="G5010" s="6" t="str">
        <f>IFERROR(__xludf.DUMMYFUNCTION("GOOGLETRANSLATE(E5010,""fr"",""it"")"),"Io uso la pelle, ma non il PVC.")</f>
        <v>Io uso la pelle, ma non il PVC.</v>
      </c>
    </row>
    <row r="5011">
      <c r="A5011" s="4">
        <v>5009.0</v>
      </c>
      <c r="B5011" s="5" t="s">
        <v>15034</v>
      </c>
      <c r="C5011" s="4">
        <v>0.0</v>
      </c>
      <c r="D5011" s="5" t="s">
        <v>15035</v>
      </c>
      <c r="E5011" s="5" t="s">
        <v>15036</v>
      </c>
      <c r="F5011" s="6" t="str">
        <f>IFERROR(__xludf.DUMMYFUNCTION("GOOGLETRANSLATE(D5011,""en"",""it"")"),"Mi piacciono i motocicli, eccetto Enduros.")</f>
        <v>Mi piacciono i motocicli, eccetto Enduros.</v>
      </c>
      <c r="G5011" s="6" t="str">
        <f>IFERROR(__xludf.DUMMYFUNCTION("GOOGLETRANSLATE(E5011,""fr"",""it"")"),"Adoro le motociclette tranne gli enduroso.")</f>
        <v>Adoro le motociclette tranne gli enduroso.</v>
      </c>
    </row>
    <row r="5012">
      <c r="A5012" s="4">
        <v>5010.0</v>
      </c>
      <c r="B5012" s="5" t="s">
        <v>15037</v>
      </c>
      <c r="C5012" s="4">
        <v>1.0</v>
      </c>
      <c r="D5012" s="5" t="s">
        <v>15038</v>
      </c>
      <c r="E5012" s="5" t="s">
        <v>15039</v>
      </c>
      <c r="F5012" s="6" t="str">
        <f>IFERROR(__xludf.DUMMYFUNCTION("GOOGLETRANSLATE(D5012,""en"",""it"")"),"Mi piacciono le sedie, ma non le posate.")</f>
        <v>Mi piacciono le sedie, ma non le posate.</v>
      </c>
      <c r="G5012" s="6" t="str">
        <f>IFERROR(__xludf.DUMMYFUNCTION("GOOGLETRANSLATE(E5012,""fr"",""it"")"),"Apprezzo le sedie, ma non le coltellerie.")</f>
        <v>Apprezzo le sedie, ma non le coltellerie.</v>
      </c>
    </row>
    <row r="5013">
      <c r="A5013" s="4">
        <v>5011.0</v>
      </c>
      <c r="B5013" s="5" t="s">
        <v>15040</v>
      </c>
      <c r="C5013" s="4">
        <v>1.0</v>
      </c>
      <c r="D5013" s="5" t="s">
        <v>15041</v>
      </c>
      <c r="E5013" s="5" t="s">
        <v>15042</v>
      </c>
      <c r="F5013" s="6" t="str">
        <f>IFERROR(__xludf.DUMMYFUNCTION("GOOGLETRANSLATE(D5013,""en"",""it"")"),"Mi piacciono le posate, ma non le sedie.")</f>
        <v>Mi piacciono le posate, ma non le sedie.</v>
      </c>
      <c r="G5013" s="6" t="str">
        <f>IFERROR(__xludf.DUMMYFUNCTION("GOOGLETRANSLATE(E5013,""fr"",""it"")"),"Apprezzo le posate, ma non le sedie.")</f>
        <v>Apprezzo le posate, ma non le sedie.</v>
      </c>
    </row>
    <row r="5014">
      <c r="A5014" s="4">
        <v>5012.0</v>
      </c>
      <c r="B5014" s="5" t="s">
        <v>15043</v>
      </c>
      <c r="C5014" s="4">
        <v>0.0</v>
      </c>
      <c r="D5014" s="5" t="s">
        <v>15044</v>
      </c>
      <c r="E5014" s="5" t="s">
        <v>15045</v>
      </c>
      <c r="F5014" s="6" t="str">
        <f>IFERROR(__xludf.DUMMYFUNCTION("GOOGLETRANSLATE(D5014,""en"",""it"")"),"Mi piacciono le sedie, ma non mobili.")</f>
        <v>Mi piacciono le sedie, ma non mobili.</v>
      </c>
      <c r="G5014" s="6" t="str">
        <f>IFERROR(__xludf.DUMMYFUNCTION("GOOGLETRANSLATE(E5014,""fr"",""it"")"),"Apprezzo le sedie, ma non i mobili.")</f>
        <v>Apprezzo le sedie, ma non i mobili.</v>
      </c>
    </row>
    <row r="5015">
      <c r="A5015" s="4">
        <v>5013.0</v>
      </c>
      <c r="B5015" s="5" t="s">
        <v>15046</v>
      </c>
      <c r="C5015" s="4">
        <v>1.0</v>
      </c>
      <c r="D5015" s="5" t="s">
        <v>15047</v>
      </c>
      <c r="E5015" s="5" t="s">
        <v>15048</v>
      </c>
      <c r="F5015" s="6" t="str">
        <f>IFERROR(__xludf.DUMMYFUNCTION("GOOGLETRANSLATE(D5015,""en"",""it"")"),"Mi piacciono i mobili, ma non le sedie.")</f>
        <v>Mi piacciono i mobili, ma non le sedie.</v>
      </c>
      <c r="G5015" s="6" t="str">
        <f>IFERROR(__xludf.DUMMYFUNCTION("GOOGLETRANSLATE(E5015,""fr"",""it"")"),"Apprezzo i mobili, ma non le sedie.")</f>
        <v>Apprezzo i mobili, ma non le sedie.</v>
      </c>
    </row>
    <row r="5016">
      <c r="A5016" s="4">
        <v>5014.0</v>
      </c>
      <c r="B5016" s="5" t="s">
        <v>15049</v>
      </c>
      <c r="C5016" s="4">
        <v>1.0</v>
      </c>
      <c r="D5016" s="5" t="s">
        <v>15050</v>
      </c>
      <c r="E5016" s="5" t="s">
        <v>15051</v>
      </c>
      <c r="F5016" s="6" t="str">
        <f>IFERROR(__xludf.DUMMYFUNCTION("GOOGLETRANSLATE(D5016,""en"",""it"")"),"Mi piacciono i mobili, ma non la posate.")</f>
        <v>Mi piacciono i mobili, ma non la posate.</v>
      </c>
      <c r="G5016" s="6" t="str">
        <f>IFERROR(__xludf.DUMMYFUNCTION("GOOGLETRANSLATE(E5016,""fr"",""it"")"),"Apprezzo i mobili, ma non i posate.")</f>
        <v>Apprezzo i mobili, ma non i posate.</v>
      </c>
    </row>
    <row r="5017">
      <c r="A5017" s="4">
        <v>5015.0</v>
      </c>
      <c r="B5017" s="5" t="s">
        <v>15052</v>
      </c>
      <c r="C5017" s="4">
        <v>1.0</v>
      </c>
      <c r="D5017" s="5" t="s">
        <v>15053</v>
      </c>
      <c r="E5017" s="5" t="s">
        <v>15054</v>
      </c>
      <c r="F5017" s="6" t="str">
        <f>IFERROR(__xludf.DUMMYFUNCTION("GOOGLETRANSLATE(D5017,""en"",""it"")"),"Mi piacciono le sedie, ma non dipinti.")</f>
        <v>Mi piacciono le sedie, ma non dipinti.</v>
      </c>
      <c r="G5017" s="6" t="str">
        <f>IFERROR(__xludf.DUMMYFUNCTION("GOOGLETRANSLATE(E5017,""fr"",""it"")"),"Apprezzo le sedie, ma non i dipinti.")</f>
        <v>Apprezzo le sedie, ma non i dipinti.</v>
      </c>
    </row>
    <row r="5018">
      <c r="A5018" s="4">
        <v>5016.0</v>
      </c>
      <c r="B5018" s="5" t="s">
        <v>15055</v>
      </c>
      <c r="C5018" s="4">
        <v>1.0</v>
      </c>
      <c r="D5018" s="5" t="s">
        <v>15056</v>
      </c>
      <c r="E5018" s="5" t="s">
        <v>15057</v>
      </c>
      <c r="F5018" s="6" t="str">
        <f>IFERROR(__xludf.DUMMYFUNCTION("GOOGLETRANSLATE(D5018,""en"",""it"")"),"Mi piacciono i dipinti, ma non le sedie.")</f>
        <v>Mi piacciono i dipinti, ma non le sedie.</v>
      </c>
      <c r="G5018" s="6" t="str">
        <f>IFERROR(__xludf.DUMMYFUNCTION("GOOGLETRANSLATE(E5018,""fr"",""it"")"),"Apprezzo i dipinti, ma non le sedie.")</f>
        <v>Apprezzo i dipinti, ma non le sedie.</v>
      </c>
    </row>
    <row r="5019">
      <c r="A5019" s="4">
        <v>5017.0</v>
      </c>
      <c r="B5019" s="5" t="s">
        <v>15058</v>
      </c>
      <c r="C5019" s="4">
        <v>0.0</v>
      </c>
      <c r="D5019" s="5" t="s">
        <v>15059</v>
      </c>
      <c r="E5019" s="5" t="s">
        <v>15060</v>
      </c>
      <c r="F5019" s="6" t="str">
        <f>IFERROR(__xludf.DUMMYFUNCTION("GOOGLETRANSLATE(D5019,""en"",""it"")"),"Mi piace Harley-Davidson, tranne gli aeroplani.")</f>
        <v>Mi piace Harley-Davidson, tranne gli aeroplani.</v>
      </c>
      <c r="G5019" s="6" t="str">
        <f>IFERROR(__xludf.DUMMYFUNCTION("GOOGLETRANSLATE(E5019,""fr"",""it"")"),"Mi piace l'Harley-Davidson, tranne gli aerei.")</f>
        <v>Mi piace l'Harley-Davidson, tranne gli aerei.</v>
      </c>
    </row>
    <row r="5020">
      <c r="A5020" s="4">
        <v>5018.0</v>
      </c>
      <c r="B5020" s="5" t="s">
        <v>15061</v>
      </c>
      <c r="C5020" s="4">
        <v>1.0</v>
      </c>
      <c r="D5020" s="5" t="s">
        <v>15062</v>
      </c>
      <c r="E5020" s="5" t="s">
        <v>15063</v>
      </c>
      <c r="F5020" s="6" t="str">
        <f>IFERROR(__xludf.DUMMYFUNCTION("GOOGLETRANSLATE(D5020,""en"",""it"")"),"Mi piacciono i mobili, ma non i dipinti.")</f>
        <v>Mi piacciono i mobili, ma non i dipinti.</v>
      </c>
      <c r="G5020" s="6" t="str">
        <f>IFERROR(__xludf.DUMMYFUNCTION("GOOGLETRANSLATE(E5020,""fr"",""it"")"),"Apprezzo i mobili, ma non i dipinti.")</f>
        <v>Apprezzo i mobili, ma non i dipinti.</v>
      </c>
    </row>
    <row r="5021">
      <c r="A5021" s="4">
        <v>5019.0</v>
      </c>
      <c r="B5021" s="5" t="s">
        <v>15064</v>
      </c>
      <c r="C5021" s="4">
        <v>1.0</v>
      </c>
      <c r="D5021" s="5" t="s">
        <v>15065</v>
      </c>
      <c r="E5021" s="5" t="s">
        <v>15066</v>
      </c>
      <c r="F5021" s="6" t="str">
        <f>IFERROR(__xludf.DUMMYFUNCTION("GOOGLETRANSLATE(D5021,""en"",""it"")"),"Mi piacciono le sedie, ma non la carta da parati.")</f>
        <v>Mi piacciono le sedie, ma non la carta da parati.</v>
      </c>
      <c r="G5021" s="6" t="str">
        <f>IFERROR(__xludf.DUMMYFUNCTION("GOOGLETRANSLATE(E5021,""fr"",""it"")"),"Apprezzo le sedie, ma non la carta da parati.")</f>
        <v>Apprezzo le sedie, ma non la carta da parati.</v>
      </c>
    </row>
    <row r="5022">
      <c r="A5022" s="4">
        <v>5020.0</v>
      </c>
      <c r="B5022" s="5" t="s">
        <v>15067</v>
      </c>
      <c r="C5022" s="4">
        <v>1.0</v>
      </c>
      <c r="D5022" s="5" t="s">
        <v>15068</v>
      </c>
      <c r="E5022" s="5" t="s">
        <v>15069</v>
      </c>
      <c r="F5022" s="6" t="str">
        <f>IFERROR(__xludf.DUMMYFUNCTION("GOOGLETRANSLATE(D5022,""en"",""it"")"),"Mi piace sfondo, ma non sedie.")</f>
        <v>Mi piace sfondo, ma non sedie.</v>
      </c>
      <c r="G5022" s="6" t="str">
        <f>IFERROR(__xludf.DUMMYFUNCTION("GOOGLETRANSLATE(E5022,""fr"",""it"")"),"Apprezzo la carta da parati, ma non le sedie.")</f>
        <v>Apprezzo la carta da parati, ma non le sedie.</v>
      </c>
    </row>
    <row r="5023">
      <c r="A5023" s="4">
        <v>5021.0</v>
      </c>
      <c r="B5023" s="5" t="s">
        <v>15070</v>
      </c>
      <c r="C5023" s="4">
        <v>1.0</v>
      </c>
      <c r="D5023" s="5" t="s">
        <v>15071</v>
      </c>
      <c r="E5023" s="5" t="s">
        <v>15072</v>
      </c>
      <c r="F5023" s="6" t="str">
        <f>IFERROR(__xludf.DUMMYFUNCTION("GOOGLETRANSLATE(D5023,""en"",""it"")"),"Mi piacciono i mobili, ma non la carta da parati.")</f>
        <v>Mi piacciono i mobili, ma non la carta da parati.</v>
      </c>
      <c r="G5023" s="6" t="str">
        <f>IFERROR(__xludf.DUMMYFUNCTION("GOOGLETRANSLATE(E5023,""fr"",""it"")"),"Apprezzo i mobili, ma non la carta da parati.")</f>
        <v>Apprezzo i mobili, ma non la carta da parati.</v>
      </c>
    </row>
    <row r="5024">
      <c r="A5024" s="4">
        <v>5022.0</v>
      </c>
      <c r="B5024" s="5" t="s">
        <v>15073</v>
      </c>
      <c r="C5024" s="4">
        <v>1.0</v>
      </c>
      <c r="D5024" s="5" t="s">
        <v>15074</v>
      </c>
      <c r="E5024" s="5" t="s">
        <v>15075</v>
      </c>
      <c r="F5024" s="6" t="str">
        <f>IFERROR(__xludf.DUMMYFUNCTION("GOOGLETRANSLATE(D5024,""en"",""it"")"),"Mi piacciono le sedie, ma non parquet.")</f>
        <v>Mi piacciono le sedie, ma non parquet.</v>
      </c>
      <c r="G5024" s="6" t="str">
        <f>IFERROR(__xludf.DUMMYFUNCTION("GOOGLETRANSLATE(E5024,""fr"",""it"")"),"Apprezzo le sedie, ma non il pavimento.")</f>
        <v>Apprezzo le sedie, ma non il pavimento.</v>
      </c>
    </row>
    <row r="5025">
      <c r="A5025" s="4">
        <v>5023.0</v>
      </c>
      <c r="B5025" s="5" t="s">
        <v>15076</v>
      </c>
      <c r="C5025" s="4">
        <v>1.0</v>
      </c>
      <c r="D5025" s="5" t="s">
        <v>15077</v>
      </c>
      <c r="E5025" s="5" t="s">
        <v>15078</v>
      </c>
      <c r="F5025" s="6" t="str">
        <f>IFERROR(__xludf.DUMMYFUNCTION("GOOGLETRANSLATE(D5025,""en"",""it"")"),"Mi piace il parquet, ma non sedie.")</f>
        <v>Mi piace il parquet, ma non sedie.</v>
      </c>
      <c r="G5025" s="6" t="str">
        <f>IFERROR(__xludf.DUMMYFUNCTION("GOOGLETRANSLATE(E5025,""fr"",""it"")"),"Apprezzo il pavimento, ma non le sedie.")</f>
        <v>Apprezzo il pavimento, ma non le sedie.</v>
      </c>
    </row>
    <row r="5026">
      <c r="A5026" s="4">
        <v>5024.0</v>
      </c>
      <c r="B5026" s="5" t="s">
        <v>15079</v>
      </c>
      <c r="C5026" s="4">
        <v>0.0</v>
      </c>
      <c r="D5026" s="5" t="s">
        <v>15080</v>
      </c>
      <c r="E5026" s="5" t="s">
        <v>15081</v>
      </c>
      <c r="F5026" s="6" t="str">
        <f>IFERROR(__xludf.DUMMYFUNCTION("GOOGLETRANSLATE(D5026,""en"",""it"")"),"Mi piacciono gli aerei, tranne Harley-Davidson.")</f>
        <v>Mi piacciono gli aerei, tranne Harley-Davidson.</v>
      </c>
      <c r="G5026" s="6" t="str">
        <f>IFERROR(__xludf.DUMMYFUNCTION("GOOGLETRANSLATE(E5026,""fr"",""it"")"),"Mi piacciono gli aerei, tranne Harley-Davidson.")</f>
        <v>Mi piacciono gli aerei, tranne Harley-Davidson.</v>
      </c>
    </row>
    <row r="5027">
      <c r="A5027" s="4">
        <v>5025.0</v>
      </c>
      <c r="B5027" s="5" t="s">
        <v>15082</v>
      </c>
      <c r="C5027" s="4">
        <v>1.0</v>
      </c>
      <c r="D5027" s="5" t="s">
        <v>15083</v>
      </c>
      <c r="E5027" s="5" t="s">
        <v>15084</v>
      </c>
      <c r="F5027" s="6" t="str">
        <f>IFERROR(__xludf.DUMMYFUNCTION("GOOGLETRANSLATE(D5027,""en"",""it"")"),"Mi piacciono i mobili, ma non il parquet.")</f>
        <v>Mi piacciono i mobili, ma non il parquet.</v>
      </c>
      <c r="G5027" s="6" t="str">
        <f>IFERROR(__xludf.DUMMYFUNCTION("GOOGLETRANSLATE(E5027,""fr"",""it"")"),"Apprezzo i mobili, ma non il pavimento.")</f>
        <v>Apprezzo i mobili, ma non il pavimento.</v>
      </c>
    </row>
    <row r="5028">
      <c r="A5028" s="4">
        <v>5026.0</v>
      </c>
      <c r="B5028" s="5" t="s">
        <v>15085</v>
      </c>
      <c r="C5028" s="4">
        <v>1.0</v>
      </c>
      <c r="D5028" s="5" t="s">
        <v>15086</v>
      </c>
      <c r="E5028" s="5" t="s">
        <v>15087</v>
      </c>
      <c r="F5028" s="6" t="str">
        <f>IFERROR(__xludf.DUMMYFUNCTION("GOOGLETRANSLATE(D5028,""en"",""it"")"),"Mi piacciono i tavoli, ma non la posate.")</f>
        <v>Mi piacciono i tavoli, ma non la posate.</v>
      </c>
      <c r="G5028" s="6" t="str">
        <f>IFERROR(__xludf.DUMMYFUNCTION("GOOGLETRANSLATE(E5028,""fr"",""it"")"),"Apprezzo i tavoli, ma non la posate.")</f>
        <v>Apprezzo i tavoli, ma non la posate.</v>
      </c>
    </row>
    <row r="5029">
      <c r="A5029" s="4">
        <v>5027.0</v>
      </c>
      <c r="B5029" s="5" t="s">
        <v>15088</v>
      </c>
      <c r="C5029" s="4">
        <v>1.0</v>
      </c>
      <c r="D5029" s="5" t="s">
        <v>15089</v>
      </c>
      <c r="E5029" s="5" t="s">
        <v>15090</v>
      </c>
      <c r="F5029" s="6" t="str">
        <f>IFERROR(__xludf.DUMMYFUNCTION("GOOGLETRANSLATE(D5029,""en"",""it"")"),"Mi piacciono le posate, ma non le tabelle.")</f>
        <v>Mi piacciono le posate, ma non le tabelle.</v>
      </c>
      <c r="G5029" s="6" t="str">
        <f>IFERROR(__xludf.DUMMYFUNCTION("GOOGLETRANSLATE(E5029,""fr"",""it"")"),"Apprezzo le posate, ma non i tavoli.")</f>
        <v>Apprezzo le posate, ma non i tavoli.</v>
      </c>
    </row>
    <row r="5030">
      <c r="A5030" s="4">
        <v>5028.0</v>
      </c>
      <c r="B5030" s="5" t="s">
        <v>15091</v>
      </c>
      <c r="C5030" s="4">
        <v>0.0</v>
      </c>
      <c r="D5030" s="5" t="s">
        <v>15092</v>
      </c>
      <c r="E5030" s="5" t="s">
        <v>15093</v>
      </c>
      <c r="F5030" s="6" t="str">
        <f>IFERROR(__xludf.DUMMYFUNCTION("GOOGLETRANSLATE(D5030,""en"",""it"")"),"Mi piacciono i tavoli, ma non i mobili.")</f>
        <v>Mi piacciono i tavoli, ma non i mobili.</v>
      </c>
      <c r="G5030" s="6" t="str">
        <f>IFERROR(__xludf.DUMMYFUNCTION("GOOGLETRANSLATE(E5030,""fr"",""it"")"),"Apprezzo i tavoli, ma non i mobili.")</f>
        <v>Apprezzo i tavoli, ma non i mobili.</v>
      </c>
    </row>
    <row r="5031">
      <c r="A5031" s="4">
        <v>5029.0</v>
      </c>
      <c r="B5031" s="5" t="s">
        <v>15094</v>
      </c>
      <c r="C5031" s="4">
        <v>1.0</v>
      </c>
      <c r="D5031" s="5" t="s">
        <v>15095</v>
      </c>
      <c r="E5031" s="5" t="s">
        <v>15096</v>
      </c>
      <c r="F5031" s="6" t="str">
        <f>IFERROR(__xludf.DUMMYFUNCTION("GOOGLETRANSLATE(D5031,""en"",""it"")"),"Mi piacciono i mobili, ma non le tabelle.")</f>
        <v>Mi piacciono i mobili, ma non le tabelle.</v>
      </c>
      <c r="G5031" s="6" t="str">
        <f>IFERROR(__xludf.DUMMYFUNCTION("GOOGLETRANSLATE(E5031,""fr"",""it"")"),"Apprezzo i mobili, ma non i tavoli.")</f>
        <v>Apprezzo i mobili, ma non i tavoli.</v>
      </c>
    </row>
    <row r="5032">
      <c r="A5032" s="4">
        <v>5030.0</v>
      </c>
      <c r="B5032" s="5" t="s">
        <v>15097</v>
      </c>
      <c r="C5032" s="4">
        <v>1.0</v>
      </c>
      <c r="D5032" s="5" t="s">
        <v>15098</v>
      </c>
      <c r="E5032" s="5" t="s">
        <v>15099</v>
      </c>
      <c r="F5032" s="6" t="str">
        <f>IFERROR(__xludf.DUMMYFUNCTION("GOOGLETRANSLATE(D5032,""en"",""it"")"),"Mi piacciono i tavoli, ma non i dipinti.")</f>
        <v>Mi piacciono i tavoli, ma non i dipinti.</v>
      </c>
      <c r="G5032" s="6" t="str">
        <f>IFERROR(__xludf.DUMMYFUNCTION("GOOGLETRANSLATE(E5032,""fr"",""it"")"),"Apprezzo i tavoli, ma non i dipinti.")</f>
        <v>Apprezzo i tavoli, ma non i dipinti.</v>
      </c>
    </row>
    <row r="5033">
      <c r="A5033" s="4">
        <v>5031.0</v>
      </c>
      <c r="B5033" s="5" t="s">
        <v>15100</v>
      </c>
      <c r="C5033" s="4">
        <v>1.0</v>
      </c>
      <c r="D5033" s="5" t="s">
        <v>15101</v>
      </c>
      <c r="E5033" s="5" t="s">
        <v>15102</v>
      </c>
      <c r="F5033" s="6" t="str">
        <f>IFERROR(__xludf.DUMMYFUNCTION("GOOGLETRANSLATE(D5033,""en"",""it"")"),"Mi piacciono i dipinti, ma non tavolini.")</f>
        <v>Mi piacciono i dipinti, ma non tavolini.</v>
      </c>
      <c r="G5033" s="6" t="str">
        <f>IFERROR(__xludf.DUMMYFUNCTION("GOOGLETRANSLATE(E5033,""fr"",""it"")"),"Apprezzo i dipinti, ma non i tavoli.")</f>
        <v>Apprezzo i dipinti, ma non i tavoli.</v>
      </c>
    </row>
    <row r="5034">
      <c r="A5034" s="4">
        <v>5032.0</v>
      </c>
      <c r="B5034" s="5" t="s">
        <v>15103</v>
      </c>
      <c r="C5034" s="4">
        <v>1.0</v>
      </c>
      <c r="D5034" s="5" t="s">
        <v>15104</v>
      </c>
      <c r="E5034" s="5" t="s">
        <v>15105</v>
      </c>
      <c r="F5034" s="6" t="str">
        <f>IFERROR(__xludf.DUMMYFUNCTION("GOOGLETRANSLATE(D5034,""en"",""it"")"),"Mi piacciono i tavoli, ma non la carta da parati.")</f>
        <v>Mi piacciono i tavoli, ma non la carta da parati.</v>
      </c>
      <c r="G5034" s="6" t="str">
        <f>IFERROR(__xludf.DUMMYFUNCTION("GOOGLETRANSLATE(E5034,""fr"",""it"")"),"Apprezzo i tavoli, ma non lo sfondo.")</f>
        <v>Apprezzo i tavoli, ma non lo sfondo.</v>
      </c>
    </row>
    <row r="5035">
      <c r="A5035" s="4">
        <v>5033.0</v>
      </c>
      <c r="B5035" s="5" t="s">
        <v>15106</v>
      </c>
      <c r="C5035" s="4">
        <v>1.0</v>
      </c>
      <c r="D5035" s="5" t="s">
        <v>15107</v>
      </c>
      <c r="E5035" s="5" t="s">
        <v>15108</v>
      </c>
      <c r="F5035" s="6" t="str">
        <f>IFERROR(__xludf.DUMMYFUNCTION("GOOGLETRANSLATE(D5035,""en"",""it"")"),"Mi piace sfondo, ma non tavoli.")</f>
        <v>Mi piace sfondo, ma non tavoli.</v>
      </c>
      <c r="G5035" s="6" t="str">
        <f>IFERROR(__xludf.DUMMYFUNCTION("GOOGLETRANSLATE(E5035,""fr"",""it"")"),"Apprezzo la carta da parati, ma non i tavoli.")</f>
        <v>Apprezzo la carta da parati, ma non i tavoli.</v>
      </c>
    </row>
    <row r="5036">
      <c r="A5036" s="4">
        <v>5034.0</v>
      </c>
      <c r="B5036" s="5" t="s">
        <v>15109</v>
      </c>
      <c r="C5036" s="4">
        <v>1.0</v>
      </c>
      <c r="D5036" s="5" t="s">
        <v>15110</v>
      </c>
      <c r="E5036" s="5" t="s">
        <v>15111</v>
      </c>
      <c r="F5036" s="6" t="str">
        <f>IFERROR(__xludf.DUMMYFUNCTION("GOOGLETRANSLATE(D5036,""en"",""it"")"),"Mi piacciono i tavoli, ma non il parquet.")</f>
        <v>Mi piacciono i tavoli, ma non il parquet.</v>
      </c>
      <c r="G5036" s="6" t="str">
        <f>IFERROR(__xludf.DUMMYFUNCTION("GOOGLETRANSLATE(E5036,""fr"",""it"")"),"Apprezzo i tavoli, ma non il pavimento.")</f>
        <v>Apprezzo i tavoli, ma non il pavimento.</v>
      </c>
    </row>
    <row r="5037">
      <c r="A5037" s="4">
        <v>5035.0</v>
      </c>
      <c r="B5037" s="5" t="s">
        <v>15112</v>
      </c>
      <c r="C5037" s="4">
        <v>1.0</v>
      </c>
      <c r="D5037" s="5" t="s">
        <v>15113</v>
      </c>
      <c r="E5037" s="5" t="s">
        <v>15114</v>
      </c>
      <c r="F5037" s="6" t="str">
        <f>IFERROR(__xludf.DUMMYFUNCTION("GOOGLETRANSLATE(D5037,""en"",""it"")"),"Mi piace il parquet, ma non tavolini.")</f>
        <v>Mi piace il parquet, ma non tavolini.</v>
      </c>
      <c r="G5037" s="6" t="str">
        <f>IFERROR(__xludf.DUMMYFUNCTION("GOOGLETRANSLATE(E5037,""fr"",""it"")"),"Apprezzo il pavimento, ma non i tavoli.")</f>
        <v>Apprezzo il pavimento, ma non i tavoli.</v>
      </c>
    </row>
    <row r="5038">
      <c r="A5038" s="4">
        <v>5036.0</v>
      </c>
      <c r="B5038" s="5" t="s">
        <v>15115</v>
      </c>
      <c r="C5038" s="4">
        <v>1.0</v>
      </c>
      <c r="D5038" s="5" t="s">
        <v>15116</v>
      </c>
      <c r="E5038" s="5" t="s">
        <v>15117</v>
      </c>
      <c r="F5038" s="6" t="str">
        <f>IFERROR(__xludf.DUMMYFUNCTION("GOOGLETRANSLATE(D5038,""en"",""it"")"),"Mi piacciono gli armadi, ma non la posate.")</f>
        <v>Mi piacciono gli armadi, ma non la posate.</v>
      </c>
      <c r="G5038" s="6" t="str">
        <f>IFERROR(__xludf.DUMMYFUNCTION("GOOGLETRANSLATE(E5038,""fr"",""it"")"),"Apprezzo gli armadietti, ma non le posate.")</f>
        <v>Apprezzo gli armadietti, ma non le posate.</v>
      </c>
    </row>
    <row r="5039">
      <c r="A5039" s="4">
        <v>5037.0</v>
      </c>
      <c r="B5039" s="5" t="s">
        <v>15118</v>
      </c>
      <c r="C5039" s="4">
        <v>1.0</v>
      </c>
      <c r="D5039" s="5" t="s">
        <v>15119</v>
      </c>
      <c r="E5039" s="5" t="s">
        <v>15120</v>
      </c>
      <c r="F5039" s="6" t="str">
        <f>IFERROR(__xludf.DUMMYFUNCTION("GOOGLETRANSLATE(D5039,""en"",""it"")"),"Mi piacciono le posate, ma non gli armadi.")</f>
        <v>Mi piacciono le posate, ma non gli armadi.</v>
      </c>
      <c r="G5039" s="6" t="str">
        <f>IFERROR(__xludf.DUMMYFUNCTION("GOOGLETRANSLATE(E5039,""fr"",""it"")"),"Apprezzo le posate, ma non gli armadietti.")</f>
        <v>Apprezzo le posate, ma non gli armadietti.</v>
      </c>
    </row>
    <row r="5040">
      <c r="A5040" s="4">
        <v>5038.0</v>
      </c>
      <c r="B5040" s="5" t="s">
        <v>15121</v>
      </c>
      <c r="C5040" s="4">
        <v>0.0</v>
      </c>
      <c r="D5040" s="5" t="s">
        <v>15122</v>
      </c>
      <c r="E5040" s="5" t="s">
        <v>15123</v>
      </c>
      <c r="F5040" s="6" t="str">
        <f>IFERROR(__xludf.DUMMYFUNCTION("GOOGLETRANSLATE(D5040,""en"",""it"")"),"Mi piacciono gli armadi, ma non mobili.")</f>
        <v>Mi piacciono gli armadi, ma non mobili.</v>
      </c>
      <c r="G5040" s="6" t="str">
        <f>IFERROR(__xludf.DUMMYFUNCTION("GOOGLETRANSLATE(E5040,""fr"",""it"")"),"Apprezzo gli armadietti, ma non i mobili.")</f>
        <v>Apprezzo gli armadietti, ma non i mobili.</v>
      </c>
    </row>
    <row r="5041">
      <c r="A5041" s="4">
        <v>5039.0</v>
      </c>
      <c r="B5041" s="5" t="s">
        <v>15124</v>
      </c>
      <c r="C5041" s="4">
        <v>1.0</v>
      </c>
      <c r="D5041" s="5" t="s">
        <v>15125</v>
      </c>
      <c r="E5041" s="5" t="s">
        <v>15126</v>
      </c>
      <c r="F5041" s="6" t="str">
        <f>IFERROR(__xludf.DUMMYFUNCTION("GOOGLETRANSLATE(D5041,""en"",""it"")"),"Mi piacciono i mobili, ma non gli armadi.")</f>
        <v>Mi piacciono i mobili, ma non gli armadi.</v>
      </c>
      <c r="G5041" s="6" t="str">
        <f>IFERROR(__xludf.DUMMYFUNCTION("GOOGLETRANSLATE(E5041,""fr"",""it"")"),"Apprezzo i mobili, ma non gli armadietti.")</f>
        <v>Apprezzo i mobili, ma non gli armadietti.</v>
      </c>
    </row>
    <row r="5042">
      <c r="A5042" s="4">
        <v>5040.0</v>
      </c>
      <c r="B5042" s="5" t="s">
        <v>15127</v>
      </c>
      <c r="C5042" s="4">
        <v>1.0</v>
      </c>
      <c r="D5042" s="5" t="s">
        <v>15128</v>
      </c>
      <c r="E5042" s="5" t="s">
        <v>15129</v>
      </c>
      <c r="F5042" s="6" t="str">
        <f>IFERROR(__xludf.DUMMYFUNCTION("GOOGLETRANSLATE(D5042,""en"",""it"")"),"Mi piacciono gli armadi, ma non i dipinti.")</f>
        <v>Mi piacciono gli armadi, ma non i dipinti.</v>
      </c>
      <c r="G5042" s="6" t="str">
        <f>IFERROR(__xludf.DUMMYFUNCTION("GOOGLETRANSLATE(E5042,""fr"",""it"")"),"Apprezzo gli armadietti, ma non i dipinti.")</f>
        <v>Apprezzo gli armadietti, ma non i dipinti.</v>
      </c>
    </row>
    <row r="5043">
      <c r="A5043" s="4">
        <v>5041.0</v>
      </c>
      <c r="B5043" s="5" t="s">
        <v>15130</v>
      </c>
      <c r="C5043" s="4">
        <v>1.0</v>
      </c>
      <c r="D5043" s="5" t="s">
        <v>15131</v>
      </c>
      <c r="E5043" s="5" t="s">
        <v>15132</v>
      </c>
      <c r="F5043" s="6" t="str">
        <f>IFERROR(__xludf.DUMMYFUNCTION("GOOGLETRANSLATE(D5043,""en"",""it"")"),"Mi piacciono i dipinti, ma non gli armadi.")</f>
        <v>Mi piacciono i dipinti, ma non gli armadi.</v>
      </c>
      <c r="G5043" s="6" t="str">
        <f>IFERROR(__xludf.DUMMYFUNCTION("GOOGLETRANSLATE(E5043,""fr"",""it"")"),"Apprezzo i dipinti, ma non gli armadietti.")</f>
        <v>Apprezzo i dipinti, ma non gli armadietti.</v>
      </c>
    </row>
    <row r="5044">
      <c r="A5044" s="4">
        <v>5042.0</v>
      </c>
      <c r="B5044" s="5" t="s">
        <v>15133</v>
      </c>
      <c r="C5044" s="4">
        <v>0.0</v>
      </c>
      <c r="D5044" s="5" t="s">
        <v>15134</v>
      </c>
      <c r="E5044" s="5" t="s">
        <v>15135</v>
      </c>
      <c r="F5044" s="6" t="str">
        <f>IFERROR(__xludf.DUMMYFUNCTION("GOOGLETRANSLATE(D5044,""en"",""it"")"),"Mi piacciono i motocicli, tranne Kawasakis.")</f>
        <v>Mi piacciono i motocicli, tranne Kawasakis.</v>
      </c>
      <c r="G5044" s="6" t="str">
        <f>IFERROR(__xludf.DUMMYFUNCTION("GOOGLETRANSLATE(E5044,""fr"",""it"")"),"Adoro le motocicli tranne Kawasakis.")</f>
        <v>Adoro le motocicli tranne Kawasakis.</v>
      </c>
    </row>
    <row r="5045">
      <c r="A5045" s="4">
        <v>5043.0</v>
      </c>
      <c r="B5045" s="5" t="s">
        <v>15136</v>
      </c>
      <c r="C5045" s="4">
        <v>1.0</v>
      </c>
      <c r="D5045" s="5" t="s">
        <v>15137</v>
      </c>
      <c r="E5045" s="5" t="s">
        <v>15138</v>
      </c>
      <c r="F5045" s="6" t="str">
        <f>IFERROR(__xludf.DUMMYFUNCTION("GOOGLETRANSLATE(D5045,""en"",""it"")"),"Mi piacciono gli armadi, ma non la carta da parati.")</f>
        <v>Mi piacciono gli armadi, ma non la carta da parati.</v>
      </c>
      <c r="G5045" s="6" t="str">
        <f>IFERROR(__xludf.DUMMYFUNCTION("GOOGLETRANSLATE(E5045,""fr"",""it"")"),"Apprezzo gli armadietti, ma non lo sfondo.")</f>
        <v>Apprezzo gli armadietti, ma non lo sfondo.</v>
      </c>
    </row>
    <row r="5046">
      <c r="A5046" s="4">
        <v>5044.0</v>
      </c>
      <c r="B5046" s="5" t="s">
        <v>15139</v>
      </c>
      <c r="C5046" s="4">
        <v>1.0</v>
      </c>
      <c r="D5046" s="5" t="s">
        <v>15140</v>
      </c>
      <c r="E5046" s="5" t="s">
        <v>15141</v>
      </c>
      <c r="F5046" s="6" t="str">
        <f>IFERROR(__xludf.DUMMYFUNCTION("GOOGLETRANSLATE(D5046,""en"",""it"")"),"Mi piace sfondo, ma non armadi.")</f>
        <v>Mi piace sfondo, ma non armadi.</v>
      </c>
      <c r="G5046" s="6" t="str">
        <f>IFERROR(__xludf.DUMMYFUNCTION("GOOGLETRANSLATE(E5046,""fr"",""it"")"),"Apprezzo la carta da parati, ma non gli armadietti.")</f>
        <v>Apprezzo la carta da parati, ma non gli armadietti.</v>
      </c>
    </row>
    <row r="5047">
      <c r="A5047" s="4">
        <v>5045.0</v>
      </c>
      <c r="B5047" s="5" t="s">
        <v>15142</v>
      </c>
      <c r="C5047" s="4">
        <v>1.0</v>
      </c>
      <c r="D5047" s="5" t="s">
        <v>15143</v>
      </c>
      <c r="E5047" s="5" t="s">
        <v>15144</v>
      </c>
      <c r="F5047" s="6" t="str">
        <f>IFERROR(__xludf.DUMMYFUNCTION("GOOGLETRANSLATE(D5047,""en"",""it"")"),"Mi piacciono gli armadi, ma non parquet.")</f>
        <v>Mi piacciono gli armadi, ma non parquet.</v>
      </c>
      <c r="G5047" s="6" t="str">
        <f>IFERROR(__xludf.DUMMYFUNCTION("GOOGLETRANSLATE(E5047,""fr"",""it"")"),"Apprezzo gli armadietti, ma non il pavimento.")</f>
        <v>Apprezzo gli armadietti, ma non il pavimento.</v>
      </c>
    </row>
    <row r="5048">
      <c r="A5048" s="4">
        <v>5046.0</v>
      </c>
      <c r="B5048" s="5" t="s">
        <v>15145</v>
      </c>
      <c r="C5048" s="4">
        <v>1.0</v>
      </c>
      <c r="D5048" s="5" t="s">
        <v>15146</v>
      </c>
      <c r="E5048" s="5" t="s">
        <v>15147</v>
      </c>
      <c r="F5048" s="6" t="str">
        <f>IFERROR(__xludf.DUMMYFUNCTION("GOOGLETRANSLATE(D5048,""en"",""it"")"),"Mi piace il parquet, ma non armadi.")</f>
        <v>Mi piace il parquet, ma non armadi.</v>
      </c>
      <c r="G5048" s="6" t="str">
        <f>IFERROR(__xludf.DUMMYFUNCTION("GOOGLETRANSLATE(E5048,""fr"",""it"")"),"Apprezzo il pavimento, ma non gli armadietti.")</f>
        <v>Apprezzo il pavimento, ma non gli armadietti.</v>
      </c>
    </row>
    <row r="5049">
      <c r="A5049" s="4">
        <v>5047.0</v>
      </c>
      <c r="B5049" s="5" t="s">
        <v>15148</v>
      </c>
      <c r="C5049" s="4">
        <v>1.0</v>
      </c>
      <c r="D5049" s="5" t="s">
        <v>15149</v>
      </c>
      <c r="E5049" s="5" t="s">
        <v>15150</v>
      </c>
      <c r="F5049" s="6" t="str">
        <f>IFERROR(__xludf.DUMMYFUNCTION("GOOGLETRANSLATE(D5049,""en"",""it"")"),"Mi piacciono i letti, ma non le posate.")</f>
        <v>Mi piacciono i letti, ma non le posate.</v>
      </c>
      <c r="G5049" s="6" t="str">
        <f>IFERROR(__xludf.DUMMYFUNCTION("GOOGLETRANSLATE(E5049,""fr"",""it"")"),"Apprezzo i letti, ma non le posate.")</f>
        <v>Apprezzo i letti, ma non le posate.</v>
      </c>
    </row>
    <row r="5050">
      <c r="A5050" s="4">
        <v>5048.0</v>
      </c>
      <c r="B5050" s="5" t="s">
        <v>15151</v>
      </c>
      <c r="C5050" s="4">
        <v>1.0</v>
      </c>
      <c r="D5050" s="5" t="s">
        <v>15152</v>
      </c>
      <c r="E5050" s="5" t="s">
        <v>15153</v>
      </c>
      <c r="F5050" s="6" t="str">
        <f>IFERROR(__xludf.DUMMYFUNCTION("GOOGLETRANSLATE(D5050,""en"",""it"")"),"Mi piacciono le posate, ma non letti.")</f>
        <v>Mi piacciono le posate, ma non letti.</v>
      </c>
      <c r="G5050" s="6" t="str">
        <f>IFERROR(__xludf.DUMMYFUNCTION("GOOGLETRANSLATE(E5050,""fr"",""it"")"),"Apprezzo le posate, ma non i letti.")</f>
        <v>Apprezzo le posate, ma non i letti.</v>
      </c>
    </row>
    <row r="5051">
      <c r="A5051" s="4">
        <v>5049.0</v>
      </c>
      <c r="B5051" s="5" t="s">
        <v>15154</v>
      </c>
      <c r="C5051" s="4">
        <v>0.0</v>
      </c>
      <c r="D5051" s="5" t="s">
        <v>15155</v>
      </c>
      <c r="E5051" s="5" t="s">
        <v>15156</v>
      </c>
      <c r="F5051" s="6" t="str">
        <f>IFERROR(__xludf.DUMMYFUNCTION("GOOGLETRANSLATE(D5051,""en"",""it"")"),"Mi piacciono letti, ma non mobili.")</f>
        <v>Mi piacciono letti, ma non mobili.</v>
      </c>
      <c r="G5051" s="6" t="str">
        <f>IFERROR(__xludf.DUMMYFUNCTION("GOOGLETRANSLATE(E5051,""fr"",""it"")"),"Apprezzo i letti, ma non i mobili.")</f>
        <v>Apprezzo i letti, ma non i mobili.</v>
      </c>
    </row>
    <row r="5052">
      <c r="A5052" s="4">
        <v>5050.0</v>
      </c>
      <c r="B5052" s="5" t="s">
        <v>15157</v>
      </c>
      <c r="C5052" s="4">
        <v>1.0</v>
      </c>
      <c r="D5052" s="5" t="s">
        <v>15158</v>
      </c>
      <c r="E5052" s="5" t="s">
        <v>15159</v>
      </c>
      <c r="F5052" s="6" t="str">
        <f>IFERROR(__xludf.DUMMYFUNCTION("GOOGLETRANSLATE(D5052,""en"",""it"")"),"Mi piacciono i mobili, ma non letti.")</f>
        <v>Mi piacciono i mobili, ma non letti.</v>
      </c>
      <c r="G5052" s="6" t="str">
        <f>IFERROR(__xludf.DUMMYFUNCTION("GOOGLETRANSLATE(E5052,""fr"",""it"")"),"Apprezzo i mobili, ma non i letti.")</f>
        <v>Apprezzo i mobili, ma non i letti.</v>
      </c>
    </row>
    <row r="5053">
      <c r="A5053" s="4">
        <v>5051.0</v>
      </c>
      <c r="B5053" s="5" t="s">
        <v>15160</v>
      </c>
      <c r="C5053" s="4">
        <v>1.0</v>
      </c>
      <c r="D5053" s="5" t="s">
        <v>15161</v>
      </c>
      <c r="E5053" s="5" t="s">
        <v>15162</v>
      </c>
      <c r="F5053" s="6" t="str">
        <f>IFERROR(__xludf.DUMMYFUNCTION("GOOGLETRANSLATE(D5053,""en"",""it"")"),"Mi piacciono i letti, ma non i dipinti.")</f>
        <v>Mi piacciono i letti, ma non i dipinti.</v>
      </c>
      <c r="G5053" s="6" t="str">
        <f>IFERROR(__xludf.DUMMYFUNCTION("GOOGLETRANSLATE(E5053,""fr"",""it"")"),"Apprezzo i letti, ma non i dipinti.")</f>
        <v>Apprezzo i letti, ma non i dipinti.</v>
      </c>
    </row>
    <row r="5054">
      <c r="A5054" s="4">
        <v>5052.0</v>
      </c>
      <c r="B5054" s="5" t="s">
        <v>15163</v>
      </c>
      <c r="C5054" s="4">
        <v>1.0</v>
      </c>
      <c r="D5054" s="5" t="s">
        <v>15164</v>
      </c>
      <c r="E5054" s="5" t="s">
        <v>15165</v>
      </c>
      <c r="F5054" s="6" t="str">
        <f>IFERROR(__xludf.DUMMYFUNCTION("GOOGLETRANSLATE(D5054,""en"",""it"")"),"Mi piacciono i dipinti, ma non letti.")</f>
        <v>Mi piacciono i dipinti, ma non letti.</v>
      </c>
      <c r="G5054" s="6" t="str">
        <f>IFERROR(__xludf.DUMMYFUNCTION("GOOGLETRANSLATE(E5054,""fr"",""it"")"),"Apprezzo i dipinti, ma non i letti.")</f>
        <v>Apprezzo i dipinti, ma non i letti.</v>
      </c>
    </row>
    <row r="5055">
      <c r="A5055" s="4">
        <v>5053.0</v>
      </c>
      <c r="B5055" s="5" t="s">
        <v>15166</v>
      </c>
      <c r="C5055" s="4">
        <v>1.0</v>
      </c>
      <c r="D5055" s="5" t="s">
        <v>15167</v>
      </c>
      <c r="E5055" s="5" t="s">
        <v>15168</v>
      </c>
      <c r="F5055" s="6" t="str">
        <f>IFERROR(__xludf.DUMMYFUNCTION("GOOGLETRANSLATE(D5055,""en"",""it"")"),"Mi piacciono i letti, ma non la carta da parati.")</f>
        <v>Mi piacciono i letti, ma non la carta da parati.</v>
      </c>
      <c r="G5055" s="6" t="str">
        <f>IFERROR(__xludf.DUMMYFUNCTION("GOOGLETRANSLATE(E5055,""fr"",""it"")"),"Apprezzo i letti, ma non la carta da parati.")</f>
        <v>Apprezzo i letti, ma non la carta da parati.</v>
      </c>
    </row>
    <row r="5056">
      <c r="A5056" s="4">
        <v>5054.0</v>
      </c>
      <c r="B5056" s="5" t="s">
        <v>15169</v>
      </c>
      <c r="C5056" s="4">
        <v>1.0</v>
      </c>
      <c r="D5056" s="5" t="s">
        <v>15170</v>
      </c>
      <c r="E5056" s="5" t="s">
        <v>15171</v>
      </c>
      <c r="F5056" s="6" t="str">
        <f>IFERROR(__xludf.DUMMYFUNCTION("GOOGLETRANSLATE(D5056,""en"",""it"")"),"Mi piace sfondo, ma non letti.")</f>
        <v>Mi piace sfondo, ma non letti.</v>
      </c>
      <c r="G5056" s="6" t="str">
        <f>IFERROR(__xludf.DUMMYFUNCTION("GOOGLETRANSLATE(E5056,""fr"",""it"")"),"Apprezzo la carta da parati, ma non i letti.")</f>
        <v>Apprezzo la carta da parati, ma non i letti.</v>
      </c>
    </row>
    <row r="5057">
      <c r="A5057" s="4">
        <v>5055.0</v>
      </c>
      <c r="B5057" s="5" t="s">
        <v>15172</v>
      </c>
      <c r="C5057" s="4">
        <v>1.0</v>
      </c>
      <c r="D5057" s="5" t="s">
        <v>15173</v>
      </c>
      <c r="E5057" s="5" t="s">
        <v>15174</v>
      </c>
      <c r="F5057" s="6" t="str">
        <f>IFERROR(__xludf.DUMMYFUNCTION("GOOGLETRANSLATE(D5057,""en"",""it"")"),"Mi piacciono letti, ma non parquet.")</f>
        <v>Mi piacciono letti, ma non parquet.</v>
      </c>
      <c r="G5057" s="6" t="str">
        <f>IFERROR(__xludf.DUMMYFUNCTION("GOOGLETRANSLATE(E5057,""fr"",""it"")"),"Apprezzo i letti, ma non il pavimento.")</f>
        <v>Apprezzo i letti, ma non il pavimento.</v>
      </c>
    </row>
    <row r="5058">
      <c r="A5058" s="4">
        <v>5056.0</v>
      </c>
      <c r="B5058" s="5" t="s">
        <v>15175</v>
      </c>
      <c r="C5058" s="4">
        <v>1.0</v>
      </c>
      <c r="D5058" s="5" t="s">
        <v>15176</v>
      </c>
      <c r="E5058" s="5" t="s">
        <v>15177</v>
      </c>
      <c r="F5058" s="6" t="str">
        <f>IFERROR(__xludf.DUMMYFUNCTION("GOOGLETRANSLATE(D5058,""en"",""it"")"),"Mi piace il parquet, ma non letti.")</f>
        <v>Mi piace il parquet, ma non letti.</v>
      </c>
      <c r="G5058" s="6" t="str">
        <f>IFERROR(__xludf.DUMMYFUNCTION("GOOGLETRANSLATE(E5058,""fr"",""it"")"),"Apprezzo il parquet, ma non i letti.")</f>
        <v>Apprezzo il parquet, ma non i letti.</v>
      </c>
    </row>
    <row r="5059">
      <c r="A5059" s="4">
        <v>5057.0</v>
      </c>
      <c r="B5059" s="5" t="s">
        <v>15178</v>
      </c>
      <c r="C5059" s="4">
        <v>1.0</v>
      </c>
      <c r="D5059" s="5" t="s">
        <v>15179</v>
      </c>
      <c r="E5059" s="5" t="s">
        <v>15180</v>
      </c>
      <c r="F5059" s="6" t="str">
        <f>IFERROR(__xludf.DUMMYFUNCTION("GOOGLETRANSLATE(D5059,""en"",""it"")"),"Mi piace Merlot, ma non coca-cola.")</f>
        <v>Mi piace Merlot, ma non coca-cola.</v>
      </c>
      <c r="G5059" s="6" t="str">
        <f>IFERROR(__xludf.DUMMYFUNCTION("GOOGLETRANSLATE(E5059,""fr"",""it"")"),"Apprezzo il Merlot, ma non la Coca Cola.")</f>
        <v>Apprezzo il Merlot, ma non la Coca Cola.</v>
      </c>
    </row>
    <row r="5060">
      <c r="A5060" s="4">
        <v>5058.0</v>
      </c>
      <c r="B5060" s="5" t="s">
        <v>15181</v>
      </c>
      <c r="C5060" s="4">
        <v>1.0</v>
      </c>
      <c r="D5060" s="5" t="s">
        <v>15182</v>
      </c>
      <c r="E5060" s="5" t="s">
        <v>15183</v>
      </c>
      <c r="F5060" s="6" t="str">
        <f>IFERROR(__xludf.DUMMYFUNCTION("GOOGLETRANSLATE(D5060,""en"",""it"")"),"Mi piace Coca-Cola, ma non Merlot.")</f>
        <v>Mi piace Coca-Cola, ma non Merlot.</v>
      </c>
      <c r="G5060" s="6" t="str">
        <f>IFERROR(__xludf.DUMMYFUNCTION("GOOGLETRANSLATE(E5060,""fr"",""it"")"),"Apprezzo Coca Cola, ma non il Merlot.")</f>
        <v>Apprezzo Coca Cola, ma non il Merlot.</v>
      </c>
    </row>
    <row r="5061">
      <c r="A5061" s="4">
        <v>5059.0</v>
      </c>
      <c r="B5061" s="5" t="s">
        <v>15184</v>
      </c>
      <c r="C5061" s="4">
        <v>0.0</v>
      </c>
      <c r="D5061" s="5" t="s">
        <v>15185</v>
      </c>
      <c r="E5061" s="5" t="s">
        <v>15186</v>
      </c>
      <c r="F5061" s="6" t="str">
        <f>IFERROR(__xludf.DUMMYFUNCTION("GOOGLETRANSLATE(D5061,""en"",""it"")"),"Mi piace Merlot, ma non vino.")</f>
        <v>Mi piace Merlot, ma non vino.</v>
      </c>
      <c r="G5061" s="6" t="str">
        <f>IFERROR(__xludf.DUMMYFUNCTION("GOOGLETRANSLATE(E5061,""fr"",""it"")"),"Apprezzo Merlot, ma non vino.")</f>
        <v>Apprezzo Merlot, ma non vino.</v>
      </c>
    </row>
    <row r="5062">
      <c r="A5062" s="4">
        <v>5060.0</v>
      </c>
      <c r="B5062" s="5" t="s">
        <v>15187</v>
      </c>
      <c r="C5062" s="4">
        <v>1.0</v>
      </c>
      <c r="D5062" s="5" t="s">
        <v>15188</v>
      </c>
      <c r="E5062" s="5" t="s">
        <v>15189</v>
      </c>
      <c r="F5062" s="6" t="str">
        <f>IFERROR(__xludf.DUMMYFUNCTION("GOOGLETRANSLATE(D5062,""en"",""it"")"),"Mi piace il vino, ma non Merlot.")</f>
        <v>Mi piace il vino, ma non Merlot.</v>
      </c>
      <c r="G5062" s="6" t="str">
        <f>IFERROR(__xludf.DUMMYFUNCTION("GOOGLETRANSLATE(E5062,""fr"",""it"")"),"Apprezzo il vino, ma non il Merlot.")</f>
        <v>Apprezzo il vino, ma non il Merlot.</v>
      </c>
    </row>
    <row r="5063">
      <c r="A5063" s="4">
        <v>5061.0</v>
      </c>
      <c r="B5063" s="5" t="s">
        <v>15190</v>
      </c>
      <c r="C5063" s="4">
        <v>1.0</v>
      </c>
      <c r="D5063" s="5" t="s">
        <v>15191</v>
      </c>
      <c r="E5063" s="5" t="s">
        <v>15192</v>
      </c>
      <c r="F5063" s="6" t="str">
        <f>IFERROR(__xludf.DUMMYFUNCTION("GOOGLETRANSLATE(D5063,""en"",""it"")"),"Mi piace il vino, ma non coca-cola.")</f>
        <v>Mi piace il vino, ma non coca-cola.</v>
      </c>
      <c r="G5063" s="6" t="str">
        <f>IFERROR(__xludf.DUMMYFUNCTION("GOOGLETRANSLATE(E5063,""fr"",""it"")"),"Apprezzo il vino, ma non la Coca Cola.")</f>
        <v>Apprezzo il vino, ma non la Coca Cola.</v>
      </c>
    </row>
    <row r="5064">
      <c r="A5064" s="4">
        <v>5062.0</v>
      </c>
      <c r="B5064" s="5" t="s">
        <v>15193</v>
      </c>
      <c r="C5064" s="4">
        <v>1.0</v>
      </c>
      <c r="D5064" s="5" t="s">
        <v>15194</v>
      </c>
      <c r="E5064" s="5" t="s">
        <v>15195</v>
      </c>
      <c r="F5064" s="6" t="str">
        <f>IFERROR(__xludf.DUMMYFUNCTION("GOOGLETRANSLATE(D5064,""en"",""it"")"),"Mi piace il merlot, ma non l'acqua.")</f>
        <v>Mi piace il merlot, ma non l'acqua.</v>
      </c>
      <c r="G5064" s="6" t="str">
        <f>IFERROR(__xludf.DUMMYFUNCTION("GOOGLETRANSLATE(E5064,""fr"",""it"")"),"Apprezzo il Merlot, ma non l'acqua.")</f>
        <v>Apprezzo il Merlot, ma non l'acqua.</v>
      </c>
    </row>
    <row r="5065">
      <c r="A5065" s="4">
        <v>5063.0</v>
      </c>
      <c r="B5065" s="5" t="s">
        <v>15196</v>
      </c>
      <c r="C5065" s="4">
        <v>1.0</v>
      </c>
      <c r="D5065" s="5" t="s">
        <v>15197</v>
      </c>
      <c r="E5065" s="5" t="s">
        <v>15198</v>
      </c>
      <c r="F5065" s="6" t="str">
        <f>IFERROR(__xludf.DUMMYFUNCTION("GOOGLETRANSLATE(D5065,""en"",""it"")"),"Mi piace l'acqua, ma non Merlot.")</f>
        <v>Mi piace l'acqua, ma non Merlot.</v>
      </c>
      <c r="G5065" s="6" t="str">
        <f>IFERROR(__xludf.DUMMYFUNCTION("GOOGLETRANSLATE(E5065,""fr"",""it"")"),"Apprezzo l'acqua, ma non il Merlot.")</f>
        <v>Apprezzo l'acqua, ma non il Merlot.</v>
      </c>
    </row>
    <row r="5066">
      <c r="A5066" s="4">
        <v>5064.0</v>
      </c>
      <c r="B5066" s="5" t="s">
        <v>15199</v>
      </c>
      <c r="C5066" s="4">
        <v>1.0</v>
      </c>
      <c r="D5066" s="5" t="s">
        <v>15200</v>
      </c>
      <c r="E5066" s="5" t="s">
        <v>15201</v>
      </c>
      <c r="F5066" s="6" t="str">
        <f>IFERROR(__xludf.DUMMYFUNCTION("GOOGLETRANSLATE(D5066,""en"",""it"")"),"Mi piace il vino, ma non l'acqua.")</f>
        <v>Mi piace il vino, ma non l'acqua.</v>
      </c>
      <c r="G5066" s="6" t="str">
        <f>IFERROR(__xludf.DUMMYFUNCTION("GOOGLETRANSLATE(E5066,""fr"",""it"")"),"Apprezzo il vino, ma non l'acqua.")</f>
        <v>Apprezzo il vino, ma non l'acqua.</v>
      </c>
    </row>
    <row r="5067">
      <c r="A5067" s="4">
        <v>5065.0</v>
      </c>
      <c r="B5067" s="5" t="s">
        <v>15202</v>
      </c>
      <c r="C5067" s="4">
        <v>1.0</v>
      </c>
      <c r="D5067" s="5" t="s">
        <v>15203</v>
      </c>
      <c r="E5067" s="5" t="s">
        <v>15204</v>
      </c>
      <c r="F5067" s="6" t="str">
        <f>IFERROR(__xludf.DUMMYFUNCTION("GOOGLETRANSLATE(D5067,""en"",""it"")"),"Mi piace Merlot, ma non sprite.")</f>
        <v>Mi piace Merlot, ma non sprite.</v>
      </c>
      <c r="G5067" s="6" t="str">
        <f>IFERROR(__xludf.DUMMYFUNCTION("GOOGLETRANSLATE(E5067,""fr"",""it"")"),"Apprezzo il Merlot, ma non sprite.")</f>
        <v>Apprezzo il Merlot, ma non sprite.</v>
      </c>
    </row>
    <row r="5068">
      <c r="A5068" s="4">
        <v>5066.0</v>
      </c>
      <c r="B5068" s="5" t="s">
        <v>15205</v>
      </c>
      <c r="C5068" s="4">
        <v>1.0</v>
      </c>
      <c r="D5068" s="5" t="s">
        <v>15206</v>
      </c>
      <c r="E5068" s="5" t="s">
        <v>15207</v>
      </c>
      <c r="F5068" s="6" t="str">
        <f>IFERROR(__xludf.DUMMYFUNCTION("GOOGLETRANSLATE(D5068,""en"",""it"")"),"Mi piace Sprite, ma non Merlot.")</f>
        <v>Mi piace Sprite, ma non Merlot.</v>
      </c>
      <c r="G5068" s="6" t="str">
        <f>IFERROR(__xludf.DUMMYFUNCTION("GOOGLETRANSLATE(E5068,""fr"",""it"")"),"Apprezzo lo sprite, ma non il Merlot.")</f>
        <v>Apprezzo lo sprite, ma non il Merlot.</v>
      </c>
    </row>
    <row r="5069">
      <c r="A5069" s="4">
        <v>5067.0</v>
      </c>
      <c r="B5069" s="5" t="s">
        <v>15208</v>
      </c>
      <c r="C5069" s="4">
        <v>1.0</v>
      </c>
      <c r="D5069" s="5" t="s">
        <v>15209</v>
      </c>
      <c r="E5069" s="5" t="s">
        <v>15210</v>
      </c>
      <c r="F5069" s="6" t="str">
        <f>IFERROR(__xludf.DUMMYFUNCTION("GOOGLETRANSLATE(D5069,""en"",""it"")"),"Mi piace il vino, ma non sprite.")</f>
        <v>Mi piace il vino, ma non sprite.</v>
      </c>
      <c r="G5069" s="6" t="str">
        <f>IFERROR(__xludf.DUMMYFUNCTION("GOOGLETRANSLATE(E5069,""fr"",""it"")"),"Apprezzo il vino, ma non sprite.")</f>
        <v>Apprezzo il vino, ma non sprite.</v>
      </c>
    </row>
    <row r="5070">
      <c r="A5070" s="4">
        <v>5068.0</v>
      </c>
      <c r="B5070" s="5" t="s">
        <v>15211</v>
      </c>
      <c r="C5070" s="4">
        <v>1.0</v>
      </c>
      <c r="D5070" s="5" t="s">
        <v>15212</v>
      </c>
      <c r="E5070" s="5" t="s">
        <v>15213</v>
      </c>
      <c r="F5070" s="6" t="str">
        <f>IFERROR(__xludf.DUMMYFUNCTION("GOOGLETRANSLATE(D5070,""en"",""it"")"),"Mi piace il merlot, ma non la birra.")</f>
        <v>Mi piace il merlot, ma non la birra.</v>
      </c>
      <c r="G5070" s="6" t="str">
        <f>IFERROR(__xludf.DUMMYFUNCTION("GOOGLETRANSLATE(E5070,""fr"",""it"")"),"Apprezzo Merlot, ma non la birra.")</f>
        <v>Apprezzo Merlot, ma non la birra.</v>
      </c>
    </row>
    <row r="5071">
      <c r="A5071" s="4">
        <v>5069.0</v>
      </c>
      <c r="B5071" s="5" t="s">
        <v>15214</v>
      </c>
      <c r="C5071" s="4">
        <v>1.0</v>
      </c>
      <c r="D5071" s="5" t="s">
        <v>15215</v>
      </c>
      <c r="E5071" s="5" t="s">
        <v>15216</v>
      </c>
      <c r="F5071" s="6" t="str">
        <f>IFERROR(__xludf.DUMMYFUNCTION("GOOGLETRANSLATE(D5071,""en"",""it"")"),"Mi piace la birra, ma non il Merlot.")</f>
        <v>Mi piace la birra, ma non il Merlot.</v>
      </c>
      <c r="G5071" s="6" t="str">
        <f>IFERROR(__xludf.DUMMYFUNCTION("GOOGLETRANSLATE(E5071,""fr"",""it"")"),"Apprezzo la birra, ma non il Merlot.")</f>
        <v>Apprezzo la birra, ma non il Merlot.</v>
      </c>
    </row>
    <row r="5072">
      <c r="A5072" s="4">
        <v>5070.0</v>
      </c>
      <c r="B5072" s="5" t="s">
        <v>15217</v>
      </c>
      <c r="C5072" s="4">
        <v>1.0</v>
      </c>
      <c r="D5072" s="5" t="s">
        <v>15218</v>
      </c>
      <c r="E5072" s="5" t="s">
        <v>15219</v>
      </c>
      <c r="F5072" s="6" t="str">
        <f>IFERROR(__xludf.DUMMYFUNCTION("GOOGLETRANSLATE(D5072,""en"",""it"")"),"Mi piace il vino, ma non la birra.")</f>
        <v>Mi piace il vino, ma non la birra.</v>
      </c>
      <c r="G5072" s="6" t="str">
        <f>IFERROR(__xludf.DUMMYFUNCTION("GOOGLETRANSLATE(E5072,""fr"",""it"")"),"Apprezzo il vino, ma non la birra.")</f>
        <v>Apprezzo il vino, ma non la birra.</v>
      </c>
    </row>
    <row r="5073">
      <c r="A5073" s="4">
        <v>5071.0</v>
      </c>
      <c r="B5073" s="5" t="s">
        <v>15220</v>
      </c>
      <c r="C5073" s="4">
        <v>1.0</v>
      </c>
      <c r="D5073" s="5" t="s">
        <v>15221</v>
      </c>
      <c r="E5073" s="5" t="s">
        <v>15222</v>
      </c>
      <c r="F5073" s="6" t="str">
        <f>IFERROR(__xludf.DUMMYFUNCTION("GOOGLETRANSLATE(D5073,""en"",""it"")"),"Mi piace Chardonnay, ma non coca-cola.")</f>
        <v>Mi piace Chardonnay, ma non coca-cola.</v>
      </c>
      <c r="G5073" s="6" t="str">
        <f>IFERROR(__xludf.DUMMYFUNCTION("GOOGLETRANSLATE(E5073,""fr"",""it"")"),"Apprezzo Chardonnay, ma non coca cola.")</f>
        <v>Apprezzo Chardonnay, ma non coca cola.</v>
      </c>
    </row>
    <row r="5074">
      <c r="A5074" s="4">
        <v>5072.0</v>
      </c>
      <c r="B5074" s="5" t="s">
        <v>15223</v>
      </c>
      <c r="C5074" s="4">
        <v>1.0</v>
      </c>
      <c r="D5074" s="5" t="s">
        <v>15224</v>
      </c>
      <c r="E5074" s="5" t="s">
        <v>15225</v>
      </c>
      <c r="F5074" s="6" t="str">
        <f>IFERROR(__xludf.DUMMYFUNCTION("GOOGLETRANSLATE(D5074,""en"",""it"")"),"Mi piace Coca-Cola, ma non Chardonnay.")</f>
        <v>Mi piace Coca-Cola, ma non Chardonnay.</v>
      </c>
      <c r="G5074" s="6" t="str">
        <f>IFERROR(__xludf.DUMMYFUNCTION("GOOGLETRANSLATE(E5074,""fr"",""it"")"),"Apprezzo la coca cola, ma non Chardonnay.")</f>
        <v>Apprezzo la coca cola, ma non Chardonnay.</v>
      </c>
    </row>
    <row r="5075">
      <c r="A5075" s="4">
        <v>5073.0</v>
      </c>
      <c r="B5075" s="5" t="s">
        <v>15226</v>
      </c>
      <c r="C5075" s="4">
        <v>0.0</v>
      </c>
      <c r="D5075" s="5" t="s">
        <v>15227</v>
      </c>
      <c r="E5075" s="5" t="s">
        <v>15228</v>
      </c>
      <c r="F5075" s="6" t="str">
        <f>IFERROR(__xludf.DUMMYFUNCTION("GOOGLETRANSLATE(D5075,""en"",""it"")"),"Mi piacciono Chardonnay, ma non il vino.")</f>
        <v>Mi piacciono Chardonnay, ma non il vino.</v>
      </c>
      <c r="G5075" s="6" t="str">
        <f>IFERROR(__xludf.DUMMYFUNCTION("GOOGLETRANSLATE(E5075,""fr"",""it"")"),"Apprezzo Chardonnay, ma non vino.")</f>
        <v>Apprezzo Chardonnay, ma non vino.</v>
      </c>
    </row>
    <row r="5076">
      <c r="A5076" s="4">
        <v>5074.0</v>
      </c>
      <c r="B5076" s="5" t="s">
        <v>15229</v>
      </c>
      <c r="C5076" s="4">
        <v>1.0</v>
      </c>
      <c r="D5076" s="5" t="s">
        <v>15230</v>
      </c>
      <c r="E5076" s="5" t="s">
        <v>15231</v>
      </c>
      <c r="F5076" s="6" t="str">
        <f>IFERROR(__xludf.DUMMYFUNCTION("GOOGLETRANSLATE(D5076,""en"",""it"")"),"Mi piace il vino, ma non Chardonnay.")</f>
        <v>Mi piace il vino, ma non Chardonnay.</v>
      </c>
      <c r="G5076" s="6" t="str">
        <f>IFERROR(__xludf.DUMMYFUNCTION("GOOGLETRANSLATE(E5076,""fr"",""it"")"),"Apprezzo il vino, ma non lo Chardonnay.")</f>
        <v>Apprezzo il vino, ma non lo Chardonnay.</v>
      </c>
    </row>
    <row r="5077">
      <c r="A5077" s="4">
        <v>5075.0</v>
      </c>
      <c r="B5077" s="5" t="s">
        <v>15232</v>
      </c>
      <c r="C5077" s="4">
        <v>1.0</v>
      </c>
      <c r="D5077" s="5" t="s">
        <v>15233</v>
      </c>
      <c r="E5077" s="5" t="s">
        <v>15234</v>
      </c>
      <c r="F5077" s="6" t="str">
        <f>IFERROR(__xludf.DUMMYFUNCTION("GOOGLETRANSLATE(D5077,""en"",""it"")"),"Mi piace Chardonnay, ma non acqua.")</f>
        <v>Mi piace Chardonnay, ma non acqua.</v>
      </c>
      <c r="G5077" s="6" t="str">
        <f>IFERROR(__xludf.DUMMYFUNCTION("GOOGLETRANSLATE(E5077,""fr"",""it"")"),"Apprezzo Chardonnay, ma non acqua.")</f>
        <v>Apprezzo Chardonnay, ma non acqua.</v>
      </c>
    </row>
    <row r="5078">
      <c r="A5078" s="4">
        <v>5076.0</v>
      </c>
      <c r="B5078" s="5" t="s">
        <v>15235</v>
      </c>
      <c r="C5078" s="4">
        <v>1.0</v>
      </c>
      <c r="D5078" s="5" t="s">
        <v>15236</v>
      </c>
      <c r="E5078" s="5" t="s">
        <v>15237</v>
      </c>
      <c r="F5078" s="6" t="str">
        <f>IFERROR(__xludf.DUMMYFUNCTION("GOOGLETRANSLATE(D5078,""en"",""it"")"),"Mi piace l'acqua, ma non Chardonnay.")</f>
        <v>Mi piace l'acqua, ma non Chardonnay.</v>
      </c>
      <c r="G5078" s="6" t="str">
        <f>IFERROR(__xludf.DUMMYFUNCTION("GOOGLETRANSLATE(E5078,""fr"",""it"")"),"Apprezzo l'acqua, ma non lo Chardonnay.")</f>
        <v>Apprezzo l'acqua, ma non lo Chardonnay.</v>
      </c>
    </row>
    <row r="5079">
      <c r="A5079" s="4">
        <v>5077.0</v>
      </c>
      <c r="B5079" s="5" t="s">
        <v>15238</v>
      </c>
      <c r="C5079" s="4">
        <v>1.0</v>
      </c>
      <c r="D5079" s="5" t="s">
        <v>15239</v>
      </c>
      <c r="E5079" s="5" t="s">
        <v>15240</v>
      </c>
      <c r="F5079" s="6" t="str">
        <f>IFERROR(__xludf.DUMMYFUNCTION("GOOGLETRANSLATE(D5079,""en"",""it"")"),"Mi piace Chardonnay, ma non sprite.")</f>
        <v>Mi piace Chardonnay, ma non sprite.</v>
      </c>
      <c r="G5079" s="6" t="str">
        <f>IFERROR(__xludf.DUMMYFUNCTION("GOOGLETRANSLATE(E5079,""fr"",""it"")"),"Apprezzo Chardonnay, ma non sprite.")</f>
        <v>Apprezzo Chardonnay, ma non sprite.</v>
      </c>
    </row>
    <row r="5080">
      <c r="A5080" s="4">
        <v>5078.0</v>
      </c>
      <c r="B5080" s="5" t="s">
        <v>15241</v>
      </c>
      <c r="C5080" s="4">
        <v>1.0</v>
      </c>
      <c r="D5080" s="5" t="s">
        <v>15242</v>
      </c>
      <c r="E5080" s="5" t="s">
        <v>15243</v>
      </c>
      <c r="F5080" s="6" t="str">
        <f>IFERROR(__xludf.DUMMYFUNCTION("GOOGLETRANSLATE(D5080,""en"",""it"")"),"Mi piace Sprite, ma non Chardonnay.")</f>
        <v>Mi piace Sprite, ma non Chardonnay.</v>
      </c>
      <c r="G5080" s="6" t="str">
        <f>IFERROR(__xludf.DUMMYFUNCTION("GOOGLETRANSLATE(E5080,""fr"",""it"")"),"Apprezzo lo sprite, ma non lo Chardonnay.")</f>
        <v>Apprezzo lo sprite, ma non lo Chardonnay.</v>
      </c>
    </row>
    <row r="5081">
      <c r="A5081" s="4">
        <v>5079.0</v>
      </c>
      <c r="B5081" s="5" t="s">
        <v>15244</v>
      </c>
      <c r="C5081" s="4">
        <v>1.0</v>
      </c>
      <c r="D5081" s="5" t="s">
        <v>15245</v>
      </c>
      <c r="E5081" s="5" t="s">
        <v>15246</v>
      </c>
      <c r="F5081" s="6" t="str">
        <f>IFERROR(__xludf.DUMMYFUNCTION("GOOGLETRANSLATE(D5081,""en"",""it"")"),"Mi piacciono Chardonnay, ma non la birra.")</f>
        <v>Mi piacciono Chardonnay, ma non la birra.</v>
      </c>
      <c r="G5081" s="6" t="str">
        <f>IFERROR(__xludf.DUMMYFUNCTION("GOOGLETRANSLATE(E5081,""fr"",""it"")"),"Apprezzo Chardonnay, ma non la birra.")</f>
        <v>Apprezzo Chardonnay, ma non la birra.</v>
      </c>
    </row>
    <row r="5082">
      <c r="A5082" s="4">
        <v>5080.0</v>
      </c>
      <c r="B5082" s="5" t="s">
        <v>15247</v>
      </c>
      <c r="C5082" s="4">
        <v>1.0</v>
      </c>
      <c r="D5082" s="5" t="s">
        <v>15248</v>
      </c>
      <c r="E5082" s="5" t="s">
        <v>15249</v>
      </c>
      <c r="F5082" s="6" t="str">
        <f>IFERROR(__xludf.DUMMYFUNCTION("GOOGLETRANSLATE(D5082,""en"",""it"")"),"Mi piace la birra, ma non Chardonnay.")</f>
        <v>Mi piace la birra, ma non Chardonnay.</v>
      </c>
      <c r="G5082" s="6" t="str">
        <f>IFERROR(__xludf.DUMMYFUNCTION("GOOGLETRANSLATE(E5082,""fr"",""it"")"),"Apprezzo la birra, ma non lo Chardonnay.")</f>
        <v>Apprezzo la birra, ma non lo Chardonnay.</v>
      </c>
    </row>
    <row r="5083">
      <c r="A5083" s="4">
        <v>5081.0</v>
      </c>
      <c r="B5083" s="5" t="s">
        <v>15250</v>
      </c>
      <c r="C5083" s="4">
        <v>1.0</v>
      </c>
      <c r="D5083" s="5" t="s">
        <v>15251</v>
      </c>
      <c r="E5083" s="5" t="s">
        <v>15252</v>
      </c>
      <c r="F5083" s="6" t="str">
        <f>IFERROR(__xludf.DUMMYFUNCTION("GOOGLETRANSLATE(D5083,""en"",""it"")"),"Mi piace il Chianti, ma non coca-cola.")</f>
        <v>Mi piace il Chianti, ma non coca-cola.</v>
      </c>
      <c r="G5083" s="6" t="str">
        <f>IFERROR(__xludf.DUMMYFUNCTION("GOOGLETRANSLATE(E5083,""fr"",""it"")"),"Apprezzo il Chianti, ma non coca cola.")</f>
        <v>Apprezzo il Chianti, ma non coca cola.</v>
      </c>
    </row>
    <row r="5084">
      <c r="A5084" s="4">
        <v>5082.0</v>
      </c>
      <c r="B5084" s="5" t="s">
        <v>15253</v>
      </c>
      <c r="C5084" s="4">
        <v>1.0</v>
      </c>
      <c r="D5084" s="5" t="s">
        <v>15254</v>
      </c>
      <c r="E5084" s="5" t="s">
        <v>15255</v>
      </c>
      <c r="F5084" s="6" t="str">
        <f>IFERROR(__xludf.DUMMYFUNCTION("GOOGLETRANSLATE(D5084,""en"",""it"")"),"Mi piace Coca-Cola, ma non il Chianti.")</f>
        <v>Mi piace Coca-Cola, ma non il Chianti.</v>
      </c>
      <c r="G5084" s="6" t="str">
        <f>IFERROR(__xludf.DUMMYFUNCTION("GOOGLETRANSLATE(E5084,""fr"",""it"")"),"Apprezzo Coca Cola, ma non il Chianti.")</f>
        <v>Apprezzo Coca Cola, ma non il Chianti.</v>
      </c>
    </row>
    <row r="5085">
      <c r="A5085" s="4">
        <v>5083.0</v>
      </c>
      <c r="B5085" s="5" t="s">
        <v>15256</v>
      </c>
      <c r="C5085" s="4">
        <v>0.0</v>
      </c>
      <c r="D5085" s="5" t="s">
        <v>15257</v>
      </c>
      <c r="E5085" s="5" t="s">
        <v>15258</v>
      </c>
      <c r="F5085" s="6" t="str">
        <f>IFERROR(__xludf.DUMMYFUNCTION("GOOGLETRANSLATE(D5085,""en"",""it"")"),"Mi piace il Chianti, ma non il vino.")</f>
        <v>Mi piace il Chianti, ma non il vino.</v>
      </c>
      <c r="G5085" s="6" t="str">
        <f>IFERROR(__xludf.DUMMYFUNCTION("GOOGLETRANSLATE(E5085,""fr"",""it"")"),"Apprezzo il Chianti, ma non il vino.")</f>
        <v>Apprezzo il Chianti, ma non il vino.</v>
      </c>
    </row>
    <row r="5086">
      <c r="A5086" s="4">
        <v>5084.0</v>
      </c>
      <c r="B5086" s="5" t="s">
        <v>15259</v>
      </c>
      <c r="C5086" s="4">
        <v>1.0</v>
      </c>
      <c r="D5086" s="5" t="s">
        <v>15260</v>
      </c>
      <c r="E5086" s="5" t="s">
        <v>15261</v>
      </c>
      <c r="F5086" s="6" t="str">
        <f>IFERROR(__xludf.DUMMYFUNCTION("GOOGLETRANSLATE(D5086,""en"",""it"")"),"Mi piace il vino, ma non il Chianti.")</f>
        <v>Mi piace il vino, ma non il Chianti.</v>
      </c>
      <c r="G5086" s="6" t="str">
        <f>IFERROR(__xludf.DUMMYFUNCTION("GOOGLETRANSLATE(E5086,""fr"",""it"")"),"Apprezzo il vino, ma non il Chianti.")</f>
        <v>Apprezzo il vino, ma non il Chianti.</v>
      </c>
    </row>
    <row r="5087">
      <c r="A5087" s="4">
        <v>5085.0</v>
      </c>
      <c r="B5087" s="5" t="s">
        <v>15262</v>
      </c>
      <c r="C5087" s="4">
        <v>1.0</v>
      </c>
      <c r="D5087" s="5" t="s">
        <v>15263</v>
      </c>
      <c r="E5087" s="5" t="s">
        <v>15264</v>
      </c>
      <c r="F5087" s="6" t="str">
        <f>IFERROR(__xludf.DUMMYFUNCTION("GOOGLETRANSLATE(D5087,""en"",""it"")"),"Mi piace il Chianti, ma non l'acqua.")</f>
        <v>Mi piace il Chianti, ma non l'acqua.</v>
      </c>
      <c r="G5087" s="6" t="str">
        <f>IFERROR(__xludf.DUMMYFUNCTION("GOOGLETRANSLATE(E5087,""fr"",""it"")"),"Apprezzo il Chianti, ma non l'acqua.")</f>
        <v>Apprezzo il Chianti, ma non l'acqua.</v>
      </c>
    </row>
    <row r="5088">
      <c r="A5088" s="4">
        <v>5086.0</v>
      </c>
      <c r="B5088" s="5" t="s">
        <v>15265</v>
      </c>
      <c r="C5088" s="4">
        <v>1.0</v>
      </c>
      <c r="D5088" s="5" t="s">
        <v>15266</v>
      </c>
      <c r="E5088" s="5" t="s">
        <v>15267</v>
      </c>
      <c r="F5088" s="6" t="str">
        <f>IFERROR(__xludf.DUMMYFUNCTION("GOOGLETRANSLATE(D5088,""en"",""it"")"),"Mi piace l'acqua, ma non il Chianti.")</f>
        <v>Mi piace l'acqua, ma non il Chianti.</v>
      </c>
      <c r="G5088" s="6" t="str">
        <f>IFERROR(__xludf.DUMMYFUNCTION("GOOGLETRANSLATE(E5088,""fr"",""it"")"),"Apprezzo l'acqua, ma non il Chianti.")</f>
        <v>Apprezzo l'acqua, ma non il Chianti.</v>
      </c>
    </row>
    <row r="5089">
      <c r="A5089" s="4">
        <v>5087.0</v>
      </c>
      <c r="B5089" s="5" t="s">
        <v>15268</v>
      </c>
      <c r="C5089" s="4">
        <v>1.0</v>
      </c>
      <c r="D5089" s="5" t="s">
        <v>15269</v>
      </c>
      <c r="E5089" s="5" t="s">
        <v>15270</v>
      </c>
      <c r="F5089" s="6" t="str">
        <f>IFERROR(__xludf.DUMMYFUNCTION("GOOGLETRANSLATE(D5089,""en"",""it"")"),"Mi piace il Chianti, ma non sprite.")</f>
        <v>Mi piace il Chianti, ma non sprite.</v>
      </c>
      <c r="G5089" s="6" t="str">
        <f>IFERROR(__xludf.DUMMYFUNCTION("GOOGLETRANSLATE(E5089,""fr"",""it"")"),"Apprezzo il Chianti, ma non sprite.")</f>
        <v>Apprezzo il Chianti, ma non sprite.</v>
      </c>
    </row>
    <row r="5090">
      <c r="A5090" s="4">
        <v>5088.0</v>
      </c>
      <c r="B5090" s="5" t="s">
        <v>15271</v>
      </c>
      <c r="C5090" s="4">
        <v>1.0</v>
      </c>
      <c r="D5090" s="5" t="s">
        <v>15272</v>
      </c>
      <c r="E5090" s="5" t="s">
        <v>15273</v>
      </c>
      <c r="F5090" s="6" t="str">
        <f>IFERROR(__xludf.DUMMYFUNCTION("GOOGLETRANSLATE(D5090,""en"",""it"")"),"Mi piace Sprite, ma non il Chianti.")</f>
        <v>Mi piace Sprite, ma non il Chianti.</v>
      </c>
      <c r="G5090" s="6" t="str">
        <f>IFERROR(__xludf.DUMMYFUNCTION("GOOGLETRANSLATE(E5090,""fr"",""it"")"),"Apprezzo lo sprite, ma non il Chianti.")</f>
        <v>Apprezzo lo sprite, ma non il Chianti.</v>
      </c>
    </row>
    <row r="5091">
      <c r="A5091" s="4">
        <v>5089.0</v>
      </c>
      <c r="B5091" s="5" t="s">
        <v>15274</v>
      </c>
      <c r="C5091" s="4">
        <v>1.0</v>
      </c>
      <c r="D5091" s="5" t="s">
        <v>15275</v>
      </c>
      <c r="E5091" s="5" t="s">
        <v>15276</v>
      </c>
      <c r="F5091" s="6" t="str">
        <f>IFERROR(__xludf.DUMMYFUNCTION("GOOGLETRANSLATE(D5091,""en"",""it"")"),"Mi piace il Chianti, ma non la birra.")</f>
        <v>Mi piace il Chianti, ma non la birra.</v>
      </c>
      <c r="G5091" s="6" t="str">
        <f>IFERROR(__xludf.DUMMYFUNCTION("GOOGLETRANSLATE(E5091,""fr"",""it"")"),"Apprezzo il Chianti, ma non la birra.")</f>
        <v>Apprezzo il Chianti, ma non la birra.</v>
      </c>
    </row>
    <row r="5092">
      <c r="A5092" s="4">
        <v>5090.0</v>
      </c>
      <c r="B5092" s="5" t="s">
        <v>15277</v>
      </c>
      <c r="C5092" s="4">
        <v>1.0</v>
      </c>
      <c r="D5092" s="5" t="s">
        <v>15278</v>
      </c>
      <c r="E5092" s="5" t="s">
        <v>15279</v>
      </c>
      <c r="F5092" s="6" t="str">
        <f>IFERROR(__xludf.DUMMYFUNCTION("GOOGLETRANSLATE(D5092,""en"",""it"")"),"Mi piace la birra, ma non il Chianti.")</f>
        <v>Mi piace la birra, ma non il Chianti.</v>
      </c>
      <c r="G5092" s="6" t="str">
        <f>IFERROR(__xludf.DUMMYFUNCTION("GOOGLETRANSLATE(E5092,""fr"",""it"")"),"Apprezzo la birra, ma non il Chianti.")</f>
        <v>Apprezzo la birra, ma non il Chianti.</v>
      </c>
    </row>
    <row r="5093">
      <c r="A5093" s="4">
        <v>5091.0</v>
      </c>
      <c r="B5093" s="5" t="s">
        <v>15280</v>
      </c>
      <c r="C5093" s="4">
        <v>1.0</v>
      </c>
      <c r="D5093" s="5" t="s">
        <v>15281</v>
      </c>
      <c r="E5093" s="5" t="s">
        <v>15282</v>
      </c>
      <c r="F5093" s="6" t="str">
        <f>IFERROR(__xludf.DUMMYFUNCTION("GOOGLETRANSLATE(D5093,""en"",""it"")"),"Mi piace Zinfandel, ma non coca-cola.")</f>
        <v>Mi piace Zinfandel, ma non coca-cola.</v>
      </c>
      <c r="G5093" s="6" t="str">
        <f>IFERROR(__xludf.DUMMYFUNCTION("GOOGLETRANSLATE(E5093,""fr"",""it"")"),"Apprezzo Cabernet Sauvignon, ma non coca cola.")</f>
        <v>Apprezzo Cabernet Sauvignon, ma non coca cola.</v>
      </c>
    </row>
    <row r="5094">
      <c r="A5094" s="4">
        <v>5092.0</v>
      </c>
      <c r="B5094" s="5" t="s">
        <v>15283</v>
      </c>
      <c r="C5094" s="4">
        <v>1.0</v>
      </c>
      <c r="D5094" s="5" t="s">
        <v>15284</v>
      </c>
      <c r="E5094" s="5" t="s">
        <v>15285</v>
      </c>
      <c r="F5094" s="6" t="str">
        <f>IFERROR(__xludf.DUMMYFUNCTION("GOOGLETRANSLATE(D5094,""en"",""it"")"),"Mi piace Coca-Cola, ma non Zinfandel.")</f>
        <v>Mi piace Coca-Cola, ma non Zinfandel.</v>
      </c>
      <c r="G5094" s="6" t="str">
        <f>IFERROR(__xludf.DUMMYFUNCTION("GOOGLETRANSLATE(E5094,""fr"",""it"")"),"Apprezzo Coca Cola, ma non Cabernet Sauvignon.")</f>
        <v>Apprezzo Coca Cola, ma non Cabernet Sauvignon.</v>
      </c>
    </row>
    <row r="5095">
      <c r="A5095" s="4">
        <v>5093.0</v>
      </c>
      <c r="B5095" s="5" t="s">
        <v>15286</v>
      </c>
      <c r="C5095" s="4">
        <v>0.0</v>
      </c>
      <c r="D5095" s="5" t="s">
        <v>15287</v>
      </c>
      <c r="E5095" s="5" t="s">
        <v>15288</v>
      </c>
      <c r="F5095" s="6" t="str">
        <f>IFERROR(__xludf.DUMMYFUNCTION("GOOGLETRANSLATE(D5095,""en"",""it"")"),"Mi piace Zinfandel, ma non vino.")</f>
        <v>Mi piace Zinfandel, ma non vino.</v>
      </c>
      <c r="G5095" s="6" t="str">
        <f>IFERROR(__xludf.DUMMYFUNCTION("GOOGLETRANSLATE(E5095,""fr"",""it"")"),"Apprezzo il Cabernet Sauvignon, ma non il vino.")</f>
        <v>Apprezzo il Cabernet Sauvignon, ma non il vino.</v>
      </c>
    </row>
    <row r="5096">
      <c r="A5096" s="4">
        <v>5094.0</v>
      </c>
      <c r="B5096" s="5" t="s">
        <v>15289</v>
      </c>
      <c r="C5096" s="4">
        <v>1.0</v>
      </c>
      <c r="D5096" s="5" t="s">
        <v>15290</v>
      </c>
      <c r="E5096" s="5" t="s">
        <v>15291</v>
      </c>
      <c r="F5096" s="6" t="str">
        <f>IFERROR(__xludf.DUMMYFUNCTION("GOOGLETRANSLATE(D5096,""en"",""it"")"),"Mi piace il vino, ma non zinfandel.")</f>
        <v>Mi piace il vino, ma non zinfandel.</v>
      </c>
      <c r="G5096" s="6" t="str">
        <f>IFERROR(__xludf.DUMMYFUNCTION("GOOGLETRANSLATE(E5096,""fr"",""it"")"),"Apprezzo il vino, ma non Cabernet Sauvignon.")</f>
        <v>Apprezzo il vino, ma non Cabernet Sauvignon.</v>
      </c>
    </row>
    <row r="5097">
      <c r="A5097" s="4">
        <v>5095.0</v>
      </c>
      <c r="B5097" s="5" t="s">
        <v>15292</v>
      </c>
      <c r="C5097" s="4">
        <v>1.0</v>
      </c>
      <c r="D5097" s="5" t="s">
        <v>15293</v>
      </c>
      <c r="E5097" s="5" t="s">
        <v>15294</v>
      </c>
      <c r="F5097" s="6" t="str">
        <f>IFERROR(__xludf.DUMMYFUNCTION("GOOGLETRANSLATE(D5097,""en"",""it"")"),"Mi piace Zinfandel, ma non acqua.")</f>
        <v>Mi piace Zinfandel, ma non acqua.</v>
      </c>
      <c r="G5097" s="6" t="str">
        <f>IFERROR(__xludf.DUMMYFUNCTION("GOOGLETRANSLATE(E5097,""fr"",""it"")"),"Apprezzo Cabernet Sauvignon, ma non acqua.")</f>
        <v>Apprezzo Cabernet Sauvignon, ma non acqua.</v>
      </c>
    </row>
    <row r="5098">
      <c r="A5098" s="4">
        <v>5096.0</v>
      </c>
      <c r="B5098" s="5" t="s">
        <v>15295</v>
      </c>
      <c r="C5098" s="4">
        <v>1.0</v>
      </c>
      <c r="D5098" s="5" t="s">
        <v>15296</v>
      </c>
      <c r="E5098" s="5" t="s">
        <v>15297</v>
      </c>
      <c r="F5098" s="6" t="str">
        <f>IFERROR(__xludf.DUMMYFUNCTION("GOOGLETRANSLATE(D5098,""en"",""it"")"),"Mi piace l'acqua, ma non zinfandel.")</f>
        <v>Mi piace l'acqua, ma non zinfandel.</v>
      </c>
      <c r="G5098" s="6" t="str">
        <f>IFERROR(__xludf.DUMMYFUNCTION("GOOGLETRANSLATE(E5098,""fr"",""it"")"),"Apprezzo l'acqua, ma non Cabernet Sauvignon.")</f>
        <v>Apprezzo l'acqua, ma non Cabernet Sauvignon.</v>
      </c>
    </row>
    <row r="5099">
      <c r="A5099" s="4">
        <v>5097.0</v>
      </c>
      <c r="B5099" s="5" t="s">
        <v>15298</v>
      </c>
      <c r="C5099" s="4">
        <v>1.0</v>
      </c>
      <c r="D5099" s="5" t="s">
        <v>15299</v>
      </c>
      <c r="E5099" s="5" t="s">
        <v>15300</v>
      </c>
      <c r="F5099" s="6" t="str">
        <f>IFERROR(__xludf.DUMMYFUNCTION("GOOGLETRANSLATE(D5099,""en"",""it"")"),"Mi piace Zinfandel, ma non sprite.")</f>
        <v>Mi piace Zinfandel, ma non sprite.</v>
      </c>
      <c r="G5099" s="6" t="str">
        <f>IFERROR(__xludf.DUMMYFUNCTION("GOOGLETRANSLATE(E5099,""fr"",""it"")"),"Apprezzo Cabernet Sauvignon, ma non sprite.")</f>
        <v>Apprezzo Cabernet Sauvignon, ma non sprite.</v>
      </c>
    </row>
    <row r="5100">
      <c r="A5100" s="4">
        <v>5098.0</v>
      </c>
      <c r="B5100" s="5" t="s">
        <v>15301</v>
      </c>
      <c r="C5100" s="4">
        <v>1.0</v>
      </c>
      <c r="D5100" s="5" t="s">
        <v>15302</v>
      </c>
      <c r="E5100" s="5" t="s">
        <v>15303</v>
      </c>
      <c r="F5100" s="6" t="str">
        <f>IFERROR(__xludf.DUMMYFUNCTION("GOOGLETRANSLATE(D5100,""en"",""it"")"),"Mi piace sprite, ma non zinfandel.")</f>
        <v>Mi piace sprite, ma non zinfandel.</v>
      </c>
      <c r="G5100" s="6" t="str">
        <f>IFERROR(__xludf.DUMMYFUNCTION("GOOGLETRANSLATE(E5100,""fr"",""it"")"),"Apprezzo lo sprite, ma non Cabernet Sauvignon.")</f>
        <v>Apprezzo lo sprite, ma non Cabernet Sauvignon.</v>
      </c>
    </row>
    <row r="5101">
      <c r="A5101" s="4">
        <v>5099.0</v>
      </c>
      <c r="B5101" s="5" t="s">
        <v>15304</v>
      </c>
      <c r="C5101" s="4">
        <v>1.0</v>
      </c>
      <c r="D5101" s="5" t="s">
        <v>15305</v>
      </c>
      <c r="E5101" s="5" t="s">
        <v>15306</v>
      </c>
      <c r="F5101" s="6" t="str">
        <f>IFERROR(__xludf.DUMMYFUNCTION("GOOGLETRANSLATE(D5101,""en"",""it"")"),"Mi piace Zinfandel, ma non la birra.")</f>
        <v>Mi piace Zinfandel, ma non la birra.</v>
      </c>
      <c r="G5101" s="6" t="str">
        <f>IFERROR(__xludf.DUMMYFUNCTION("GOOGLETRANSLATE(E5101,""fr"",""it"")"),"Apprezzo il Cabernet Sauvignon, ma non la birra.")</f>
        <v>Apprezzo il Cabernet Sauvignon, ma non la birra.</v>
      </c>
    </row>
    <row r="5102">
      <c r="A5102" s="4">
        <v>5100.0</v>
      </c>
      <c r="B5102" s="5" t="s">
        <v>15307</v>
      </c>
      <c r="C5102" s="4">
        <v>1.0</v>
      </c>
      <c r="D5102" s="5" t="s">
        <v>15308</v>
      </c>
      <c r="E5102" s="5" t="s">
        <v>15309</v>
      </c>
      <c r="F5102" s="6" t="str">
        <f>IFERROR(__xludf.DUMMYFUNCTION("GOOGLETRANSLATE(D5102,""en"",""it"")"),"Mi piace la birra, ma non zinfandel.")</f>
        <v>Mi piace la birra, ma non zinfandel.</v>
      </c>
      <c r="G5102" s="6" t="str">
        <f>IFERROR(__xludf.DUMMYFUNCTION("GOOGLETRANSLATE(E5102,""fr"",""it"")"),"Apprezzo la birra, ma non Cabernet Sauvignon.")</f>
        <v>Apprezzo la birra, ma non Cabernet Sauvignon.</v>
      </c>
    </row>
    <row r="5103">
      <c r="A5103" s="4">
        <v>5101.0</v>
      </c>
      <c r="B5103" s="5" t="s">
        <v>15310</v>
      </c>
      <c r="C5103" s="4">
        <v>0.0</v>
      </c>
      <c r="D5103" s="5" t="s">
        <v>15311</v>
      </c>
      <c r="E5103" s="5" t="s">
        <v>15312</v>
      </c>
      <c r="F5103" s="6" t="str">
        <f>IFERROR(__xludf.DUMMYFUNCTION("GOOGLETRANSLATE(D5103,""en"",""it"")"),"Mi piace Suzukis, tranne le navi.")</f>
        <v>Mi piace Suzukis, tranne le navi.</v>
      </c>
      <c r="G5103" s="6" t="str">
        <f>IFERROR(__xludf.DUMMYFUNCTION("GOOGLETRANSLATE(E5103,""fr"",""it"")"),"Mi piace Suzukis, tranne le navi.")</f>
        <v>Mi piace Suzukis, tranne le navi.</v>
      </c>
    </row>
    <row r="5104">
      <c r="A5104" s="4">
        <v>5102.0</v>
      </c>
      <c r="B5104" s="5" t="s">
        <v>15313</v>
      </c>
      <c r="C5104" s="4">
        <v>0.0</v>
      </c>
      <c r="D5104" s="5" t="s">
        <v>15314</v>
      </c>
      <c r="E5104" s="5" t="s">
        <v>15315</v>
      </c>
      <c r="F5104" s="6" t="str">
        <f>IFERROR(__xludf.DUMMYFUNCTION("GOOGLETRANSLATE(D5104,""en"",""it"")"),"Mi piacciono le navi, tranne Suzukis.")</f>
        <v>Mi piacciono le navi, tranne Suzukis.</v>
      </c>
      <c r="G5104" s="6" t="str">
        <f>IFERROR(__xludf.DUMMYFUNCTION("GOOGLETRANSLATE(E5104,""fr"",""it"")"),"Mi piacciono le navi, tranne il Suzukis.")</f>
        <v>Mi piacciono le navi, tranne il Suzukis.</v>
      </c>
    </row>
    <row r="5105">
      <c r="A5105" s="4">
        <v>5103.0</v>
      </c>
      <c r="B5105" s="5" t="s">
        <v>15316</v>
      </c>
      <c r="C5105" s="4">
        <v>0.0</v>
      </c>
      <c r="D5105" s="5" t="s">
        <v>15317</v>
      </c>
      <c r="E5105" s="5" t="s">
        <v>15318</v>
      </c>
      <c r="F5105" s="6" t="str">
        <f>IFERROR(__xludf.DUMMYFUNCTION("GOOGLETRANSLATE(D5105,""en"",""it"")"),"Mi piace Suzukis, tranne i motocicli.")</f>
        <v>Mi piace Suzukis, tranne i motocicli.</v>
      </c>
      <c r="G5105" s="6" t="str">
        <f>IFERROR(__xludf.DUMMYFUNCTION("GOOGLETRANSLATE(E5105,""fr"",""it"")"),"Mi piace Suzukis, tranne i motocicli.")</f>
        <v>Mi piace Suzukis, tranne i motocicli.</v>
      </c>
    </row>
    <row r="5106">
      <c r="A5106" s="4">
        <v>5104.0</v>
      </c>
      <c r="B5106" s="5" t="s">
        <v>15319</v>
      </c>
      <c r="C5106" s="4">
        <v>0.0</v>
      </c>
      <c r="D5106" s="5" t="s">
        <v>15320</v>
      </c>
      <c r="E5106" s="5" t="s">
        <v>15321</v>
      </c>
      <c r="F5106" s="6" t="str">
        <f>IFERROR(__xludf.DUMMYFUNCTION("GOOGLETRANSLATE(D5106,""en"",""it"")"),"Mi piace Suzukis, tranne le biciclette.")</f>
        <v>Mi piace Suzukis, tranne le biciclette.</v>
      </c>
      <c r="G5106" s="6" t="str">
        <f>IFERROR(__xludf.DUMMYFUNCTION("GOOGLETRANSLATE(E5106,""fr"",""it"")"),"Mi piace Suzukis, tranne le biciclette.")</f>
        <v>Mi piace Suzukis, tranne le biciclette.</v>
      </c>
    </row>
    <row r="5107">
      <c r="A5107" s="4">
        <v>5105.0</v>
      </c>
      <c r="B5107" s="5" t="s">
        <v>15322</v>
      </c>
      <c r="C5107" s="4">
        <v>0.0</v>
      </c>
      <c r="D5107" s="5" t="s">
        <v>15323</v>
      </c>
      <c r="E5107" s="5" t="s">
        <v>15324</v>
      </c>
      <c r="F5107" s="6" t="str">
        <f>IFERROR(__xludf.DUMMYFUNCTION("GOOGLETRANSLATE(D5107,""en"",""it"")"),"Mi piacciono le biciclette, tranne Suzukis.")</f>
        <v>Mi piacciono le biciclette, tranne Suzukis.</v>
      </c>
      <c r="G5107" s="6" t="str">
        <f>IFERROR(__xludf.DUMMYFUNCTION("GOOGLETRANSLATE(E5107,""fr"",""it"")"),"Amo le biciclette tranne Suzukis.")</f>
        <v>Amo le biciclette tranne Suzukis.</v>
      </c>
    </row>
    <row r="5108">
      <c r="A5108" s="4">
        <v>5106.0</v>
      </c>
      <c r="B5108" s="5" t="s">
        <v>15325</v>
      </c>
      <c r="C5108" s="4">
        <v>1.0</v>
      </c>
      <c r="D5108" s="5" t="s">
        <v>15326</v>
      </c>
      <c r="E5108" s="5" t="s">
        <v>15327</v>
      </c>
      <c r="F5108" s="6" t="str">
        <f>IFERROR(__xludf.DUMMYFUNCTION("GOOGLETRANSLATE(D5108,""en"",""it"")"),"Mi piace il rock, ma non lo sport.")</f>
        <v>Mi piace il rock, ma non lo sport.</v>
      </c>
      <c r="G5108" s="6" t="str">
        <f>IFERROR(__xludf.DUMMYFUNCTION("GOOGLETRANSLATE(E5108,""fr"",""it"")"),"Apprezzo il rock, ma non lo sport.")</f>
        <v>Apprezzo il rock, ma non lo sport.</v>
      </c>
    </row>
    <row r="5109">
      <c r="A5109" s="4">
        <v>5107.0</v>
      </c>
      <c r="B5109" s="5" t="s">
        <v>15328</v>
      </c>
      <c r="C5109" s="4">
        <v>1.0</v>
      </c>
      <c r="D5109" s="5" t="s">
        <v>15329</v>
      </c>
      <c r="E5109" s="5" t="s">
        <v>15330</v>
      </c>
      <c r="F5109" s="6" t="str">
        <f>IFERROR(__xludf.DUMMYFUNCTION("GOOGLETRANSLATE(D5109,""en"",""it"")"),"Mi piacciono gli sport, ma non rock.")</f>
        <v>Mi piacciono gli sport, ma non rock.</v>
      </c>
      <c r="G5109" s="6" t="str">
        <f>IFERROR(__xludf.DUMMYFUNCTION("GOOGLETRANSLATE(E5109,""fr"",""it"")"),"Apprezzo lo sport, ma non rock.")</f>
        <v>Apprezzo lo sport, ma non rock.</v>
      </c>
    </row>
    <row r="5110">
      <c r="A5110" s="4">
        <v>5108.0</v>
      </c>
      <c r="B5110" s="5" t="s">
        <v>15331</v>
      </c>
      <c r="C5110" s="4">
        <v>0.0</v>
      </c>
      <c r="D5110" s="5" t="s">
        <v>15332</v>
      </c>
      <c r="E5110" s="5" t="s">
        <v>15333</v>
      </c>
      <c r="F5110" s="6" t="str">
        <f>IFERROR(__xludf.DUMMYFUNCTION("GOOGLETRANSLATE(D5110,""en"",""it"")"),"Mi piace il rock, ma non la musica.")</f>
        <v>Mi piace il rock, ma non la musica.</v>
      </c>
      <c r="G5110" s="6" t="str">
        <f>IFERROR(__xludf.DUMMYFUNCTION("GOOGLETRANSLATE(E5110,""fr"",""it"")"),"Apprezzo il rock, ma non la musica.")</f>
        <v>Apprezzo il rock, ma non la musica.</v>
      </c>
    </row>
    <row r="5111">
      <c r="A5111" s="4">
        <v>5109.0</v>
      </c>
      <c r="B5111" s="5" t="s">
        <v>15334</v>
      </c>
      <c r="C5111" s="4">
        <v>1.0</v>
      </c>
      <c r="D5111" s="5" t="s">
        <v>15335</v>
      </c>
      <c r="E5111" s="5" t="s">
        <v>15336</v>
      </c>
      <c r="F5111" s="6" t="str">
        <f>IFERROR(__xludf.DUMMYFUNCTION("GOOGLETRANSLATE(D5111,""en"",""it"")"),"Mi piace la musica, ma non rock.")</f>
        <v>Mi piace la musica, ma non rock.</v>
      </c>
      <c r="G5111" s="6" t="str">
        <f>IFERROR(__xludf.DUMMYFUNCTION("GOOGLETRANSLATE(E5111,""fr"",""it"")"),"Apprezzo la musica, ma non rock.")</f>
        <v>Apprezzo la musica, ma non rock.</v>
      </c>
    </row>
    <row r="5112">
      <c r="A5112" s="4">
        <v>5110.0</v>
      </c>
      <c r="B5112" s="5" t="s">
        <v>15337</v>
      </c>
      <c r="C5112" s="4">
        <v>1.0</v>
      </c>
      <c r="D5112" s="5" t="s">
        <v>15338</v>
      </c>
      <c r="E5112" s="5" t="s">
        <v>15339</v>
      </c>
      <c r="F5112" s="6" t="str">
        <f>IFERROR(__xludf.DUMMYFUNCTION("GOOGLETRANSLATE(D5112,""en"",""it"")"),"Mi piace la musica, ma non lo sport.")</f>
        <v>Mi piace la musica, ma non lo sport.</v>
      </c>
      <c r="G5112" s="6" t="str">
        <f>IFERROR(__xludf.DUMMYFUNCTION("GOOGLETRANSLATE(E5112,""fr"",""it"")"),"Apprezzo la musica, ma non lo sport.")</f>
        <v>Apprezzo la musica, ma non lo sport.</v>
      </c>
    </row>
    <row r="5113">
      <c r="A5113" s="4">
        <v>5111.0</v>
      </c>
      <c r="B5113" s="5" t="s">
        <v>15340</v>
      </c>
      <c r="C5113" s="4">
        <v>1.0</v>
      </c>
      <c r="D5113" s="5" t="s">
        <v>15341</v>
      </c>
      <c r="E5113" s="5" t="s">
        <v>15342</v>
      </c>
      <c r="F5113" s="6" t="str">
        <f>IFERROR(__xludf.DUMMYFUNCTION("GOOGLETRANSLATE(D5113,""en"",""it"")"),"Mi piace il rock, ma non i tavolini.")</f>
        <v>Mi piace il rock, ma non i tavolini.</v>
      </c>
      <c r="G5113" s="6" t="str">
        <f>IFERROR(__xludf.DUMMYFUNCTION("GOOGLETRANSLATE(E5113,""fr"",""it"")"),"Apprezzo il rock, ma non i giochi da tavolo.")</f>
        <v>Apprezzo il rock, ma non i giochi da tavolo.</v>
      </c>
    </row>
    <row r="5114">
      <c r="A5114" s="4">
        <v>5112.0</v>
      </c>
      <c r="B5114" s="5" t="s">
        <v>15343</v>
      </c>
      <c r="C5114" s="4">
        <v>1.0</v>
      </c>
      <c r="D5114" s="5" t="s">
        <v>15344</v>
      </c>
      <c r="E5114" s="5" t="s">
        <v>15345</v>
      </c>
      <c r="F5114" s="6" t="str">
        <f>IFERROR(__xludf.DUMMYFUNCTION("GOOGLETRANSLATE(D5114,""en"",""it"")"),"Mi piacciono i boardgames, ma non rock.")</f>
        <v>Mi piacciono i boardgames, ma non rock.</v>
      </c>
      <c r="G5114" s="6" t="str">
        <f>IFERROR(__xludf.DUMMYFUNCTION("GOOGLETRANSLATE(E5114,""fr"",""it"")"),"Apprezzo i giochi da tavolo, ma non rock.")</f>
        <v>Apprezzo i giochi da tavolo, ma non rock.</v>
      </c>
    </row>
    <row r="5115">
      <c r="A5115" s="4">
        <v>5113.0</v>
      </c>
      <c r="B5115" s="5" t="s">
        <v>15346</v>
      </c>
      <c r="C5115" s="4">
        <v>1.0</v>
      </c>
      <c r="D5115" s="5" t="s">
        <v>15347</v>
      </c>
      <c r="E5115" s="5" t="s">
        <v>15348</v>
      </c>
      <c r="F5115" s="6" t="str">
        <f>IFERROR(__xludf.DUMMYFUNCTION("GOOGLETRANSLATE(D5115,""en"",""it"")"),"Mi piacciono la musica, ma non i tavolini.")</f>
        <v>Mi piacciono la musica, ma non i tavolini.</v>
      </c>
      <c r="G5115" s="6" t="str">
        <f>IFERROR(__xludf.DUMMYFUNCTION("GOOGLETRANSLATE(E5115,""fr"",""it"")"),"Apprezzo la musica, ma non i giochi da tavolo.")</f>
        <v>Apprezzo la musica, ma non i giochi da tavolo.</v>
      </c>
    </row>
    <row r="5116">
      <c r="A5116" s="4">
        <v>5114.0</v>
      </c>
      <c r="B5116" s="5" t="s">
        <v>15349</v>
      </c>
      <c r="C5116" s="4">
        <v>1.0</v>
      </c>
      <c r="D5116" s="5" t="s">
        <v>15350</v>
      </c>
      <c r="E5116" s="5" t="s">
        <v>15351</v>
      </c>
      <c r="F5116" s="6" t="str">
        <f>IFERROR(__xludf.DUMMYFUNCTION("GOOGLETRANSLATE(D5116,""en"",""it"")"),"Mi piace il rock, ma non il cibo.")</f>
        <v>Mi piace il rock, ma non il cibo.</v>
      </c>
      <c r="G5116" s="6" t="str">
        <f>IFERROR(__xludf.DUMMYFUNCTION("GOOGLETRANSLATE(E5116,""fr"",""it"")"),"Apprezzo il rock, ma non il cibo.")</f>
        <v>Apprezzo il rock, ma non il cibo.</v>
      </c>
    </row>
    <row r="5117">
      <c r="A5117" s="4">
        <v>5115.0</v>
      </c>
      <c r="B5117" s="5" t="s">
        <v>15352</v>
      </c>
      <c r="C5117" s="4">
        <v>1.0</v>
      </c>
      <c r="D5117" s="5" t="s">
        <v>15353</v>
      </c>
      <c r="E5117" s="5" t="s">
        <v>15354</v>
      </c>
      <c r="F5117" s="6" t="str">
        <f>IFERROR(__xludf.DUMMYFUNCTION("GOOGLETRANSLATE(D5117,""en"",""it"")"),"Mi piace il cibo, ma non rock.")</f>
        <v>Mi piace il cibo, ma non rock.</v>
      </c>
      <c r="G5117" s="6" t="str">
        <f>IFERROR(__xludf.DUMMYFUNCTION("GOOGLETRANSLATE(E5117,""fr"",""it"")"),"Apprezzo il cibo, ma non rock.")</f>
        <v>Apprezzo il cibo, ma non rock.</v>
      </c>
    </row>
    <row r="5118">
      <c r="A5118" s="4">
        <v>5116.0</v>
      </c>
      <c r="B5118" s="5" t="s">
        <v>15355</v>
      </c>
      <c r="C5118" s="4">
        <v>1.0</v>
      </c>
      <c r="D5118" s="5" t="s">
        <v>15356</v>
      </c>
      <c r="E5118" s="5" t="s">
        <v>15357</v>
      </c>
      <c r="F5118" s="6" t="str">
        <f>IFERROR(__xludf.DUMMYFUNCTION("GOOGLETRANSLATE(D5118,""en"",""it"")"),"Mi piace la musica, ma non il cibo.")</f>
        <v>Mi piace la musica, ma non il cibo.</v>
      </c>
      <c r="G5118" s="6" t="str">
        <f>IFERROR(__xludf.DUMMYFUNCTION("GOOGLETRANSLATE(E5118,""fr"",""it"")"),"Apprezzo la musica, ma non il cibo.")</f>
        <v>Apprezzo la musica, ma non il cibo.</v>
      </c>
    </row>
    <row r="5119">
      <c r="A5119" s="4">
        <v>5117.0</v>
      </c>
      <c r="B5119" s="5" t="s">
        <v>15358</v>
      </c>
      <c r="C5119" s="4">
        <v>1.0</v>
      </c>
      <c r="D5119" s="5" t="s">
        <v>15359</v>
      </c>
      <c r="E5119" s="5" t="s">
        <v>15360</v>
      </c>
      <c r="F5119" s="6" t="str">
        <f>IFERROR(__xludf.DUMMYFUNCTION("GOOGLETRANSLATE(D5119,""en"",""it"")"),"Mi piace il rock, ma non i gioielli.")</f>
        <v>Mi piace il rock, ma non i gioielli.</v>
      </c>
      <c r="G5119" s="6" t="str">
        <f>IFERROR(__xludf.DUMMYFUNCTION("GOOGLETRANSLATE(E5119,""fr"",""it"")"),"Apprezzo il rock, ma non gioielli.")</f>
        <v>Apprezzo il rock, ma non gioielli.</v>
      </c>
    </row>
    <row r="5120">
      <c r="A5120" s="4">
        <v>5118.0</v>
      </c>
      <c r="B5120" s="5" t="s">
        <v>15361</v>
      </c>
      <c r="C5120" s="4">
        <v>1.0</v>
      </c>
      <c r="D5120" s="5" t="s">
        <v>15362</v>
      </c>
      <c r="E5120" s="5" t="s">
        <v>15363</v>
      </c>
      <c r="F5120" s="6" t="str">
        <f>IFERROR(__xludf.DUMMYFUNCTION("GOOGLETRANSLATE(D5120,""en"",""it"")"),"Mi piacciono i gioielli, ma non rock.")</f>
        <v>Mi piacciono i gioielli, ma non rock.</v>
      </c>
      <c r="G5120" s="6" t="str">
        <f>IFERROR(__xludf.DUMMYFUNCTION("GOOGLETRANSLATE(E5120,""fr"",""it"")"),"Apprezzo gioielli, ma non rock.")</f>
        <v>Apprezzo gioielli, ma non rock.</v>
      </c>
    </row>
    <row r="5121">
      <c r="A5121" s="4">
        <v>5119.0</v>
      </c>
      <c r="B5121" s="5" t="s">
        <v>15364</v>
      </c>
      <c r="C5121" s="4">
        <v>1.0</v>
      </c>
      <c r="D5121" s="5" t="s">
        <v>15365</v>
      </c>
      <c r="E5121" s="5" t="s">
        <v>15366</v>
      </c>
      <c r="F5121" s="6" t="str">
        <f>IFERROR(__xludf.DUMMYFUNCTION("GOOGLETRANSLATE(D5121,""en"",""it"")"),"Mi piace la musica, ma non gioielli.")</f>
        <v>Mi piace la musica, ma non gioielli.</v>
      </c>
      <c r="G5121" s="6" t="str">
        <f>IFERROR(__xludf.DUMMYFUNCTION("GOOGLETRANSLATE(E5121,""fr"",""it"")"),"Apprezzo la musica, ma non gioielli.")</f>
        <v>Apprezzo la musica, ma non gioielli.</v>
      </c>
    </row>
    <row r="5122">
      <c r="A5122" s="4">
        <v>5120.0</v>
      </c>
      <c r="B5122" s="5" t="s">
        <v>15367</v>
      </c>
      <c r="C5122" s="4">
        <v>1.0</v>
      </c>
      <c r="D5122" s="5" t="s">
        <v>15368</v>
      </c>
      <c r="E5122" s="5" t="s">
        <v>15369</v>
      </c>
      <c r="F5122" s="6" t="str">
        <f>IFERROR(__xludf.DUMMYFUNCTION("GOOGLETRANSLATE(D5122,""en"",""it"")"),"Mi piace il jazz, ma non lo sport.")</f>
        <v>Mi piace il jazz, ma non lo sport.</v>
      </c>
      <c r="G5122" s="6" t="str">
        <f>IFERROR(__xludf.DUMMYFUNCTION("GOOGLETRANSLATE(E5122,""fr"",""it"")"),"Apprezzo il jazz, ma non lo sport.")</f>
        <v>Apprezzo il jazz, ma non lo sport.</v>
      </c>
    </row>
    <row r="5123">
      <c r="A5123" s="4">
        <v>5121.0</v>
      </c>
      <c r="B5123" s="5" t="s">
        <v>15370</v>
      </c>
      <c r="C5123" s="4">
        <v>1.0</v>
      </c>
      <c r="D5123" s="5" t="s">
        <v>15371</v>
      </c>
      <c r="E5123" s="5" t="s">
        <v>15372</v>
      </c>
      <c r="F5123" s="6" t="str">
        <f>IFERROR(__xludf.DUMMYFUNCTION("GOOGLETRANSLATE(D5123,""en"",""it"")"),"Mi piacciono gli sport, ma non il jazz.")</f>
        <v>Mi piacciono gli sport, ma non il jazz.</v>
      </c>
      <c r="G5123" s="6" t="str">
        <f>IFERROR(__xludf.DUMMYFUNCTION("GOOGLETRANSLATE(E5123,""fr"",""it"")"),"Apprezzo lo sport, ma non il jazz.")</f>
        <v>Apprezzo lo sport, ma non il jazz.</v>
      </c>
    </row>
    <row r="5124">
      <c r="A5124" s="4">
        <v>5122.0</v>
      </c>
      <c r="B5124" s="5" t="s">
        <v>15373</v>
      </c>
      <c r="C5124" s="4">
        <v>0.0</v>
      </c>
      <c r="D5124" s="5" t="s">
        <v>15374</v>
      </c>
      <c r="E5124" s="5" t="s">
        <v>15375</v>
      </c>
      <c r="F5124" s="6" t="str">
        <f>IFERROR(__xludf.DUMMYFUNCTION("GOOGLETRANSLATE(D5124,""en"",""it"")"),"Mi piace il jazz, ma non la musica.")</f>
        <v>Mi piace il jazz, ma non la musica.</v>
      </c>
      <c r="G5124" s="6" t="str">
        <f>IFERROR(__xludf.DUMMYFUNCTION("GOOGLETRANSLATE(E5124,""fr"",""it"")"),"Apprezzo il jazz, ma non la musica.")</f>
        <v>Apprezzo il jazz, ma non la musica.</v>
      </c>
    </row>
    <row r="5125">
      <c r="A5125" s="4">
        <v>5123.0</v>
      </c>
      <c r="B5125" s="5" t="s">
        <v>15376</v>
      </c>
      <c r="C5125" s="4">
        <v>1.0</v>
      </c>
      <c r="D5125" s="5" t="s">
        <v>15377</v>
      </c>
      <c r="E5125" s="5" t="s">
        <v>15378</v>
      </c>
      <c r="F5125" s="6" t="str">
        <f>IFERROR(__xludf.DUMMYFUNCTION("GOOGLETRANSLATE(D5125,""en"",""it"")"),"Mi piace la musica, ma non il jazz.")</f>
        <v>Mi piace la musica, ma non il jazz.</v>
      </c>
      <c r="G5125" s="6" t="str">
        <f>IFERROR(__xludf.DUMMYFUNCTION("GOOGLETRANSLATE(E5125,""fr"",""it"")"),"Apprezzo la musica, ma non il jazz.")</f>
        <v>Apprezzo la musica, ma non il jazz.</v>
      </c>
    </row>
    <row r="5126">
      <c r="A5126" s="4">
        <v>5124.0</v>
      </c>
      <c r="B5126" s="5" t="s">
        <v>15379</v>
      </c>
      <c r="C5126" s="4">
        <v>1.0</v>
      </c>
      <c r="D5126" s="5" t="s">
        <v>15380</v>
      </c>
      <c r="E5126" s="5" t="s">
        <v>15381</v>
      </c>
      <c r="F5126" s="6" t="str">
        <f>IFERROR(__xludf.DUMMYFUNCTION("GOOGLETRANSLATE(D5126,""en"",""it"")"),"Mi piace il jazz, ma non i tavolini.")</f>
        <v>Mi piace il jazz, ma non i tavolini.</v>
      </c>
      <c r="G5126" s="6" t="str">
        <f>IFERROR(__xludf.DUMMYFUNCTION("GOOGLETRANSLATE(E5126,""fr"",""it"")"),"Apprezzo il jazz, ma non i giochi da tavolo.")</f>
        <v>Apprezzo il jazz, ma non i giochi da tavolo.</v>
      </c>
    </row>
    <row r="5127">
      <c r="A5127" s="4">
        <v>5125.0</v>
      </c>
      <c r="B5127" s="5" t="s">
        <v>15382</v>
      </c>
      <c r="C5127" s="4">
        <v>1.0</v>
      </c>
      <c r="D5127" s="5" t="s">
        <v>15383</v>
      </c>
      <c r="E5127" s="5" t="s">
        <v>15384</v>
      </c>
      <c r="F5127" s="6" t="str">
        <f>IFERROR(__xludf.DUMMYFUNCTION("GOOGLETRANSLATE(D5127,""en"",""it"")"),"Mi piacciono i boardgames, ma non il jazz.")</f>
        <v>Mi piacciono i boardgames, ma non il jazz.</v>
      </c>
      <c r="G5127" s="6" t="str">
        <f>IFERROR(__xludf.DUMMYFUNCTION("GOOGLETRANSLATE(E5127,""fr"",""it"")"),"Apprezzo i giochi da tavolo, ma non il jazz.")</f>
        <v>Apprezzo i giochi da tavolo, ma non il jazz.</v>
      </c>
    </row>
    <row r="5128">
      <c r="A5128" s="4">
        <v>5126.0</v>
      </c>
      <c r="B5128" s="5" t="s">
        <v>15385</v>
      </c>
      <c r="C5128" s="4">
        <v>1.0</v>
      </c>
      <c r="D5128" s="5" t="s">
        <v>15386</v>
      </c>
      <c r="E5128" s="5" t="s">
        <v>15387</v>
      </c>
      <c r="F5128" s="6" t="str">
        <f>IFERROR(__xludf.DUMMYFUNCTION("GOOGLETRANSLATE(D5128,""en"",""it"")"),"Mi piace il jazz, ma non il cibo.")</f>
        <v>Mi piace il jazz, ma non il cibo.</v>
      </c>
      <c r="G5128" s="6" t="str">
        <f>IFERROR(__xludf.DUMMYFUNCTION("GOOGLETRANSLATE(E5128,""fr"",""it"")"),"Apprezzo il jazz, ma non il cibo.")</f>
        <v>Apprezzo il jazz, ma non il cibo.</v>
      </c>
    </row>
    <row r="5129">
      <c r="A5129" s="4">
        <v>5127.0</v>
      </c>
      <c r="B5129" s="5" t="s">
        <v>15388</v>
      </c>
      <c r="C5129" s="4">
        <v>1.0</v>
      </c>
      <c r="D5129" s="5" t="s">
        <v>15389</v>
      </c>
      <c r="E5129" s="5" t="s">
        <v>15390</v>
      </c>
      <c r="F5129" s="6" t="str">
        <f>IFERROR(__xludf.DUMMYFUNCTION("GOOGLETRANSLATE(D5129,""en"",""it"")"),"Mi piace il cibo, ma non il jazz.")</f>
        <v>Mi piace il cibo, ma non il jazz.</v>
      </c>
      <c r="G5129" s="6" t="str">
        <f>IFERROR(__xludf.DUMMYFUNCTION("GOOGLETRANSLATE(E5129,""fr"",""it"")"),"Apprezzo il cibo, ma non il jazz.")</f>
        <v>Apprezzo il cibo, ma non il jazz.</v>
      </c>
    </row>
    <row r="5130">
      <c r="A5130" s="4">
        <v>5128.0</v>
      </c>
      <c r="B5130" s="5" t="s">
        <v>15391</v>
      </c>
      <c r="C5130" s="4">
        <v>1.0</v>
      </c>
      <c r="D5130" s="5" t="s">
        <v>15392</v>
      </c>
      <c r="E5130" s="5" t="s">
        <v>15393</v>
      </c>
      <c r="F5130" s="6" t="str">
        <f>IFERROR(__xludf.DUMMYFUNCTION("GOOGLETRANSLATE(D5130,""en"",""it"")"),"Mi piace il jazz, ma non gioielli.")</f>
        <v>Mi piace il jazz, ma non gioielli.</v>
      </c>
      <c r="G5130" s="6" t="str">
        <f>IFERROR(__xludf.DUMMYFUNCTION("GOOGLETRANSLATE(E5130,""fr"",""it"")"),"Apprezzo il jazz, ma non i gioielli.")</f>
        <v>Apprezzo il jazz, ma non i gioielli.</v>
      </c>
    </row>
    <row r="5131">
      <c r="A5131" s="4">
        <v>5129.0</v>
      </c>
      <c r="B5131" s="5" t="s">
        <v>15394</v>
      </c>
      <c r="C5131" s="4">
        <v>1.0</v>
      </c>
      <c r="D5131" s="5" t="s">
        <v>15395</v>
      </c>
      <c r="E5131" s="5" t="s">
        <v>15396</v>
      </c>
      <c r="F5131" s="6" t="str">
        <f>IFERROR(__xludf.DUMMYFUNCTION("GOOGLETRANSLATE(D5131,""en"",""it"")"),"Mi piacciono i gioielli, ma non il jazz.")</f>
        <v>Mi piacciono i gioielli, ma non il jazz.</v>
      </c>
      <c r="G5131" s="6" t="str">
        <f>IFERROR(__xludf.DUMMYFUNCTION("GOOGLETRANSLATE(E5131,""fr"",""it"")"),"Apprezzo gioielli, ma non jazz.")</f>
        <v>Apprezzo gioielli, ma non jazz.</v>
      </c>
    </row>
    <row r="5132">
      <c r="A5132" s="4">
        <v>5130.0</v>
      </c>
      <c r="B5132" s="5" t="s">
        <v>15397</v>
      </c>
      <c r="C5132" s="4">
        <v>0.0</v>
      </c>
      <c r="D5132" s="5" t="s">
        <v>15398</v>
      </c>
      <c r="E5132" s="5" t="s">
        <v>15399</v>
      </c>
      <c r="F5132" s="6" t="str">
        <f>IFERROR(__xludf.DUMMYFUNCTION("GOOGLETRANSLATE(D5132,""en"",""it"")"),"Mi piace Suzukis, tranne i treni.")</f>
        <v>Mi piace Suzukis, tranne i treni.</v>
      </c>
      <c r="G5132" s="6" t="str">
        <f>IFERROR(__xludf.DUMMYFUNCTION("GOOGLETRANSLATE(E5132,""fr"",""it"")"),"Mi piace Suzukis, tranne i treni.")</f>
        <v>Mi piace Suzukis, tranne i treni.</v>
      </c>
    </row>
    <row r="5133">
      <c r="A5133" s="4">
        <v>5131.0</v>
      </c>
      <c r="B5133" s="5" t="s">
        <v>15400</v>
      </c>
      <c r="C5133" s="4">
        <v>1.0</v>
      </c>
      <c r="D5133" s="5" t="s">
        <v>15401</v>
      </c>
      <c r="E5133" s="5" t="s">
        <v>15402</v>
      </c>
      <c r="F5133" s="6" t="str">
        <f>IFERROR(__xludf.DUMMYFUNCTION("GOOGLETRANSLATE(D5133,""en"",""it"")"),"Mi piace techno, ma non sport.")</f>
        <v>Mi piace techno, ma non sport.</v>
      </c>
      <c r="G5133" s="6" t="str">
        <f>IFERROR(__xludf.DUMMYFUNCTION("GOOGLETRANSLATE(E5133,""fr"",""it"")"),"Apprezzo il Techno, ma non lo sport.")</f>
        <v>Apprezzo il Techno, ma non lo sport.</v>
      </c>
    </row>
    <row r="5134">
      <c r="A5134" s="4">
        <v>5132.0</v>
      </c>
      <c r="B5134" s="5" t="s">
        <v>15403</v>
      </c>
      <c r="C5134" s="4">
        <v>1.0</v>
      </c>
      <c r="D5134" s="5" t="s">
        <v>15404</v>
      </c>
      <c r="E5134" s="5" t="s">
        <v>15405</v>
      </c>
      <c r="F5134" s="6" t="str">
        <f>IFERROR(__xludf.DUMMYFUNCTION("GOOGLETRANSLATE(D5134,""en"",""it"")"),"Mi piacciono gli sport, ma non techno.")</f>
        <v>Mi piacciono gli sport, ma non techno.</v>
      </c>
      <c r="G5134" s="6" t="str">
        <f>IFERROR(__xludf.DUMMYFUNCTION("GOOGLETRANSLATE(E5134,""fr"",""it"")"),"Apprezzo lo sport, ma non techno.")</f>
        <v>Apprezzo lo sport, ma non techno.</v>
      </c>
    </row>
    <row r="5135">
      <c r="A5135" s="4">
        <v>5133.0</v>
      </c>
      <c r="B5135" s="5" t="s">
        <v>15406</v>
      </c>
      <c r="C5135" s="4">
        <v>0.0</v>
      </c>
      <c r="D5135" s="5" t="s">
        <v>15407</v>
      </c>
      <c r="E5135" s="5" t="s">
        <v>15408</v>
      </c>
      <c r="F5135" s="6" t="str">
        <f>IFERROR(__xludf.DUMMYFUNCTION("GOOGLETRANSLATE(D5135,""en"",""it"")"),"Mi piace Techno, ma non musica.")</f>
        <v>Mi piace Techno, ma non musica.</v>
      </c>
      <c r="G5135" s="6" t="str">
        <f>IFERROR(__xludf.DUMMYFUNCTION("GOOGLETRANSLATE(E5135,""fr"",""it"")"),"Apprezzo il techno, ma non la musica.")</f>
        <v>Apprezzo il techno, ma non la musica.</v>
      </c>
    </row>
    <row r="5136">
      <c r="A5136" s="4">
        <v>5134.0</v>
      </c>
      <c r="B5136" s="5" t="s">
        <v>15409</v>
      </c>
      <c r="C5136" s="4">
        <v>1.0</v>
      </c>
      <c r="D5136" s="5" t="s">
        <v>15410</v>
      </c>
      <c r="E5136" s="5" t="s">
        <v>15411</v>
      </c>
      <c r="F5136" s="6" t="str">
        <f>IFERROR(__xludf.DUMMYFUNCTION("GOOGLETRANSLATE(D5136,""en"",""it"")"),"Mi piace la musica, ma non techno.")</f>
        <v>Mi piace la musica, ma non techno.</v>
      </c>
      <c r="G5136" s="6" t="str">
        <f>IFERROR(__xludf.DUMMYFUNCTION("GOOGLETRANSLATE(E5136,""fr"",""it"")"),"Apprezzo la musica, ma non il Techno.")</f>
        <v>Apprezzo la musica, ma non il Techno.</v>
      </c>
    </row>
    <row r="5137">
      <c r="A5137" s="4">
        <v>5135.0</v>
      </c>
      <c r="B5137" s="5" t="s">
        <v>15412</v>
      </c>
      <c r="C5137" s="4">
        <v>1.0</v>
      </c>
      <c r="D5137" s="5" t="s">
        <v>15413</v>
      </c>
      <c r="E5137" s="5" t="s">
        <v>15414</v>
      </c>
      <c r="F5137" s="6" t="str">
        <f>IFERROR(__xludf.DUMMYFUNCTION("GOOGLETRANSLATE(D5137,""en"",""it"")"),"Mi piace Techno, ma non i panieri.")</f>
        <v>Mi piace Techno, ma non i panieri.</v>
      </c>
      <c r="G5137" s="6" t="str">
        <f>IFERROR(__xludf.DUMMYFUNCTION("GOOGLETRANSLATE(E5137,""fr"",""it"")"),"Apprezzo il Techno, ma non i giochi da tavolo.")</f>
        <v>Apprezzo il Techno, ma non i giochi da tavolo.</v>
      </c>
    </row>
    <row r="5138">
      <c r="A5138" s="4">
        <v>5136.0</v>
      </c>
      <c r="B5138" s="5" t="s">
        <v>15415</v>
      </c>
      <c r="C5138" s="4">
        <v>1.0</v>
      </c>
      <c r="D5138" s="5" t="s">
        <v>15416</v>
      </c>
      <c r="E5138" s="5" t="s">
        <v>15417</v>
      </c>
      <c r="F5138" s="6" t="str">
        <f>IFERROR(__xludf.DUMMYFUNCTION("GOOGLETRANSLATE(D5138,""en"",""it"")"),"Mi piacciono i boardgames, ma non techno.")</f>
        <v>Mi piacciono i boardgames, ma non techno.</v>
      </c>
      <c r="G5138" s="6" t="str">
        <f>IFERROR(__xludf.DUMMYFUNCTION("GOOGLETRANSLATE(E5138,""fr"",""it"")"),"Apprezzo i giochi da tavolo, ma non il Techno.")</f>
        <v>Apprezzo i giochi da tavolo, ma non il Techno.</v>
      </c>
    </row>
    <row r="5139">
      <c r="A5139" s="4">
        <v>5137.0</v>
      </c>
      <c r="B5139" s="5" t="s">
        <v>15418</v>
      </c>
      <c r="C5139" s="4">
        <v>0.0</v>
      </c>
      <c r="D5139" s="5" t="s">
        <v>15419</v>
      </c>
      <c r="E5139" s="5" t="s">
        <v>15420</v>
      </c>
      <c r="F5139" s="6" t="str">
        <f>IFERROR(__xludf.DUMMYFUNCTION("GOOGLETRANSLATE(D5139,""en"",""it"")"),"Mi piacciono i treni, tranne Suzukis.")</f>
        <v>Mi piacciono i treni, tranne Suzukis.</v>
      </c>
      <c r="G5139" s="6" t="str">
        <f>IFERROR(__xludf.DUMMYFUNCTION("GOOGLETRANSLATE(E5139,""fr"",""it"")"),"Mi piacciono i treni, tranne il Suzukis.")</f>
        <v>Mi piacciono i treni, tranne il Suzukis.</v>
      </c>
    </row>
    <row r="5140">
      <c r="A5140" s="4">
        <v>5138.0</v>
      </c>
      <c r="B5140" s="5" t="s">
        <v>15421</v>
      </c>
      <c r="C5140" s="4">
        <v>1.0</v>
      </c>
      <c r="D5140" s="5" t="s">
        <v>15422</v>
      </c>
      <c r="E5140" s="5" t="s">
        <v>15423</v>
      </c>
      <c r="F5140" s="6" t="str">
        <f>IFERROR(__xludf.DUMMYFUNCTION("GOOGLETRANSLATE(D5140,""en"",""it"")"),"Mi piace Techno, ma non cibo.")</f>
        <v>Mi piace Techno, ma non cibo.</v>
      </c>
      <c r="G5140" s="6" t="str">
        <f>IFERROR(__xludf.DUMMYFUNCTION("GOOGLETRANSLATE(E5140,""fr"",""it"")"),"Apprezzo il techno, ma non il cibo.")</f>
        <v>Apprezzo il techno, ma non il cibo.</v>
      </c>
    </row>
    <row r="5141">
      <c r="A5141" s="4">
        <v>5139.0</v>
      </c>
      <c r="B5141" s="5" t="s">
        <v>15424</v>
      </c>
      <c r="C5141" s="4">
        <v>1.0</v>
      </c>
      <c r="D5141" s="5" t="s">
        <v>15425</v>
      </c>
      <c r="E5141" s="5" t="s">
        <v>15426</v>
      </c>
      <c r="F5141" s="6" t="str">
        <f>IFERROR(__xludf.DUMMYFUNCTION("GOOGLETRANSLATE(D5141,""en"",""it"")"),"Mi piace il cibo, ma non techno.")</f>
        <v>Mi piace il cibo, ma non techno.</v>
      </c>
      <c r="G5141" s="6" t="str">
        <f>IFERROR(__xludf.DUMMYFUNCTION("GOOGLETRANSLATE(E5141,""fr"",""it"")"),"Apprezzo il cibo, ma non il techno.")</f>
        <v>Apprezzo il cibo, ma non il techno.</v>
      </c>
    </row>
    <row r="5142">
      <c r="A5142" s="4">
        <v>5140.0</v>
      </c>
      <c r="B5142" s="5" t="s">
        <v>15427</v>
      </c>
      <c r="C5142" s="4">
        <v>1.0</v>
      </c>
      <c r="D5142" s="5" t="s">
        <v>15428</v>
      </c>
      <c r="E5142" s="5" t="s">
        <v>15429</v>
      </c>
      <c r="F5142" s="6" t="str">
        <f>IFERROR(__xludf.DUMMYFUNCTION("GOOGLETRANSLATE(D5142,""en"",""it"")"),"Mi piace Techno, ma non gioielli.")</f>
        <v>Mi piace Techno, ma non gioielli.</v>
      </c>
      <c r="G5142" s="6" t="str">
        <f>IFERROR(__xludf.DUMMYFUNCTION("GOOGLETRANSLATE(E5142,""fr"",""it"")"),"Apprezzo il techno, ma non i gioielli.")</f>
        <v>Apprezzo il techno, ma non i gioielli.</v>
      </c>
    </row>
    <row r="5143">
      <c r="A5143" s="4">
        <v>5141.0</v>
      </c>
      <c r="B5143" s="5" t="s">
        <v>15430</v>
      </c>
      <c r="C5143" s="4">
        <v>1.0</v>
      </c>
      <c r="D5143" s="5" t="s">
        <v>15431</v>
      </c>
      <c r="E5143" s="5" t="s">
        <v>15432</v>
      </c>
      <c r="F5143" s="6" t="str">
        <f>IFERROR(__xludf.DUMMYFUNCTION("GOOGLETRANSLATE(D5143,""en"",""it"")"),"Mi piacciono i gioielli, ma non techno.")</f>
        <v>Mi piacciono i gioielli, ma non techno.</v>
      </c>
      <c r="G5143" s="6" t="str">
        <f>IFERROR(__xludf.DUMMYFUNCTION("GOOGLETRANSLATE(E5143,""fr"",""it"")"),"Apprezzo i gioielli, ma non il Techno.")</f>
        <v>Apprezzo i gioielli, ma non il Techno.</v>
      </c>
    </row>
    <row r="5144">
      <c r="A5144" s="4">
        <v>5142.0</v>
      </c>
      <c r="B5144" s="5" t="s">
        <v>15433</v>
      </c>
      <c r="C5144" s="4">
        <v>1.0</v>
      </c>
      <c r="D5144" s="5" t="s">
        <v>15434</v>
      </c>
      <c r="E5144" s="5" t="s">
        <v>15435</v>
      </c>
      <c r="F5144" s="6" t="str">
        <f>IFERROR(__xludf.DUMMYFUNCTION("GOOGLETRANSLATE(D5144,""en"",""it"")"),"Mi piacciono il blues, ma non lo sport.")</f>
        <v>Mi piacciono il blues, ma non lo sport.</v>
      </c>
      <c r="G5144" s="6" t="str">
        <f>IFERROR(__xludf.DUMMYFUNCTION("GOOGLETRANSLATE(E5144,""fr"",""it"")"),"Apprezzo il blues, ma non lo sport.")</f>
        <v>Apprezzo il blues, ma non lo sport.</v>
      </c>
    </row>
    <row r="5145">
      <c r="A5145" s="4">
        <v>5143.0</v>
      </c>
      <c r="B5145" s="5" t="s">
        <v>15436</v>
      </c>
      <c r="C5145" s="4">
        <v>1.0</v>
      </c>
      <c r="D5145" s="5" t="s">
        <v>15437</v>
      </c>
      <c r="E5145" s="5" t="s">
        <v>15438</v>
      </c>
      <c r="F5145" s="6" t="str">
        <f>IFERROR(__xludf.DUMMYFUNCTION("GOOGLETRANSLATE(D5145,""en"",""it"")"),"Mi piacciono gli sport, ma non blues.")</f>
        <v>Mi piacciono gli sport, ma non blues.</v>
      </c>
      <c r="G5145" s="6" t="str">
        <f>IFERROR(__xludf.DUMMYFUNCTION("GOOGLETRANSLATE(E5145,""fr"",""it"")"),"Apprezzo lo sport, ma non il blues.")</f>
        <v>Apprezzo lo sport, ma non il blues.</v>
      </c>
    </row>
    <row r="5146">
      <c r="A5146" s="4">
        <v>5144.0</v>
      </c>
      <c r="B5146" s="5" t="s">
        <v>15439</v>
      </c>
      <c r="C5146" s="4">
        <v>0.0</v>
      </c>
      <c r="D5146" s="5" t="s">
        <v>15440</v>
      </c>
      <c r="E5146" s="5" t="s">
        <v>15441</v>
      </c>
      <c r="F5146" s="6" t="str">
        <f>IFERROR(__xludf.DUMMYFUNCTION("GOOGLETRANSLATE(D5146,""en"",""it"")"),"Mi piacciono il blues, ma non la musica.")</f>
        <v>Mi piacciono il blues, ma non la musica.</v>
      </c>
      <c r="G5146" s="6" t="str">
        <f>IFERROR(__xludf.DUMMYFUNCTION("GOOGLETRANSLATE(E5146,""fr"",""it"")"),"Apprezzo il blues, ma non la musica.")</f>
        <v>Apprezzo il blues, ma non la musica.</v>
      </c>
    </row>
    <row r="5147">
      <c r="A5147" s="4">
        <v>5145.0</v>
      </c>
      <c r="B5147" s="5" t="s">
        <v>15442</v>
      </c>
      <c r="C5147" s="4">
        <v>1.0</v>
      </c>
      <c r="D5147" s="5" t="s">
        <v>15443</v>
      </c>
      <c r="E5147" s="5" t="s">
        <v>15444</v>
      </c>
      <c r="F5147" s="6" t="str">
        <f>IFERROR(__xludf.DUMMYFUNCTION("GOOGLETRANSLATE(D5147,""en"",""it"")"),"Mi piace la musica, ma non il blues.")</f>
        <v>Mi piace la musica, ma non il blues.</v>
      </c>
      <c r="G5147" s="6" t="str">
        <f>IFERROR(__xludf.DUMMYFUNCTION("GOOGLETRANSLATE(E5147,""fr"",""it"")"),"Apprezzo la musica, ma non il blues.")</f>
        <v>Apprezzo la musica, ma non il blues.</v>
      </c>
    </row>
    <row r="5148">
      <c r="A5148" s="4">
        <v>5146.0</v>
      </c>
      <c r="B5148" s="5" t="s">
        <v>15445</v>
      </c>
      <c r="C5148" s="4">
        <v>1.0</v>
      </c>
      <c r="D5148" s="5" t="s">
        <v>15446</v>
      </c>
      <c r="E5148" s="5" t="s">
        <v>15447</v>
      </c>
      <c r="F5148" s="6" t="str">
        <f>IFERROR(__xludf.DUMMYFUNCTION("GOOGLETRANSLATE(D5148,""en"",""it"")"),"Mi piacciono il blues, ma non i tavolini.")</f>
        <v>Mi piacciono il blues, ma non i tavolini.</v>
      </c>
      <c r="G5148" s="6" t="str">
        <f>IFERROR(__xludf.DUMMYFUNCTION("GOOGLETRANSLATE(E5148,""fr"",""it"")"),"Apprezzo il blues, ma non i giochi da tavolo.")</f>
        <v>Apprezzo il blues, ma non i giochi da tavolo.</v>
      </c>
    </row>
    <row r="5149">
      <c r="A5149" s="4">
        <v>5147.0</v>
      </c>
      <c r="B5149" s="5" t="s">
        <v>15448</v>
      </c>
      <c r="C5149" s="4">
        <v>1.0</v>
      </c>
      <c r="D5149" s="5" t="s">
        <v>15449</v>
      </c>
      <c r="E5149" s="5" t="s">
        <v>15450</v>
      </c>
      <c r="F5149" s="6" t="str">
        <f>IFERROR(__xludf.DUMMYFUNCTION("GOOGLETRANSLATE(D5149,""en"",""it"")"),"Mi piacciono i boardgames, ma non blues.")</f>
        <v>Mi piacciono i boardgames, ma non blues.</v>
      </c>
      <c r="G5149" s="6" t="str">
        <f>IFERROR(__xludf.DUMMYFUNCTION("GOOGLETRANSLATE(E5149,""fr"",""it"")"),"Apprezzo i giochi da tavolo, ma non il blues.")</f>
        <v>Apprezzo i giochi da tavolo, ma non il blues.</v>
      </c>
    </row>
    <row r="5150">
      <c r="A5150" s="4">
        <v>5148.0</v>
      </c>
      <c r="B5150" s="5" t="s">
        <v>15451</v>
      </c>
      <c r="C5150" s="4">
        <v>1.0</v>
      </c>
      <c r="D5150" s="5" t="s">
        <v>15452</v>
      </c>
      <c r="E5150" s="5" t="s">
        <v>15453</v>
      </c>
      <c r="F5150" s="6" t="str">
        <f>IFERROR(__xludf.DUMMYFUNCTION("GOOGLETRANSLATE(D5150,""en"",""it"")"),"Mi piacciono il blues, ma non il cibo.")</f>
        <v>Mi piacciono il blues, ma non il cibo.</v>
      </c>
      <c r="G5150" s="6" t="str">
        <f>IFERROR(__xludf.DUMMYFUNCTION("GOOGLETRANSLATE(E5150,""fr"",""it"")"),"Apprezzo il blues, ma non il cibo.")</f>
        <v>Apprezzo il blues, ma non il cibo.</v>
      </c>
    </row>
    <row r="5151">
      <c r="A5151" s="4">
        <v>5149.0</v>
      </c>
      <c r="B5151" s="5" t="s">
        <v>15454</v>
      </c>
      <c r="C5151" s="4">
        <v>1.0</v>
      </c>
      <c r="D5151" s="5" t="s">
        <v>15455</v>
      </c>
      <c r="E5151" s="5" t="s">
        <v>15456</v>
      </c>
      <c r="F5151" s="6" t="str">
        <f>IFERROR(__xludf.DUMMYFUNCTION("GOOGLETRANSLATE(D5151,""en"",""it"")"),"Mi piace il cibo, ma non blues.")</f>
        <v>Mi piace il cibo, ma non blues.</v>
      </c>
      <c r="G5151" s="6" t="str">
        <f>IFERROR(__xludf.DUMMYFUNCTION("GOOGLETRANSLATE(E5151,""fr"",""it"")"),"Apprezzo il cibo, ma non il blues.")</f>
        <v>Apprezzo il cibo, ma non il blues.</v>
      </c>
    </row>
    <row r="5152">
      <c r="A5152" s="4">
        <v>5150.0</v>
      </c>
      <c r="B5152" s="5" t="s">
        <v>15457</v>
      </c>
      <c r="C5152" s="4">
        <v>1.0</v>
      </c>
      <c r="D5152" s="5" t="s">
        <v>15458</v>
      </c>
      <c r="E5152" s="5" t="s">
        <v>15459</v>
      </c>
      <c r="F5152" s="6" t="str">
        <f>IFERROR(__xludf.DUMMYFUNCTION("GOOGLETRANSLATE(D5152,""en"",""it"")"),"Mi piacciono Blues, ma non gioielli.")</f>
        <v>Mi piacciono Blues, ma non gioielli.</v>
      </c>
      <c r="G5152" s="6" t="str">
        <f>IFERROR(__xludf.DUMMYFUNCTION("GOOGLETRANSLATE(E5152,""fr"",""it"")"),"Apprezzo il blues, ma non i gioielli.")</f>
        <v>Apprezzo il blues, ma non i gioielli.</v>
      </c>
    </row>
    <row r="5153">
      <c r="A5153" s="4">
        <v>5151.0</v>
      </c>
      <c r="B5153" s="5" t="s">
        <v>15460</v>
      </c>
      <c r="C5153" s="4">
        <v>1.0</v>
      </c>
      <c r="D5153" s="5" t="s">
        <v>15461</v>
      </c>
      <c r="E5153" s="5" t="s">
        <v>15462</v>
      </c>
      <c r="F5153" s="6" t="str">
        <f>IFERROR(__xludf.DUMMYFUNCTION("GOOGLETRANSLATE(D5153,""en"",""it"")"),"Mi piacciono i gioielli, ma non il blues.")</f>
        <v>Mi piacciono i gioielli, ma non il blues.</v>
      </c>
      <c r="G5153" s="6" t="str">
        <f>IFERROR(__xludf.DUMMYFUNCTION("GOOGLETRANSLATE(E5153,""fr"",""it"")"),"Apprezzo i gioielli, ma non il blues.")</f>
        <v>Apprezzo i gioielli, ma non il blues.</v>
      </c>
    </row>
    <row r="5154">
      <c r="A5154" s="4">
        <v>5152.0</v>
      </c>
      <c r="B5154" s="5" t="s">
        <v>15463</v>
      </c>
      <c r="C5154" s="4">
        <v>0.0</v>
      </c>
      <c r="D5154" s="5" t="s">
        <v>15464</v>
      </c>
      <c r="E5154" s="5" t="s">
        <v>15465</v>
      </c>
      <c r="F5154" s="6" t="str">
        <f>IFERROR(__xludf.DUMMYFUNCTION("GOOGLETRANSLATE(D5154,""en"",""it"")"),"Mi piace Suzukis, tranne gli aeroplani.")</f>
        <v>Mi piace Suzukis, tranne gli aeroplani.</v>
      </c>
      <c r="G5154" s="6" t="str">
        <f>IFERROR(__xludf.DUMMYFUNCTION("GOOGLETRANSLATE(E5154,""fr"",""it"")"),"Mi piace Suzukis, tranne gli aerei.")</f>
        <v>Mi piace Suzukis, tranne gli aerei.</v>
      </c>
    </row>
    <row r="5155">
      <c r="A5155" s="4">
        <v>5153.0</v>
      </c>
      <c r="B5155" s="5" t="s">
        <v>15466</v>
      </c>
      <c r="C5155" s="4">
        <v>0.0</v>
      </c>
      <c r="D5155" s="5" t="s">
        <v>15467</v>
      </c>
      <c r="E5155" s="5" t="s">
        <v>15468</v>
      </c>
      <c r="F5155" s="6" t="str">
        <f>IFERROR(__xludf.DUMMYFUNCTION("GOOGLETRANSLATE(D5155,""en"",""it"")"),"Mi piacciono gli aerei, tranne Suzukis.")</f>
        <v>Mi piacciono gli aerei, tranne Suzukis.</v>
      </c>
      <c r="G5155" s="6" t="str">
        <f>IFERROR(__xludf.DUMMYFUNCTION("GOOGLETRANSLATE(E5155,""fr"",""it"")"),"Mi piacciono gli aerei, tranne Suzukis.")</f>
        <v>Mi piacciono gli aerei, tranne Suzukis.</v>
      </c>
    </row>
    <row r="5156">
      <c r="A5156" s="4">
        <v>5154.0</v>
      </c>
      <c r="B5156" s="5" t="s">
        <v>15469</v>
      </c>
      <c r="C5156" s="4">
        <v>0.0</v>
      </c>
      <c r="D5156" s="5" t="s">
        <v>15470</v>
      </c>
      <c r="E5156" s="5" t="s">
        <v>15471</v>
      </c>
      <c r="F5156" s="6" t="str">
        <f>IFERROR(__xludf.DUMMYFUNCTION("GOOGLETRANSLATE(D5156,""en"",""it"")"),"Mi piacciono i husky, tranne i criceti.")</f>
        <v>Mi piacciono i husky, tranne i criceti.</v>
      </c>
      <c r="G5156" s="6" t="str">
        <f>IFERROR(__xludf.DUMMYFUNCTION("GOOGLETRANSLATE(E5156,""fr"",""it"")"),"Mi piacciono i husky, tranne i criceti.")</f>
        <v>Mi piacciono i husky, tranne i criceti.</v>
      </c>
    </row>
    <row r="5157">
      <c r="A5157" s="4">
        <v>5155.0</v>
      </c>
      <c r="B5157" s="5" t="s">
        <v>15472</v>
      </c>
      <c r="C5157" s="4">
        <v>1.0</v>
      </c>
      <c r="D5157" s="5" t="s">
        <v>15473</v>
      </c>
      <c r="E5157" s="5" t="s">
        <v>15474</v>
      </c>
      <c r="F5157" s="6" t="str">
        <f>IFERROR(__xludf.DUMMYFUNCTION("GOOGLETRANSLATE(D5157,""en"",""it"")"),"Mi piace il prosciutto, ma non pescare.")</f>
        <v>Mi piace il prosciutto, ma non pescare.</v>
      </c>
      <c r="G5157" s="6" t="str">
        <f>IFERROR(__xludf.DUMMYFUNCTION("GOOGLETRANSLATE(E5157,""fr"",""it"")"),"Amo il prosciutto, ma non il pesce.")</f>
        <v>Amo il prosciutto, ma non il pesce.</v>
      </c>
    </row>
    <row r="5158">
      <c r="A5158" s="4">
        <v>5156.0</v>
      </c>
      <c r="B5158" s="5" t="s">
        <v>15475</v>
      </c>
      <c r="C5158" s="4">
        <v>1.0</v>
      </c>
      <c r="D5158" s="5" t="s">
        <v>15476</v>
      </c>
      <c r="E5158" s="5" t="s">
        <v>15477</v>
      </c>
      <c r="F5158" s="6" t="str">
        <f>IFERROR(__xludf.DUMMYFUNCTION("GOOGLETRANSLATE(D5158,""en"",""it"")"),"Mi piace il pesce, ma non il prosciutto.")</f>
        <v>Mi piace il pesce, ma non il prosciutto.</v>
      </c>
      <c r="G5158" s="6" t="str">
        <f>IFERROR(__xludf.DUMMYFUNCTION("GOOGLETRANSLATE(E5158,""fr"",""it"")"),"Amo il pesce, ma non il prosciutto.")</f>
        <v>Amo il pesce, ma non il prosciutto.</v>
      </c>
    </row>
    <row r="5159">
      <c r="A5159" s="4">
        <v>5157.0</v>
      </c>
      <c r="B5159" s="5" t="s">
        <v>15478</v>
      </c>
      <c r="C5159" s="4">
        <v>0.0</v>
      </c>
      <c r="D5159" s="5" t="s">
        <v>15479</v>
      </c>
      <c r="E5159" s="5" t="s">
        <v>15480</v>
      </c>
      <c r="F5159" s="6" t="str">
        <f>IFERROR(__xludf.DUMMYFUNCTION("GOOGLETRANSLATE(D5159,""en"",""it"")"),"Mi piace il prosciutto, ma non il maiale.")</f>
        <v>Mi piace il prosciutto, ma non il maiale.</v>
      </c>
      <c r="G5159" s="6" t="str">
        <f>IFERROR(__xludf.DUMMYFUNCTION("GOOGLETRANSLATE(E5159,""fr"",""it"")"),"Adoro il prosciutto, ma non il maiale.")</f>
        <v>Adoro il prosciutto, ma non il maiale.</v>
      </c>
    </row>
    <row r="5160">
      <c r="A5160" s="4">
        <v>5158.0</v>
      </c>
      <c r="B5160" s="5" t="s">
        <v>15481</v>
      </c>
      <c r="C5160" s="4">
        <v>1.0</v>
      </c>
      <c r="D5160" s="5" t="s">
        <v>15482</v>
      </c>
      <c r="E5160" s="5" t="s">
        <v>15483</v>
      </c>
      <c r="F5160" s="6" t="str">
        <f>IFERROR(__xludf.DUMMYFUNCTION("GOOGLETRANSLATE(D5160,""en"",""it"")"),"Mi piace il maiale, ma non il prosciutto.")</f>
        <v>Mi piace il maiale, ma non il prosciutto.</v>
      </c>
      <c r="G5160" s="6" t="str">
        <f>IFERROR(__xludf.DUMMYFUNCTION("GOOGLETRANSLATE(E5160,""fr"",""it"")"),"Amo il maiale, ma non il prosciutto.")</f>
        <v>Amo il maiale, ma non il prosciutto.</v>
      </c>
    </row>
    <row r="5161">
      <c r="A5161" s="4">
        <v>5159.0</v>
      </c>
      <c r="B5161" s="5" t="s">
        <v>15484</v>
      </c>
      <c r="C5161" s="4">
        <v>1.0</v>
      </c>
      <c r="D5161" s="5" t="s">
        <v>15485</v>
      </c>
      <c r="E5161" s="5" t="s">
        <v>15486</v>
      </c>
      <c r="F5161" s="6" t="str">
        <f>IFERROR(__xludf.DUMMYFUNCTION("GOOGLETRANSLATE(D5161,""en"",""it"")"),"Mi piace la carne di maiale, ma non il pesce.")</f>
        <v>Mi piace la carne di maiale, ma non il pesce.</v>
      </c>
      <c r="G5161" s="6" t="str">
        <f>IFERROR(__xludf.DUMMYFUNCTION("GOOGLETRANSLATE(E5161,""fr"",""it"")"),"Amo il maiale, ma non il pesce.")</f>
        <v>Amo il maiale, ma non il pesce.</v>
      </c>
    </row>
    <row r="5162">
      <c r="A5162" s="4">
        <v>5160.0</v>
      </c>
      <c r="B5162" s="5" t="s">
        <v>15487</v>
      </c>
      <c r="C5162" s="4">
        <v>1.0</v>
      </c>
      <c r="D5162" s="5" t="s">
        <v>15488</v>
      </c>
      <c r="E5162" s="5" t="s">
        <v>15489</v>
      </c>
      <c r="F5162" s="6" t="str">
        <f>IFERROR(__xludf.DUMMYFUNCTION("GOOGLETRANSLATE(D5162,""en"",""it"")"),"Mi piace il prosciutto, ma non i broccoli.")</f>
        <v>Mi piace il prosciutto, ma non i broccoli.</v>
      </c>
      <c r="G5162" s="6" t="str">
        <f>IFERROR(__xludf.DUMMYFUNCTION("GOOGLETRANSLATE(E5162,""fr"",""it"")"),"Amo il prosciutto, ma non i broccoli.")</f>
        <v>Amo il prosciutto, ma non i broccoli.</v>
      </c>
    </row>
    <row r="5163">
      <c r="A5163" s="4">
        <v>5161.0</v>
      </c>
      <c r="B5163" s="5" t="s">
        <v>15490</v>
      </c>
      <c r="C5163" s="4">
        <v>1.0</v>
      </c>
      <c r="D5163" s="5" t="s">
        <v>15491</v>
      </c>
      <c r="E5163" s="5" t="s">
        <v>15492</v>
      </c>
      <c r="F5163" s="6" t="str">
        <f>IFERROR(__xludf.DUMMYFUNCTION("GOOGLETRANSLATE(D5163,""en"",""it"")"),"Mi piacciono i broccoli, ma non il prosciutto.")</f>
        <v>Mi piacciono i broccoli, ma non il prosciutto.</v>
      </c>
      <c r="G5163" s="6" t="str">
        <f>IFERROR(__xludf.DUMMYFUNCTION("GOOGLETRANSLATE(E5163,""fr"",""it"")"),"Adoro i broccoli, ma non il prosciutto.")</f>
        <v>Adoro i broccoli, ma non il prosciutto.</v>
      </c>
    </row>
    <row r="5164">
      <c r="A5164" s="4">
        <v>5162.0</v>
      </c>
      <c r="B5164" s="5" t="s">
        <v>15493</v>
      </c>
      <c r="C5164" s="4">
        <v>1.0</v>
      </c>
      <c r="D5164" s="5" t="s">
        <v>15494</v>
      </c>
      <c r="E5164" s="5" t="s">
        <v>15495</v>
      </c>
      <c r="F5164" s="6" t="str">
        <f>IFERROR(__xludf.DUMMYFUNCTION("GOOGLETRANSLATE(D5164,""en"",""it"")"),"Mi piace il maiale, ma non i broccoli.")</f>
        <v>Mi piace il maiale, ma non i broccoli.</v>
      </c>
      <c r="G5164" s="6" t="str">
        <f>IFERROR(__xludf.DUMMYFUNCTION("GOOGLETRANSLATE(E5164,""fr"",""it"")"),"Amo il maiale, ma non i broccoli.")</f>
        <v>Amo il maiale, ma non i broccoli.</v>
      </c>
    </row>
    <row r="5165">
      <c r="A5165" s="4">
        <v>5163.0</v>
      </c>
      <c r="B5165" s="5" t="s">
        <v>15496</v>
      </c>
      <c r="C5165" s="4">
        <v>1.0</v>
      </c>
      <c r="D5165" s="5" t="s">
        <v>15497</v>
      </c>
      <c r="E5165" s="5" t="s">
        <v>15498</v>
      </c>
      <c r="F5165" s="6" t="str">
        <f>IFERROR(__xludf.DUMMYFUNCTION("GOOGLETRANSLATE(D5165,""en"",""it"")"),"Mi piace il prosciutto, ma non le mele.")</f>
        <v>Mi piace il prosciutto, ma non le mele.</v>
      </c>
      <c r="G5165" s="6" t="str">
        <f>IFERROR(__xludf.DUMMYFUNCTION("GOOGLETRANSLATE(E5165,""fr"",""it"")"),"Amo il prosciutto, ma non le mele.")</f>
        <v>Amo il prosciutto, ma non le mele.</v>
      </c>
    </row>
    <row r="5166">
      <c r="A5166" s="4">
        <v>5164.0</v>
      </c>
      <c r="B5166" s="5" t="s">
        <v>15499</v>
      </c>
      <c r="C5166" s="4">
        <v>1.0</v>
      </c>
      <c r="D5166" s="5" t="s">
        <v>15500</v>
      </c>
      <c r="E5166" s="5" t="s">
        <v>15501</v>
      </c>
      <c r="F5166" s="6" t="str">
        <f>IFERROR(__xludf.DUMMYFUNCTION("GOOGLETRANSLATE(D5166,""en"",""it"")"),"Mi piacciono le mele, ma non il prosciutto.")</f>
        <v>Mi piacciono le mele, ma non il prosciutto.</v>
      </c>
      <c r="G5166" s="6" t="str">
        <f>IFERROR(__xludf.DUMMYFUNCTION("GOOGLETRANSLATE(E5166,""fr"",""it"")"),"Amo le mele, ma non prosciutto.")</f>
        <v>Amo le mele, ma non prosciutto.</v>
      </c>
    </row>
    <row r="5167">
      <c r="A5167" s="4">
        <v>5165.0</v>
      </c>
      <c r="B5167" s="5" t="s">
        <v>15502</v>
      </c>
      <c r="C5167" s="4">
        <v>1.0</v>
      </c>
      <c r="D5167" s="5" t="s">
        <v>15503</v>
      </c>
      <c r="E5167" s="5" t="s">
        <v>15504</v>
      </c>
      <c r="F5167" s="6" t="str">
        <f>IFERROR(__xludf.DUMMYFUNCTION("GOOGLETRANSLATE(D5167,""en"",""it"")"),"Mi piace la carne di maiale, ma non le mele.")</f>
        <v>Mi piace la carne di maiale, ma non le mele.</v>
      </c>
      <c r="G5167" s="6" t="str">
        <f>IFERROR(__xludf.DUMMYFUNCTION("GOOGLETRANSLATE(E5167,""fr"",""it"")"),"Amo il maiale, ma non le mele.")</f>
        <v>Amo il maiale, ma non le mele.</v>
      </c>
    </row>
    <row r="5168">
      <c r="A5168" s="4">
        <v>5166.0</v>
      </c>
      <c r="B5168" s="5" t="s">
        <v>15505</v>
      </c>
      <c r="C5168" s="4">
        <v>1.0</v>
      </c>
      <c r="D5168" s="5" t="s">
        <v>15506</v>
      </c>
      <c r="E5168" s="5" t="s">
        <v>15507</v>
      </c>
      <c r="F5168" s="6" t="str">
        <f>IFERROR(__xludf.DUMMYFUNCTION("GOOGLETRANSLATE(D5168,""en"",""it"")"),"Mi piace il prosciutto, ma non le carote.")</f>
        <v>Mi piace il prosciutto, ma non le carote.</v>
      </c>
      <c r="G5168" s="6" t="str">
        <f>IFERROR(__xludf.DUMMYFUNCTION("GOOGLETRANSLATE(E5168,""fr"",""it"")"),"Amo il prosciutto, ma non le carote.")</f>
        <v>Amo il prosciutto, ma non le carote.</v>
      </c>
    </row>
    <row r="5169">
      <c r="A5169" s="4">
        <v>5167.0</v>
      </c>
      <c r="B5169" s="5" t="s">
        <v>15508</v>
      </c>
      <c r="C5169" s="4">
        <v>1.0</v>
      </c>
      <c r="D5169" s="5" t="s">
        <v>15509</v>
      </c>
      <c r="E5169" s="5" t="s">
        <v>15510</v>
      </c>
      <c r="F5169" s="6" t="str">
        <f>IFERROR(__xludf.DUMMYFUNCTION("GOOGLETRANSLATE(D5169,""en"",""it"")"),"Mi piacciono le carote, ma non il prosciutto.")</f>
        <v>Mi piacciono le carote, ma non il prosciutto.</v>
      </c>
      <c r="G5169" s="6" t="str">
        <f>IFERROR(__xludf.DUMMYFUNCTION("GOOGLETRANSLATE(E5169,""fr"",""it"")"),"Adoro le carote, ma non il prosciutto.")</f>
        <v>Adoro le carote, ma non il prosciutto.</v>
      </c>
    </row>
    <row r="5170">
      <c r="A5170" s="4">
        <v>5168.0</v>
      </c>
      <c r="B5170" s="5" t="s">
        <v>15511</v>
      </c>
      <c r="C5170" s="4">
        <v>1.0</v>
      </c>
      <c r="D5170" s="5" t="s">
        <v>15512</v>
      </c>
      <c r="E5170" s="5" t="s">
        <v>15513</v>
      </c>
      <c r="F5170" s="6" t="str">
        <f>IFERROR(__xludf.DUMMYFUNCTION("GOOGLETRANSLATE(D5170,""en"",""it"")"),"Mi piace la carne di maiale, ma non le carote.")</f>
        <v>Mi piace la carne di maiale, ma non le carote.</v>
      </c>
      <c r="G5170" s="6" t="str">
        <f>IFERROR(__xludf.DUMMYFUNCTION("GOOGLETRANSLATE(E5170,""fr"",""it"")"),"Amo la carne di maiale, ma non le carote.")</f>
        <v>Amo la carne di maiale, ma non le carote.</v>
      </c>
    </row>
    <row r="5171">
      <c r="A5171" s="4">
        <v>5169.0</v>
      </c>
      <c r="B5171" s="5" t="s">
        <v>15514</v>
      </c>
      <c r="C5171" s="4">
        <v>1.0</v>
      </c>
      <c r="D5171" s="5" t="s">
        <v>15515</v>
      </c>
      <c r="E5171" s="5" t="s">
        <v>15516</v>
      </c>
      <c r="F5171" s="6" t="str">
        <f>IFERROR(__xludf.DUMMYFUNCTION("GOOGLETRANSLATE(D5171,""en"",""it"")"),"Mi piace Prosciutto, ma non pescare.")</f>
        <v>Mi piace Prosciutto, ma non pescare.</v>
      </c>
      <c r="G5171" s="6" t="str">
        <f>IFERROR(__xludf.DUMMYFUNCTION("GOOGLETRANSLATE(E5171,""fr"",""it"")"),"Adoro il prosciutto, ma non il pesce.")</f>
        <v>Adoro il prosciutto, ma non il pesce.</v>
      </c>
    </row>
    <row r="5172">
      <c r="A5172" s="4">
        <v>5170.0</v>
      </c>
      <c r="B5172" s="5" t="s">
        <v>15517</v>
      </c>
      <c r="C5172" s="4">
        <v>1.0</v>
      </c>
      <c r="D5172" s="5" t="s">
        <v>15518</v>
      </c>
      <c r="E5172" s="5" t="s">
        <v>15519</v>
      </c>
      <c r="F5172" s="6" t="str">
        <f>IFERROR(__xludf.DUMMYFUNCTION("GOOGLETRANSLATE(D5172,""en"",""it"")"),"Mi piace il pesce, ma non prosciutto.")</f>
        <v>Mi piace il pesce, ma non prosciutto.</v>
      </c>
      <c r="G5172" s="6" t="str">
        <f>IFERROR(__xludf.DUMMYFUNCTION("GOOGLETRANSLATE(E5172,""fr"",""it"")"),"Amo il pesce, ma non il prosciutto.")</f>
        <v>Amo il pesce, ma non il prosciutto.</v>
      </c>
    </row>
    <row r="5173">
      <c r="A5173" s="4">
        <v>5171.0</v>
      </c>
      <c r="B5173" s="5" t="s">
        <v>15520</v>
      </c>
      <c r="C5173" s="4">
        <v>0.0</v>
      </c>
      <c r="D5173" s="5" t="s">
        <v>15521</v>
      </c>
      <c r="E5173" s="5" t="s">
        <v>15522</v>
      </c>
      <c r="F5173" s="6" t="str">
        <f>IFERROR(__xludf.DUMMYFUNCTION("GOOGLETRANSLATE(D5173,""en"",""it"")"),"Mi piace Prosciutto, ma non maiale.")</f>
        <v>Mi piace Prosciutto, ma non maiale.</v>
      </c>
      <c r="G5173" s="6" t="str">
        <f>IFERROR(__xludf.DUMMYFUNCTION("GOOGLETRANSLATE(E5173,""fr"",""it"")"),"Adoro il prosciutto, ma non il maiale.")</f>
        <v>Adoro il prosciutto, ma non il maiale.</v>
      </c>
    </row>
    <row r="5174">
      <c r="A5174" s="4">
        <v>5172.0</v>
      </c>
      <c r="B5174" s="5" t="s">
        <v>15523</v>
      </c>
      <c r="C5174" s="4">
        <v>1.0</v>
      </c>
      <c r="D5174" s="5" t="s">
        <v>15524</v>
      </c>
      <c r="E5174" s="5" t="s">
        <v>15525</v>
      </c>
      <c r="F5174" s="6" t="str">
        <f>IFERROR(__xludf.DUMMYFUNCTION("GOOGLETRANSLATE(D5174,""en"",""it"")"),"Mi piace il maiale, ma non prosciutto.")</f>
        <v>Mi piace il maiale, ma non prosciutto.</v>
      </c>
      <c r="G5174" s="6" t="str">
        <f>IFERROR(__xludf.DUMMYFUNCTION("GOOGLETRANSLATE(E5174,""fr"",""it"")"),"Amo il maiale, ma non il prosciutto.")</f>
        <v>Amo il maiale, ma non il prosciutto.</v>
      </c>
    </row>
    <row r="5175">
      <c r="A5175" s="4">
        <v>5173.0</v>
      </c>
      <c r="B5175" s="5" t="s">
        <v>15526</v>
      </c>
      <c r="C5175" s="4">
        <v>1.0</v>
      </c>
      <c r="D5175" s="5" t="s">
        <v>15527</v>
      </c>
      <c r="E5175" s="5" t="s">
        <v>15528</v>
      </c>
      <c r="F5175" s="6" t="str">
        <f>IFERROR(__xludf.DUMMYFUNCTION("GOOGLETRANSLATE(D5175,""en"",""it"")"),"Mi piace Prosciutto, ma non broccoli.")</f>
        <v>Mi piace Prosciutto, ma non broccoli.</v>
      </c>
      <c r="G5175" s="6" t="str">
        <f>IFERROR(__xludf.DUMMYFUNCTION("GOOGLETRANSLATE(E5175,""fr"",""it"")"),"Adoro il prosciutto, ma non i broccoli.")</f>
        <v>Adoro il prosciutto, ma non i broccoli.</v>
      </c>
    </row>
    <row r="5176">
      <c r="A5176" s="4">
        <v>5174.0</v>
      </c>
      <c r="B5176" s="5" t="s">
        <v>15529</v>
      </c>
      <c r="C5176" s="4">
        <v>1.0</v>
      </c>
      <c r="D5176" s="5" t="s">
        <v>15530</v>
      </c>
      <c r="E5176" s="5" t="s">
        <v>15531</v>
      </c>
      <c r="F5176" s="6" t="str">
        <f>IFERROR(__xludf.DUMMYFUNCTION("GOOGLETRANSLATE(D5176,""en"",""it"")"),"Mi piacciono i broccoli, ma non il prosciutto.")</f>
        <v>Mi piacciono i broccoli, ma non il prosciutto.</v>
      </c>
      <c r="G5176" s="6" t="str">
        <f>IFERROR(__xludf.DUMMYFUNCTION("GOOGLETRANSLATE(E5176,""fr"",""it"")"),"Adoro i broccoli, ma non il prosciutto.")</f>
        <v>Adoro i broccoli, ma non il prosciutto.</v>
      </c>
    </row>
    <row r="5177">
      <c r="A5177" s="4">
        <v>5175.0</v>
      </c>
      <c r="B5177" s="5" t="s">
        <v>15532</v>
      </c>
      <c r="C5177" s="4">
        <v>1.0</v>
      </c>
      <c r="D5177" s="5" t="s">
        <v>15533</v>
      </c>
      <c r="E5177" s="5" t="s">
        <v>15534</v>
      </c>
      <c r="F5177" s="6" t="str">
        <f>IFERROR(__xludf.DUMMYFUNCTION("GOOGLETRANSLATE(D5177,""en"",""it"")"),"Mi piace Prosciutto, ma non mele.")</f>
        <v>Mi piace Prosciutto, ma non mele.</v>
      </c>
      <c r="G5177" s="6" t="str">
        <f>IFERROR(__xludf.DUMMYFUNCTION("GOOGLETRANSLATE(E5177,""fr"",""it"")"),"Adoro il prosciutto, ma non le mele.")</f>
        <v>Adoro il prosciutto, ma non le mele.</v>
      </c>
    </row>
    <row r="5178">
      <c r="A5178" s="4">
        <v>5176.0</v>
      </c>
      <c r="B5178" s="5" t="s">
        <v>15535</v>
      </c>
      <c r="C5178" s="4">
        <v>1.0</v>
      </c>
      <c r="D5178" s="5" t="s">
        <v>15536</v>
      </c>
      <c r="E5178" s="5" t="s">
        <v>15537</v>
      </c>
      <c r="F5178" s="6" t="str">
        <f>IFERROR(__xludf.DUMMYFUNCTION("GOOGLETRANSLATE(D5178,""en"",""it"")"),"Mi piacciono le mele, ma non prosciutto.")</f>
        <v>Mi piacciono le mele, ma non prosciutto.</v>
      </c>
      <c r="G5178" s="6" t="str">
        <f>IFERROR(__xludf.DUMMYFUNCTION("GOOGLETRANSLATE(E5178,""fr"",""it"")"),"Amo le mele, ma non il prosciutto.")</f>
        <v>Amo le mele, ma non il prosciutto.</v>
      </c>
    </row>
    <row r="5179">
      <c r="A5179" s="4">
        <v>5177.0</v>
      </c>
      <c r="B5179" s="5" t="s">
        <v>15538</v>
      </c>
      <c r="C5179" s="4">
        <v>1.0</v>
      </c>
      <c r="D5179" s="5" t="s">
        <v>15539</v>
      </c>
      <c r="E5179" s="5" t="s">
        <v>15540</v>
      </c>
      <c r="F5179" s="6" t="str">
        <f>IFERROR(__xludf.DUMMYFUNCTION("GOOGLETRANSLATE(D5179,""en"",""it"")"),"Mi piace Prosciutto, ma non carote.")</f>
        <v>Mi piace Prosciutto, ma non carote.</v>
      </c>
      <c r="G5179" s="6" t="str">
        <f>IFERROR(__xludf.DUMMYFUNCTION("GOOGLETRANSLATE(E5179,""fr"",""it"")"),"Adoro il prosciutto, ma non le carote.")</f>
        <v>Adoro il prosciutto, ma non le carote.</v>
      </c>
    </row>
    <row r="5180">
      <c r="A5180" s="4">
        <v>5178.0</v>
      </c>
      <c r="B5180" s="5" t="s">
        <v>15541</v>
      </c>
      <c r="C5180" s="4">
        <v>1.0</v>
      </c>
      <c r="D5180" s="5" t="s">
        <v>15542</v>
      </c>
      <c r="E5180" s="5" t="s">
        <v>15543</v>
      </c>
      <c r="F5180" s="6" t="str">
        <f>IFERROR(__xludf.DUMMYFUNCTION("GOOGLETRANSLATE(D5180,""en"",""it"")"),"Mi piacciono le carote, ma non prosciutto.")</f>
        <v>Mi piacciono le carote, ma non prosciutto.</v>
      </c>
      <c r="G5180" s="6" t="str">
        <f>IFERROR(__xludf.DUMMYFUNCTION("GOOGLETRANSLATE(E5180,""fr"",""it"")"),"Adoro le carote, ma non il prosciutto.")</f>
        <v>Adoro le carote, ma non il prosciutto.</v>
      </c>
    </row>
    <row r="5181">
      <c r="A5181" s="4">
        <v>5179.0</v>
      </c>
      <c r="B5181" s="5" t="s">
        <v>15544</v>
      </c>
      <c r="C5181" s="4">
        <v>1.0</v>
      </c>
      <c r="D5181" s="5" t="s">
        <v>15545</v>
      </c>
      <c r="E5181" s="5" t="s">
        <v>15546</v>
      </c>
      <c r="F5181" s="6" t="str">
        <f>IFERROR(__xludf.DUMMYFUNCTION("GOOGLETRANSLATE(D5181,""en"",""it"")"),"Mi piace la pancetta, ma non il pesce.")</f>
        <v>Mi piace la pancetta, ma non il pesce.</v>
      </c>
      <c r="G5181" s="6" t="str">
        <f>IFERROR(__xludf.DUMMYFUNCTION("GOOGLETRANSLATE(E5181,""fr"",""it"")"),"Amo la pancetta, ma non il pesce.")</f>
        <v>Amo la pancetta, ma non il pesce.</v>
      </c>
    </row>
    <row r="5182">
      <c r="A5182" s="4">
        <v>5180.0</v>
      </c>
      <c r="B5182" s="5" t="s">
        <v>15547</v>
      </c>
      <c r="C5182" s="4">
        <v>1.0</v>
      </c>
      <c r="D5182" s="5" t="s">
        <v>15548</v>
      </c>
      <c r="E5182" s="5" t="s">
        <v>15549</v>
      </c>
      <c r="F5182" s="6" t="str">
        <f>IFERROR(__xludf.DUMMYFUNCTION("GOOGLETRANSLATE(D5182,""en"",""it"")"),"Mi piace il pesce, ma non la pancetta.")</f>
        <v>Mi piace il pesce, ma non la pancetta.</v>
      </c>
      <c r="G5182" s="6" t="str">
        <f>IFERROR(__xludf.DUMMYFUNCTION("GOOGLETRANSLATE(E5182,""fr"",""it"")"),"Amo il pesce, ma non la pancetta.")</f>
        <v>Amo il pesce, ma non la pancetta.</v>
      </c>
    </row>
    <row r="5183">
      <c r="A5183" s="4">
        <v>5181.0</v>
      </c>
      <c r="B5183" s="5" t="s">
        <v>15550</v>
      </c>
      <c r="C5183" s="4">
        <v>0.0</v>
      </c>
      <c r="D5183" s="5" t="s">
        <v>15551</v>
      </c>
      <c r="E5183" s="5" t="s">
        <v>15552</v>
      </c>
      <c r="F5183" s="6" t="str">
        <f>IFERROR(__xludf.DUMMYFUNCTION("GOOGLETRANSLATE(D5183,""en"",""it"")"),"Mi piace il bacon, ma non il maiale.")</f>
        <v>Mi piace il bacon, ma non il maiale.</v>
      </c>
      <c r="G5183" s="6" t="str">
        <f>IFERROR(__xludf.DUMMYFUNCTION("GOOGLETRANSLATE(E5183,""fr"",""it"")"),"Adoro la pancetta, ma non la carne di maiale.")</f>
        <v>Adoro la pancetta, ma non la carne di maiale.</v>
      </c>
    </row>
    <row r="5184">
      <c r="A5184" s="4">
        <v>5182.0</v>
      </c>
      <c r="B5184" s="5" t="s">
        <v>15553</v>
      </c>
      <c r="C5184" s="4">
        <v>1.0</v>
      </c>
      <c r="D5184" s="5" t="s">
        <v>15554</v>
      </c>
      <c r="E5184" s="5" t="s">
        <v>15555</v>
      </c>
      <c r="F5184" s="6" t="str">
        <f>IFERROR(__xludf.DUMMYFUNCTION("GOOGLETRANSLATE(D5184,""en"",""it"")"),"Mi piace la carne di maiale, ma non la pancetta.")</f>
        <v>Mi piace la carne di maiale, ma non la pancetta.</v>
      </c>
      <c r="G5184" s="6" t="str">
        <f>IFERROR(__xludf.DUMMYFUNCTION("GOOGLETRANSLATE(E5184,""fr"",""it"")"),"Amo il maiale, ma non la pancetta.")</f>
        <v>Amo il maiale, ma non la pancetta.</v>
      </c>
    </row>
    <row r="5185">
      <c r="A5185" s="4">
        <v>5183.0</v>
      </c>
      <c r="B5185" s="5" t="s">
        <v>15556</v>
      </c>
      <c r="C5185" s="4">
        <v>1.0</v>
      </c>
      <c r="D5185" s="5" t="s">
        <v>15557</v>
      </c>
      <c r="E5185" s="5" t="s">
        <v>15558</v>
      </c>
      <c r="F5185" s="6" t="str">
        <f>IFERROR(__xludf.DUMMYFUNCTION("GOOGLETRANSLATE(D5185,""en"",""it"")"),"Mi piace la pancetta, ma non i broccoli.")</f>
        <v>Mi piace la pancetta, ma non i broccoli.</v>
      </c>
      <c r="G5185" s="6" t="str">
        <f>IFERROR(__xludf.DUMMYFUNCTION("GOOGLETRANSLATE(E5185,""fr"",""it"")"),"Adoro la pancetta, ma non i broccoli.")</f>
        <v>Adoro la pancetta, ma non i broccoli.</v>
      </c>
    </row>
    <row r="5186">
      <c r="A5186" s="4">
        <v>5184.0</v>
      </c>
      <c r="B5186" s="5" t="s">
        <v>15559</v>
      </c>
      <c r="C5186" s="4">
        <v>1.0</v>
      </c>
      <c r="D5186" s="5" t="s">
        <v>15560</v>
      </c>
      <c r="E5186" s="5" t="s">
        <v>15561</v>
      </c>
      <c r="F5186" s="6" t="str">
        <f>IFERROR(__xludf.DUMMYFUNCTION("GOOGLETRANSLATE(D5186,""en"",""it"")"),"Mi piacciono i broccoli, ma non la pancetta.")</f>
        <v>Mi piacciono i broccoli, ma non la pancetta.</v>
      </c>
      <c r="G5186" s="6" t="str">
        <f>IFERROR(__xludf.DUMMYFUNCTION("GOOGLETRANSLATE(E5186,""fr"",""it"")"),"Adoro i broccoli, ma non la pancetta.")</f>
        <v>Adoro i broccoli, ma non la pancetta.</v>
      </c>
    </row>
    <row r="5187">
      <c r="A5187" s="4">
        <v>5185.0</v>
      </c>
      <c r="B5187" s="5" t="s">
        <v>15562</v>
      </c>
      <c r="C5187" s="4">
        <v>1.0</v>
      </c>
      <c r="D5187" s="5" t="s">
        <v>15563</v>
      </c>
      <c r="E5187" s="5" t="s">
        <v>15564</v>
      </c>
      <c r="F5187" s="6" t="str">
        <f>IFERROR(__xludf.DUMMYFUNCTION("GOOGLETRANSLATE(D5187,""en"",""it"")"),"Mi piacciono la pancetta, ma non le mele.")</f>
        <v>Mi piacciono la pancetta, ma non le mele.</v>
      </c>
      <c r="G5187" s="6" t="str">
        <f>IFERROR(__xludf.DUMMYFUNCTION("GOOGLETRANSLATE(E5187,""fr"",""it"")"),"Adoro la pancetta, ma non le mele.")</f>
        <v>Adoro la pancetta, ma non le mele.</v>
      </c>
    </row>
    <row r="5188">
      <c r="A5188" s="4">
        <v>5186.0</v>
      </c>
      <c r="B5188" s="5" t="s">
        <v>15565</v>
      </c>
      <c r="C5188" s="4">
        <v>1.0</v>
      </c>
      <c r="D5188" s="5" t="s">
        <v>15566</v>
      </c>
      <c r="E5188" s="5" t="s">
        <v>15567</v>
      </c>
      <c r="F5188" s="6" t="str">
        <f>IFERROR(__xludf.DUMMYFUNCTION("GOOGLETRANSLATE(D5188,""en"",""it"")"),"Mi piacciono le mele, ma non la pancetta.")</f>
        <v>Mi piacciono le mele, ma non la pancetta.</v>
      </c>
      <c r="G5188" s="6" t="str">
        <f>IFERROR(__xludf.DUMMYFUNCTION("GOOGLETRANSLATE(E5188,""fr"",""it"")"),"Amo le mele, ma non la pancetta.")</f>
        <v>Amo le mele, ma non la pancetta.</v>
      </c>
    </row>
    <row r="5189">
      <c r="A5189" s="4">
        <v>5187.0</v>
      </c>
      <c r="B5189" s="5" t="s">
        <v>15568</v>
      </c>
      <c r="C5189" s="4">
        <v>1.0</v>
      </c>
      <c r="D5189" s="5" t="s">
        <v>15569</v>
      </c>
      <c r="E5189" s="5" t="s">
        <v>15570</v>
      </c>
      <c r="F5189" s="6" t="str">
        <f>IFERROR(__xludf.DUMMYFUNCTION("GOOGLETRANSLATE(D5189,""en"",""it"")"),"Mi piacciono la pancetta, ma non le carote.")</f>
        <v>Mi piacciono la pancetta, ma non le carote.</v>
      </c>
      <c r="G5189" s="6" t="str">
        <f>IFERROR(__xludf.DUMMYFUNCTION("GOOGLETRANSLATE(E5189,""fr"",""it"")"),"Adoro la pancetta, ma non le carote.")</f>
        <v>Adoro la pancetta, ma non le carote.</v>
      </c>
    </row>
    <row r="5190">
      <c r="A5190" s="4">
        <v>5188.0</v>
      </c>
      <c r="B5190" s="5" t="s">
        <v>15571</v>
      </c>
      <c r="C5190" s="4">
        <v>1.0</v>
      </c>
      <c r="D5190" s="5" t="s">
        <v>15572</v>
      </c>
      <c r="E5190" s="5" t="s">
        <v>15573</v>
      </c>
      <c r="F5190" s="6" t="str">
        <f>IFERROR(__xludf.DUMMYFUNCTION("GOOGLETRANSLATE(D5190,""en"",""it"")"),"Mi piacciono le carote, ma non la pancetta.")</f>
        <v>Mi piacciono le carote, ma non la pancetta.</v>
      </c>
      <c r="G5190" s="6" t="str">
        <f>IFERROR(__xludf.DUMMYFUNCTION("GOOGLETRANSLATE(E5190,""fr"",""it"")"),"Adoro le carote, ma non la pancetta.")</f>
        <v>Adoro le carote, ma non la pancetta.</v>
      </c>
    </row>
    <row r="5191">
      <c r="A5191" s="4">
        <v>5189.0</v>
      </c>
      <c r="B5191" s="5" t="s">
        <v>15574</v>
      </c>
      <c r="C5191" s="4">
        <v>1.0</v>
      </c>
      <c r="D5191" s="5" t="s">
        <v>15575</v>
      </c>
      <c r="E5191" s="5" t="s">
        <v>15576</v>
      </c>
      <c r="F5191" s="6" t="str">
        <f>IFERROR(__xludf.DUMMYFUNCTION("GOOGLETRANSLATE(D5191,""en"",""it"")"),"Mi piace il lardo, ma non pescare.")</f>
        <v>Mi piace il lardo, ma non pescare.</v>
      </c>
      <c r="G5191" s="6" t="str">
        <f>IFERROR(__xludf.DUMMYFUNCTION("GOOGLETRANSLATE(E5191,""fr"",""it"")"),"Amo la pancetta, ma non il pesce.")</f>
        <v>Amo la pancetta, ma non il pesce.</v>
      </c>
    </row>
    <row r="5192">
      <c r="A5192" s="4">
        <v>5190.0</v>
      </c>
      <c r="B5192" s="5" t="s">
        <v>15577</v>
      </c>
      <c r="C5192" s="4">
        <v>1.0</v>
      </c>
      <c r="D5192" s="5" t="s">
        <v>15578</v>
      </c>
      <c r="E5192" s="5" t="s">
        <v>15579</v>
      </c>
      <c r="F5192" s="6" t="str">
        <f>IFERROR(__xludf.DUMMYFUNCTION("GOOGLETRANSLATE(D5192,""en"",""it"")"),"Mi piace il pesce, ma non lo lardo.")</f>
        <v>Mi piace il pesce, ma non lo lardo.</v>
      </c>
      <c r="G5192" s="6" t="str">
        <f>IFERROR(__xludf.DUMMYFUNCTION("GOOGLETRANSLATE(E5192,""fr"",""it"")"),"Amo il pesce, ma non la pancetta.")</f>
        <v>Amo il pesce, ma non la pancetta.</v>
      </c>
    </row>
    <row r="5193">
      <c r="A5193" s="4">
        <v>5191.0</v>
      </c>
      <c r="B5193" s="5" t="s">
        <v>15580</v>
      </c>
      <c r="C5193" s="4">
        <v>0.0</v>
      </c>
      <c r="D5193" s="5" t="s">
        <v>15581</v>
      </c>
      <c r="E5193" s="5" t="s">
        <v>15582</v>
      </c>
      <c r="F5193" s="6" t="str">
        <f>IFERROR(__xludf.DUMMYFUNCTION("GOOGLETRANSLATE(D5193,""en"",""it"")"),"Mi piace il lardo, ma non il maiale.")</f>
        <v>Mi piace il lardo, ma non il maiale.</v>
      </c>
      <c r="G5193" s="6" t="str">
        <f>IFERROR(__xludf.DUMMYFUNCTION("GOOGLETRANSLATE(E5193,""fr"",""it"")"),"Amo la pancetta, ma non il maiale.")</f>
        <v>Amo la pancetta, ma non il maiale.</v>
      </c>
    </row>
    <row r="5194">
      <c r="A5194" s="4">
        <v>5192.0</v>
      </c>
      <c r="B5194" s="5" t="s">
        <v>15583</v>
      </c>
      <c r="C5194" s="4">
        <v>1.0</v>
      </c>
      <c r="D5194" s="5" t="s">
        <v>15584</v>
      </c>
      <c r="E5194" s="5" t="s">
        <v>15585</v>
      </c>
      <c r="F5194" s="6" t="str">
        <f>IFERROR(__xludf.DUMMYFUNCTION("GOOGLETRANSLATE(D5194,""en"",""it"")"),"Mi piace il maiale, ma non il lardo.")</f>
        <v>Mi piace il maiale, ma non il lardo.</v>
      </c>
      <c r="G5194" s="6" t="str">
        <f>IFERROR(__xludf.DUMMYFUNCTION("GOOGLETRANSLATE(E5194,""fr"",""it"")"),"Amo il maiale, ma non la pancetta.")</f>
        <v>Amo il maiale, ma non la pancetta.</v>
      </c>
    </row>
    <row r="5195">
      <c r="A5195" s="4">
        <v>5193.0</v>
      </c>
      <c r="B5195" s="5" t="s">
        <v>15586</v>
      </c>
      <c r="C5195" s="4">
        <v>1.0</v>
      </c>
      <c r="D5195" s="5" t="s">
        <v>15587</v>
      </c>
      <c r="E5195" s="5" t="s">
        <v>15588</v>
      </c>
      <c r="F5195" s="6" t="str">
        <f>IFERROR(__xludf.DUMMYFUNCTION("GOOGLETRANSLATE(D5195,""en"",""it"")"),"Mi piace il lardo, ma non i broccoli.")</f>
        <v>Mi piace il lardo, ma non i broccoli.</v>
      </c>
      <c r="G5195" s="6" t="str">
        <f>IFERROR(__xludf.DUMMYFUNCTION("GOOGLETRANSLATE(E5195,""fr"",""it"")"),"Amo la pancetta, ma non i broccoli.")</f>
        <v>Amo la pancetta, ma non i broccoli.</v>
      </c>
    </row>
    <row r="5196">
      <c r="A5196" s="4">
        <v>5194.0</v>
      </c>
      <c r="B5196" s="5" t="s">
        <v>15589</v>
      </c>
      <c r="C5196" s="4">
        <v>1.0</v>
      </c>
      <c r="D5196" s="5" t="s">
        <v>15590</v>
      </c>
      <c r="E5196" s="5" t="s">
        <v>15591</v>
      </c>
      <c r="F5196" s="6" t="str">
        <f>IFERROR(__xludf.DUMMYFUNCTION("GOOGLETRANSLATE(D5196,""en"",""it"")"),"Mi piacciono i broccoli, ma non il lardo.")</f>
        <v>Mi piacciono i broccoli, ma non il lardo.</v>
      </c>
      <c r="G5196" s="6" t="str">
        <f>IFERROR(__xludf.DUMMYFUNCTION("GOOGLETRANSLATE(E5196,""fr"",""it"")"),"Adoro i broccoli, ma non la pancetta.")</f>
        <v>Adoro i broccoli, ma non la pancetta.</v>
      </c>
    </row>
    <row r="5197">
      <c r="A5197" s="4">
        <v>5195.0</v>
      </c>
      <c r="B5197" s="5" t="s">
        <v>15592</v>
      </c>
      <c r="C5197" s="4">
        <v>1.0</v>
      </c>
      <c r="D5197" s="5" t="s">
        <v>15593</v>
      </c>
      <c r="E5197" s="5" t="s">
        <v>15594</v>
      </c>
      <c r="F5197" s="6" t="str">
        <f>IFERROR(__xludf.DUMMYFUNCTION("GOOGLETRANSLATE(D5197,""en"",""it"")"),"Mi piace il lardo, ma non le mele.")</f>
        <v>Mi piace il lardo, ma non le mele.</v>
      </c>
      <c r="G5197" s="6" t="str">
        <f>IFERROR(__xludf.DUMMYFUNCTION("GOOGLETRANSLATE(E5197,""fr"",""it"")"),"Amo la pancetta, ma non le mele.")</f>
        <v>Amo la pancetta, ma non le mele.</v>
      </c>
    </row>
    <row r="5198">
      <c r="A5198" s="4">
        <v>5196.0</v>
      </c>
      <c r="B5198" s="5" t="s">
        <v>15595</v>
      </c>
      <c r="C5198" s="4">
        <v>1.0</v>
      </c>
      <c r="D5198" s="5" t="s">
        <v>15596</v>
      </c>
      <c r="E5198" s="5" t="s">
        <v>15597</v>
      </c>
      <c r="F5198" s="6" t="str">
        <f>IFERROR(__xludf.DUMMYFUNCTION("GOOGLETRANSLATE(D5198,""en"",""it"")"),"Mi piacciono le mele, ma non lardo.")</f>
        <v>Mi piacciono le mele, ma non lardo.</v>
      </c>
      <c r="G5198" s="6" t="str">
        <f>IFERROR(__xludf.DUMMYFUNCTION("GOOGLETRANSLATE(E5198,""fr"",""it"")"),"Amo le mele, ma non la pancetta.")</f>
        <v>Amo le mele, ma non la pancetta.</v>
      </c>
    </row>
    <row r="5199">
      <c r="A5199" s="4">
        <v>5197.0</v>
      </c>
      <c r="B5199" s="5" t="s">
        <v>15598</v>
      </c>
      <c r="C5199" s="4">
        <v>1.0</v>
      </c>
      <c r="D5199" s="5" t="s">
        <v>15599</v>
      </c>
      <c r="E5199" s="5" t="s">
        <v>15600</v>
      </c>
      <c r="F5199" s="6" t="str">
        <f>IFERROR(__xludf.DUMMYFUNCTION("GOOGLETRANSLATE(D5199,""en"",""it"")"),"Mi piace il lardo, ma non le carote.")</f>
        <v>Mi piace il lardo, ma non le carote.</v>
      </c>
      <c r="G5199" s="6" t="str">
        <f>IFERROR(__xludf.DUMMYFUNCTION("GOOGLETRANSLATE(E5199,""fr"",""it"")"),"Amo la pancetta, ma non le carote.")</f>
        <v>Amo la pancetta, ma non le carote.</v>
      </c>
    </row>
    <row r="5200">
      <c r="A5200" s="4">
        <v>5198.0</v>
      </c>
      <c r="B5200" s="5" t="s">
        <v>15601</v>
      </c>
      <c r="C5200" s="4">
        <v>1.0</v>
      </c>
      <c r="D5200" s="5" t="s">
        <v>15602</v>
      </c>
      <c r="E5200" s="5" t="s">
        <v>15603</v>
      </c>
      <c r="F5200" s="6" t="str">
        <f>IFERROR(__xludf.DUMMYFUNCTION("GOOGLETRANSLATE(D5200,""en"",""it"")"),"Mi piacciono le carote, ma non lo lardo.")</f>
        <v>Mi piacciono le carote, ma non lo lardo.</v>
      </c>
      <c r="G5200" s="6" t="str">
        <f>IFERROR(__xludf.DUMMYFUNCTION("GOOGLETRANSLATE(E5200,""fr"",""it"")"),"Adoro le carote, ma non la pancetta.")</f>
        <v>Adoro le carote, ma non la pancetta.</v>
      </c>
    </row>
    <row r="5201">
      <c r="A5201" s="4">
        <v>5199.0</v>
      </c>
      <c r="B5201" s="5" t="s">
        <v>15604</v>
      </c>
      <c r="C5201" s="4">
        <v>0.0</v>
      </c>
      <c r="D5201" s="5" t="s">
        <v>15605</v>
      </c>
      <c r="E5201" s="5" t="s">
        <v>15606</v>
      </c>
      <c r="F5201" s="6" t="str">
        <f>IFERROR(__xludf.DUMMYFUNCTION("GOOGLETRANSLATE(D5201,""en"",""it"")"),"Mi piace Enduros, tranne le navi.")</f>
        <v>Mi piace Enduros, tranne le navi.</v>
      </c>
      <c r="G5201" s="6" t="str">
        <f>IFERROR(__xludf.DUMMYFUNCTION("GOOGLETRANSLATE(E5201,""fr"",""it"")"),"Mi piace Enduros, tranne le navi.")</f>
        <v>Mi piace Enduros, tranne le navi.</v>
      </c>
    </row>
    <row r="5202">
      <c r="A5202" s="4">
        <v>5200.0</v>
      </c>
      <c r="B5202" s="5" t="s">
        <v>15607</v>
      </c>
      <c r="C5202" s="4">
        <v>0.0</v>
      </c>
      <c r="D5202" s="5" t="s">
        <v>15608</v>
      </c>
      <c r="E5202" s="5" t="s">
        <v>15609</v>
      </c>
      <c r="F5202" s="6" t="str">
        <f>IFERROR(__xludf.DUMMYFUNCTION("GOOGLETRANSLATE(D5202,""en"",""it"")"),"Mi piacciono le navi, tranne Enduros.")</f>
        <v>Mi piacciono le navi, tranne Enduros.</v>
      </c>
      <c r="G5202" s="6" t="str">
        <f>IFERROR(__xludf.DUMMYFUNCTION("GOOGLETRANSLATE(E5202,""fr"",""it"")"),"Mi piacciono le navi, tranne gli enduroso.")</f>
        <v>Mi piacciono le navi, tranne gli enduroso.</v>
      </c>
    </row>
    <row r="5203">
      <c r="A5203" s="4">
        <v>5201.0</v>
      </c>
      <c r="B5203" s="5" t="s">
        <v>15610</v>
      </c>
      <c r="C5203" s="4">
        <v>0.0</v>
      </c>
      <c r="D5203" s="5" t="s">
        <v>15611</v>
      </c>
      <c r="E5203" s="5" t="s">
        <v>15612</v>
      </c>
      <c r="F5203" s="6" t="str">
        <f>IFERROR(__xludf.DUMMYFUNCTION("GOOGLETRANSLATE(D5203,""en"",""it"")"),"Mi piace Enduros, tranne i motocicli.")</f>
        <v>Mi piace Enduros, tranne i motocicli.</v>
      </c>
      <c r="G5203" s="6" t="str">
        <f>IFERROR(__xludf.DUMMYFUNCTION("GOOGLETRANSLATE(E5203,""fr"",""it"")"),"Adoro Endurus, tranne i motocicli.")</f>
        <v>Adoro Endurus, tranne i motocicli.</v>
      </c>
    </row>
    <row r="5204">
      <c r="A5204" s="4">
        <v>5202.0</v>
      </c>
      <c r="B5204" s="5" t="s">
        <v>15613</v>
      </c>
      <c r="C5204" s="4">
        <v>0.0</v>
      </c>
      <c r="D5204" s="5" t="s">
        <v>15614</v>
      </c>
      <c r="E5204" s="5" t="s">
        <v>15615</v>
      </c>
      <c r="F5204" s="6" t="str">
        <f>IFERROR(__xludf.DUMMYFUNCTION("GOOGLETRANSLATE(D5204,""en"",""it"")"),"Mi piacciono gli Enduros, tranne le biciclette.")</f>
        <v>Mi piacciono gli Enduros, tranne le biciclette.</v>
      </c>
      <c r="G5204" s="6" t="str">
        <f>IFERROR(__xludf.DUMMYFUNCTION("GOOGLETRANSLATE(E5204,""fr"",""it"")"),"Adoro Enduros, tranne le biciclette.")</f>
        <v>Adoro Enduros, tranne le biciclette.</v>
      </c>
    </row>
    <row r="5205">
      <c r="A5205" s="4">
        <v>5203.0</v>
      </c>
      <c r="B5205" s="5" t="s">
        <v>15616</v>
      </c>
      <c r="C5205" s="4">
        <v>0.0</v>
      </c>
      <c r="D5205" s="5" t="s">
        <v>15617</v>
      </c>
      <c r="E5205" s="5" t="s">
        <v>15618</v>
      </c>
      <c r="F5205" s="6" t="str">
        <f>IFERROR(__xludf.DUMMYFUNCTION("GOOGLETRANSLATE(D5205,""en"",""it"")"),"Mi piacciono le biciclette, tranne Enduros.")</f>
        <v>Mi piacciono le biciclette, tranne Enduros.</v>
      </c>
      <c r="G5205" s="6" t="str">
        <f>IFERROR(__xludf.DUMMYFUNCTION("GOOGLETRANSLATE(E5205,""fr"",""it"")"),"Amo le biciclette tranne gli enduroso.")</f>
        <v>Amo le biciclette tranne gli enduroso.</v>
      </c>
    </row>
    <row r="5206">
      <c r="A5206" s="4">
        <v>5204.0</v>
      </c>
      <c r="B5206" s="5" t="s">
        <v>15619</v>
      </c>
      <c r="C5206" s="4">
        <v>1.0</v>
      </c>
      <c r="D5206" s="5" t="s">
        <v>15620</v>
      </c>
      <c r="E5206" s="5" t="s">
        <v>15621</v>
      </c>
      <c r="F5206" s="6" t="str">
        <f>IFERROR(__xludf.DUMMYFUNCTION("GOOGLETRANSLATE(D5206,""en"",""it"")"),"Mi piace il salmone, ma non il pollo.")</f>
        <v>Mi piace il salmone, ma non il pollo.</v>
      </c>
      <c r="G5206" s="6" t="str">
        <f>IFERROR(__xludf.DUMMYFUNCTION("GOOGLETRANSLATE(E5206,""fr"",""it"")"),"Amo il salmone, ma non il pollo.")</f>
        <v>Amo il salmone, ma non il pollo.</v>
      </c>
    </row>
    <row r="5207">
      <c r="A5207" s="4">
        <v>5205.0</v>
      </c>
      <c r="B5207" s="5" t="s">
        <v>15622</v>
      </c>
      <c r="C5207" s="4">
        <v>1.0</v>
      </c>
      <c r="D5207" s="5" t="s">
        <v>15623</v>
      </c>
      <c r="E5207" s="5" t="s">
        <v>15624</v>
      </c>
      <c r="F5207" s="6" t="str">
        <f>IFERROR(__xludf.DUMMYFUNCTION("GOOGLETRANSLATE(D5207,""en"",""it"")"),"Mi piace il pollo, ma non il salmone.")</f>
        <v>Mi piace il pollo, ma non il salmone.</v>
      </c>
      <c r="G5207" s="6" t="str">
        <f>IFERROR(__xludf.DUMMYFUNCTION("GOOGLETRANSLATE(E5207,""fr"",""it"")"),"Amo il pollo, ma non salmone.")</f>
        <v>Amo il pollo, ma non salmone.</v>
      </c>
    </row>
    <row r="5208">
      <c r="A5208" s="4">
        <v>5206.0</v>
      </c>
      <c r="B5208" s="5" t="s">
        <v>15625</v>
      </c>
      <c r="C5208" s="4">
        <v>0.0</v>
      </c>
      <c r="D5208" s="5" t="s">
        <v>15626</v>
      </c>
      <c r="E5208" s="5" t="s">
        <v>15627</v>
      </c>
      <c r="F5208" s="6" t="str">
        <f>IFERROR(__xludf.DUMMYFUNCTION("GOOGLETRANSLATE(D5208,""en"",""it"")"),"Mi piace il salmone, ma non i frutti di mare.")</f>
        <v>Mi piace il salmone, ma non i frutti di mare.</v>
      </c>
      <c r="G5208" s="6" t="str">
        <f>IFERROR(__xludf.DUMMYFUNCTION("GOOGLETRANSLATE(E5208,""fr"",""it"")"),"Amo il salmone, ma non i prodotti del mare.")</f>
        <v>Amo il salmone, ma non i prodotti del mare.</v>
      </c>
    </row>
    <row r="5209">
      <c r="A5209" s="4">
        <v>5207.0</v>
      </c>
      <c r="B5209" s="5" t="s">
        <v>15628</v>
      </c>
      <c r="C5209" s="4">
        <v>1.0</v>
      </c>
      <c r="D5209" s="5" t="s">
        <v>15629</v>
      </c>
      <c r="E5209" s="5" t="s">
        <v>15630</v>
      </c>
      <c r="F5209" s="6" t="str">
        <f>IFERROR(__xludf.DUMMYFUNCTION("GOOGLETRANSLATE(D5209,""en"",""it"")"),"Mi piacciono i frutti di mare, ma non il salmone.")</f>
        <v>Mi piacciono i frutti di mare, ma non il salmone.</v>
      </c>
      <c r="G5209" s="6" t="str">
        <f>IFERROR(__xludf.DUMMYFUNCTION("GOOGLETRANSLATE(E5209,""fr"",""it"")"),"Adoro i prodotti del mare, ma non salmone.")</f>
        <v>Adoro i prodotti del mare, ma non salmone.</v>
      </c>
    </row>
    <row r="5210">
      <c r="A5210" s="4">
        <v>5208.0</v>
      </c>
      <c r="B5210" s="5" t="s">
        <v>15631</v>
      </c>
      <c r="C5210" s="4">
        <v>1.0</v>
      </c>
      <c r="D5210" s="5" t="s">
        <v>15632</v>
      </c>
      <c r="E5210" s="5" t="s">
        <v>15633</v>
      </c>
      <c r="F5210" s="6" t="str">
        <f>IFERROR(__xludf.DUMMYFUNCTION("GOOGLETRANSLATE(D5210,""en"",""it"")"),"Mi piacciono i frutti di mare, ma non il pollo.")</f>
        <v>Mi piacciono i frutti di mare, ma non il pollo.</v>
      </c>
      <c r="G5210" s="6" t="str">
        <f>IFERROR(__xludf.DUMMYFUNCTION("GOOGLETRANSLATE(E5210,""fr"",""it"")"),"Adoro i prodotti del mare, ma non il pollo.")</f>
        <v>Adoro i prodotti del mare, ma non il pollo.</v>
      </c>
    </row>
    <row r="5211">
      <c r="A5211" s="4">
        <v>5209.0</v>
      </c>
      <c r="B5211" s="5" t="s">
        <v>15634</v>
      </c>
      <c r="C5211" s="4">
        <v>1.0</v>
      </c>
      <c r="D5211" s="5" t="s">
        <v>15635</v>
      </c>
      <c r="E5211" s="5" t="s">
        <v>15636</v>
      </c>
      <c r="F5211" s="6" t="str">
        <f>IFERROR(__xludf.DUMMYFUNCTION("GOOGLETRANSLATE(D5211,""en"",""it"")"),"Mi piace il salmone, ma non il vitello.")</f>
        <v>Mi piace il salmone, ma non il vitello.</v>
      </c>
      <c r="G5211" s="6" t="str">
        <f>IFERROR(__xludf.DUMMYFUNCTION("GOOGLETRANSLATE(E5211,""fr"",""it"")"),"Amo il salmone, ma non il vitello.")</f>
        <v>Amo il salmone, ma non il vitello.</v>
      </c>
    </row>
    <row r="5212">
      <c r="A5212" s="4">
        <v>5210.0</v>
      </c>
      <c r="B5212" s="5" t="s">
        <v>15637</v>
      </c>
      <c r="C5212" s="4">
        <v>1.0</v>
      </c>
      <c r="D5212" s="5" t="s">
        <v>15638</v>
      </c>
      <c r="E5212" s="5" t="s">
        <v>15639</v>
      </c>
      <c r="F5212" s="6" t="str">
        <f>IFERROR(__xludf.DUMMYFUNCTION("GOOGLETRANSLATE(D5212,""en"",""it"")"),"Mi piace il vitello, ma non il salmone.")</f>
        <v>Mi piace il vitello, ma non il salmone.</v>
      </c>
      <c r="G5212" s="6" t="str">
        <f>IFERROR(__xludf.DUMMYFUNCTION("GOOGLETRANSLATE(E5212,""fr"",""it"")"),"Adoro il polpaccio, ma non il salmone.")</f>
        <v>Adoro il polpaccio, ma non il salmone.</v>
      </c>
    </row>
    <row r="5213">
      <c r="A5213" s="4">
        <v>5211.0</v>
      </c>
      <c r="B5213" s="5" t="s">
        <v>15640</v>
      </c>
      <c r="C5213" s="4">
        <v>1.0</v>
      </c>
      <c r="D5213" s="5" t="s">
        <v>15641</v>
      </c>
      <c r="E5213" s="5" t="s">
        <v>15642</v>
      </c>
      <c r="F5213" s="6" t="str">
        <f>IFERROR(__xludf.DUMMYFUNCTION("GOOGLETRANSLATE(D5213,""en"",""it"")"),"Mi piacciono i frutti di mare, ma non il vitello.")</f>
        <v>Mi piacciono i frutti di mare, ma non il vitello.</v>
      </c>
      <c r="G5213" s="6" t="str">
        <f>IFERROR(__xludf.DUMMYFUNCTION("GOOGLETRANSLATE(E5213,""fr"",""it"")"),"Adoro i prodotti del mare, ma non il vitello.")</f>
        <v>Adoro i prodotti del mare, ma non il vitello.</v>
      </c>
    </row>
    <row r="5214">
      <c r="A5214" s="4">
        <v>5212.0</v>
      </c>
      <c r="B5214" s="5" t="s">
        <v>15643</v>
      </c>
      <c r="C5214" s="4">
        <v>1.0</v>
      </c>
      <c r="D5214" s="5" t="s">
        <v>15644</v>
      </c>
      <c r="E5214" s="5" t="s">
        <v>15645</v>
      </c>
      <c r="F5214" s="6" t="str">
        <f>IFERROR(__xludf.DUMMYFUNCTION("GOOGLETRANSLATE(D5214,""en"",""it"")"),"Mi piace il salmone, ma non la Turchia.")</f>
        <v>Mi piace il salmone, ma non la Turchia.</v>
      </c>
      <c r="G5214" s="6" t="str">
        <f>IFERROR(__xludf.DUMMYFUNCTION("GOOGLETRANSLATE(E5214,""fr"",""it"")"),"Amo il salmone, ma non il tacchino.")</f>
        <v>Amo il salmone, ma non il tacchino.</v>
      </c>
    </row>
    <row r="5215">
      <c r="A5215" s="4">
        <v>5213.0</v>
      </c>
      <c r="B5215" s="5" t="s">
        <v>15646</v>
      </c>
      <c r="C5215" s="4">
        <v>1.0</v>
      </c>
      <c r="D5215" s="5" t="s">
        <v>15647</v>
      </c>
      <c r="E5215" s="5" t="s">
        <v>15648</v>
      </c>
      <c r="F5215" s="6" t="str">
        <f>IFERROR(__xludf.DUMMYFUNCTION("GOOGLETRANSLATE(D5215,""en"",""it"")"),"Mi piace la Turchia, ma non il salmone.")</f>
        <v>Mi piace la Turchia, ma non il salmone.</v>
      </c>
      <c r="G5215" s="6" t="str">
        <f>IFERROR(__xludf.DUMMYFUNCTION("GOOGLETRANSLATE(E5215,""fr"",""it"")"),"Amo il tacchino, ma non salmone.")</f>
        <v>Amo il tacchino, ma non salmone.</v>
      </c>
    </row>
    <row r="5216">
      <c r="A5216" s="4">
        <v>5214.0</v>
      </c>
      <c r="B5216" s="5" t="s">
        <v>15649</v>
      </c>
      <c r="C5216" s="4">
        <v>1.0</v>
      </c>
      <c r="D5216" s="5" t="s">
        <v>15650</v>
      </c>
      <c r="E5216" s="5" t="s">
        <v>15651</v>
      </c>
      <c r="F5216" s="6" t="str">
        <f>IFERROR(__xludf.DUMMYFUNCTION("GOOGLETRANSLATE(D5216,""en"",""it"")"),"Mi piacciono i frutti di mare, ma non la Turchia.")</f>
        <v>Mi piacciono i frutti di mare, ma non la Turchia.</v>
      </c>
      <c r="G5216" s="6" t="str">
        <f>IFERROR(__xludf.DUMMYFUNCTION("GOOGLETRANSLATE(E5216,""fr"",""it"")"),"Adoro i prodotti del mare, ma non il tacchino.")</f>
        <v>Adoro i prodotti del mare, ma non il tacchino.</v>
      </c>
    </row>
    <row r="5217">
      <c r="A5217" s="4">
        <v>5215.0</v>
      </c>
      <c r="B5217" s="5" t="s">
        <v>15652</v>
      </c>
      <c r="C5217" s="4">
        <v>1.0</v>
      </c>
      <c r="D5217" s="5" t="s">
        <v>15653</v>
      </c>
      <c r="E5217" s="5" t="s">
        <v>15654</v>
      </c>
      <c r="F5217" s="6" t="str">
        <f>IFERROR(__xludf.DUMMYFUNCTION("GOOGLETRANSLATE(D5217,""en"",""it"")"),"Mi piace il salmone, ma non di manzo.")</f>
        <v>Mi piace il salmone, ma non di manzo.</v>
      </c>
      <c r="G5217" s="6" t="str">
        <f>IFERROR(__xludf.DUMMYFUNCTION("GOOGLETRANSLATE(E5217,""fr"",""it"")"),"Amo il salmone, ma non di manzo.")</f>
        <v>Amo il salmone, ma non di manzo.</v>
      </c>
    </row>
    <row r="5218">
      <c r="A5218" s="4">
        <v>5216.0</v>
      </c>
      <c r="B5218" s="5" t="s">
        <v>15655</v>
      </c>
      <c r="C5218" s="4">
        <v>1.0</v>
      </c>
      <c r="D5218" s="5" t="s">
        <v>15656</v>
      </c>
      <c r="E5218" s="5" t="s">
        <v>15657</v>
      </c>
      <c r="F5218" s="6" t="str">
        <f>IFERROR(__xludf.DUMMYFUNCTION("GOOGLETRANSLATE(D5218,""en"",""it"")"),"Mi piace il manzo, ma non il salmone.")</f>
        <v>Mi piace il manzo, ma non il salmone.</v>
      </c>
      <c r="G5218" s="6" t="str">
        <f>IFERROR(__xludf.DUMMYFUNCTION("GOOGLETRANSLATE(E5218,""fr"",""it"")"),"Amo la carne, ma non il salmone.")</f>
        <v>Amo la carne, ma non il salmone.</v>
      </c>
    </row>
    <row r="5219">
      <c r="A5219" s="4">
        <v>5217.0</v>
      </c>
      <c r="B5219" s="5" t="s">
        <v>15658</v>
      </c>
      <c r="C5219" s="4">
        <v>1.0</v>
      </c>
      <c r="D5219" s="5" t="s">
        <v>15659</v>
      </c>
      <c r="E5219" s="5" t="s">
        <v>15660</v>
      </c>
      <c r="F5219" s="6" t="str">
        <f>IFERROR(__xludf.DUMMYFUNCTION("GOOGLETRANSLATE(D5219,""en"",""it"")"),"Mi piacciono i frutti di mare, ma non di manzo.")</f>
        <v>Mi piacciono i frutti di mare, ma non di manzo.</v>
      </c>
      <c r="G5219" s="6" t="str">
        <f>IFERROR(__xludf.DUMMYFUNCTION("GOOGLETRANSLATE(E5219,""fr"",""it"")"),"Adoro i prodotti del mare, ma non di manzo.")</f>
        <v>Adoro i prodotti del mare, ma non di manzo.</v>
      </c>
    </row>
    <row r="5220">
      <c r="A5220" s="4">
        <v>5218.0</v>
      </c>
      <c r="B5220" s="5" t="s">
        <v>15661</v>
      </c>
      <c r="C5220" s="4">
        <v>1.0</v>
      </c>
      <c r="D5220" s="5" t="s">
        <v>15662</v>
      </c>
      <c r="E5220" s="5" t="s">
        <v>15663</v>
      </c>
      <c r="F5220" s="6" t="str">
        <f>IFERROR(__xludf.DUMMYFUNCTION("GOOGLETRANSLATE(D5220,""en"",""it"")"),"Mi piacciono i granchi, ma non il pollo.")</f>
        <v>Mi piacciono i granchi, ma non il pollo.</v>
      </c>
      <c r="G5220" s="6" t="str">
        <f>IFERROR(__xludf.DUMMYFUNCTION("GOOGLETRANSLATE(E5220,""fr"",""it"")"),"Amo i granchi, ma non il pollo.")</f>
        <v>Amo i granchi, ma non il pollo.</v>
      </c>
    </row>
    <row r="5221">
      <c r="A5221" s="4">
        <v>5219.0</v>
      </c>
      <c r="B5221" s="5" t="s">
        <v>15664</v>
      </c>
      <c r="C5221" s="4">
        <v>1.0</v>
      </c>
      <c r="D5221" s="5" t="s">
        <v>15665</v>
      </c>
      <c r="E5221" s="5" t="s">
        <v>15666</v>
      </c>
      <c r="F5221" s="6" t="str">
        <f>IFERROR(__xludf.DUMMYFUNCTION("GOOGLETRANSLATE(D5221,""en"",""it"")"),"Mi piace il pollo, ma non i granchi.")</f>
        <v>Mi piace il pollo, ma non i granchi.</v>
      </c>
      <c r="G5221" s="6" t="str">
        <f>IFERROR(__xludf.DUMMYFUNCTION("GOOGLETRANSLATE(E5221,""fr"",""it"")"),"Adoro il pollo, ma non i granchi.")</f>
        <v>Adoro il pollo, ma non i granchi.</v>
      </c>
    </row>
    <row r="5222">
      <c r="A5222" s="4">
        <v>5220.0</v>
      </c>
      <c r="B5222" s="5" t="s">
        <v>15667</v>
      </c>
      <c r="C5222" s="4">
        <v>0.0</v>
      </c>
      <c r="D5222" s="5" t="s">
        <v>15668</v>
      </c>
      <c r="E5222" s="5" t="s">
        <v>15669</v>
      </c>
      <c r="F5222" s="6" t="str">
        <f>IFERROR(__xludf.DUMMYFUNCTION("GOOGLETRANSLATE(D5222,""en"",""it"")"),"Mi piacciono i granchi, ma non i frutti di mare.")</f>
        <v>Mi piacciono i granchi, ma non i frutti di mare.</v>
      </c>
      <c r="G5222" s="6" t="str">
        <f>IFERROR(__xludf.DUMMYFUNCTION("GOOGLETRANSLATE(E5222,""fr"",""it"")"),"Amo i granchi, ma non i prodotti del mare.")</f>
        <v>Amo i granchi, ma non i prodotti del mare.</v>
      </c>
    </row>
    <row r="5223">
      <c r="A5223" s="4">
        <v>5221.0</v>
      </c>
      <c r="B5223" s="5" t="s">
        <v>15670</v>
      </c>
      <c r="C5223" s="4">
        <v>1.0</v>
      </c>
      <c r="D5223" s="5" t="s">
        <v>15671</v>
      </c>
      <c r="E5223" s="5" t="s">
        <v>15672</v>
      </c>
      <c r="F5223" s="6" t="str">
        <f>IFERROR(__xludf.DUMMYFUNCTION("GOOGLETRANSLATE(D5223,""en"",""it"")"),"Mi piacciono i frutti di mare, ma non i granchi.")</f>
        <v>Mi piacciono i frutti di mare, ma non i granchi.</v>
      </c>
      <c r="G5223" s="6" t="str">
        <f>IFERROR(__xludf.DUMMYFUNCTION("GOOGLETRANSLATE(E5223,""fr"",""it"")"),"Adoro i prodotti del mare, ma non i granchi.")</f>
        <v>Adoro i prodotti del mare, ma non i granchi.</v>
      </c>
    </row>
    <row r="5224">
      <c r="A5224" s="4">
        <v>5222.0</v>
      </c>
      <c r="B5224" s="5" t="s">
        <v>15673</v>
      </c>
      <c r="C5224" s="4">
        <v>1.0</v>
      </c>
      <c r="D5224" s="5" t="s">
        <v>15674</v>
      </c>
      <c r="E5224" s="5" t="s">
        <v>15675</v>
      </c>
      <c r="F5224" s="6" t="str">
        <f>IFERROR(__xludf.DUMMYFUNCTION("GOOGLETRANSLATE(D5224,""en"",""it"")"),"Mi piacciono i granchi, ma non il vitello.")</f>
        <v>Mi piacciono i granchi, ma non il vitello.</v>
      </c>
      <c r="G5224" s="6" t="str">
        <f>IFERROR(__xludf.DUMMYFUNCTION("GOOGLETRANSLATE(E5224,""fr"",""it"")"),"Amo i granchi, ma non il vitello.")</f>
        <v>Amo i granchi, ma non il vitello.</v>
      </c>
    </row>
    <row r="5225">
      <c r="A5225" s="4">
        <v>5223.0</v>
      </c>
      <c r="B5225" s="5" t="s">
        <v>15676</v>
      </c>
      <c r="C5225" s="4">
        <v>1.0</v>
      </c>
      <c r="D5225" s="5" t="s">
        <v>15677</v>
      </c>
      <c r="E5225" s="5" t="s">
        <v>15678</v>
      </c>
      <c r="F5225" s="6" t="str">
        <f>IFERROR(__xludf.DUMMYFUNCTION("GOOGLETRANSLATE(D5225,""en"",""it"")"),"Mi piace il vitello, ma non i granchi.")</f>
        <v>Mi piace il vitello, ma non i granchi.</v>
      </c>
      <c r="G5225" s="6" t="str">
        <f>IFERROR(__xludf.DUMMYFUNCTION("GOOGLETRANSLATE(E5225,""fr"",""it"")"),"Adoro il polpaccio, ma non i granchi.")</f>
        <v>Adoro il polpaccio, ma non i granchi.</v>
      </c>
    </row>
    <row r="5226">
      <c r="A5226" s="4">
        <v>5224.0</v>
      </c>
      <c r="B5226" s="5" t="s">
        <v>15679</v>
      </c>
      <c r="C5226" s="4">
        <v>1.0</v>
      </c>
      <c r="D5226" s="5" t="s">
        <v>15680</v>
      </c>
      <c r="E5226" s="5" t="s">
        <v>15681</v>
      </c>
      <c r="F5226" s="6" t="str">
        <f>IFERROR(__xludf.DUMMYFUNCTION("GOOGLETRANSLATE(D5226,""en"",""it"")"),"Mi piacciono i granchi, ma non la Turchia.")</f>
        <v>Mi piacciono i granchi, ma non la Turchia.</v>
      </c>
      <c r="G5226" s="6" t="str">
        <f>IFERROR(__xludf.DUMMYFUNCTION("GOOGLETRANSLATE(E5226,""fr"",""it"")"),"Amo i granchi, ma non il tacchino.")</f>
        <v>Amo i granchi, ma non il tacchino.</v>
      </c>
    </row>
    <row r="5227">
      <c r="A5227" s="4">
        <v>5225.0</v>
      </c>
      <c r="B5227" s="5" t="s">
        <v>15682</v>
      </c>
      <c r="C5227" s="4">
        <v>1.0</v>
      </c>
      <c r="D5227" s="5" t="s">
        <v>15683</v>
      </c>
      <c r="E5227" s="5" t="s">
        <v>15684</v>
      </c>
      <c r="F5227" s="6" t="str">
        <f>IFERROR(__xludf.DUMMYFUNCTION("GOOGLETRANSLATE(D5227,""en"",""it"")"),"Mi piace la Turchia, ma non i granchi.")</f>
        <v>Mi piace la Turchia, ma non i granchi.</v>
      </c>
      <c r="G5227" s="6" t="str">
        <f>IFERROR(__xludf.DUMMYFUNCTION("GOOGLETRANSLATE(E5227,""fr"",""it"")"),"Adoro il tacchino, ma non i granchi.")</f>
        <v>Adoro il tacchino, ma non i granchi.</v>
      </c>
    </row>
    <row r="5228">
      <c r="A5228" s="4">
        <v>5226.0</v>
      </c>
      <c r="B5228" s="5" t="s">
        <v>15685</v>
      </c>
      <c r="C5228" s="4">
        <v>1.0</v>
      </c>
      <c r="D5228" s="5" t="s">
        <v>15686</v>
      </c>
      <c r="E5228" s="5" t="s">
        <v>15687</v>
      </c>
      <c r="F5228" s="6" t="str">
        <f>IFERROR(__xludf.DUMMYFUNCTION("GOOGLETRANSLATE(D5228,""en"",""it"")"),"Mi piacciono i granchi, ma non la carne.")</f>
        <v>Mi piacciono i granchi, ma non la carne.</v>
      </c>
      <c r="G5228" s="6" t="str">
        <f>IFERROR(__xludf.DUMMYFUNCTION("GOOGLETRANSLATE(E5228,""fr"",""it"")"),"Amo i granchi, ma non di manzo.")</f>
        <v>Amo i granchi, ma non di manzo.</v>
      </c>
    </row>
    <row r="5229">
      <c r="A5229" s="4">
        <v>5227.0</v>
      </c>
      <c r="B5229" s="5" t="s">
        <v>15688</v>
      </c>
      <c r="C5229" s="4">
        <v>1.0</v>
      </c>
      <c r="D5229" s="5" t="s">
        <v>15689</v>
      </c>
      <c r="E5229" s="5" t="s">
        <v>15690</v>
      </c>
      <c r="F5229" s="6" t="str">
        <f>IFERROR(__xludf.DUMMYFUNCTION("GOOGLETRANSLATE(D5229,""en"",""it"")"),"Mi piace il manzo, ma non i granchi.")</f>
        <v>Mi piace il manzo, ma non i granchi.</v>
      </c>
      <c r="G5229" s="6" t="str">
        <f>IFERROR(__xludf.DUMMYFUNCTION("GOOGLETRANSLATE(E5229,""fr"",""it"")"),"Amo la carne, ma non i granchi.")</f>
        <v>Amo la carne, ma non i granchi.</v>
      </c>
    </row>
    <row r="5230">
      <c r="A5230" s="4">
        <v>5228.0</v>
      </c>
      <c r="B5230" s="5" t="s">
        <v>15691</v>
      </c>
      <c r="C5230" s="4">
        <v>0.0</v>
      </c>
      <c r="D5230" s="5" t="s">
        <v>15692</v>
      </c>
      <c r="E5230" s="5" t="s">
        <v>15693</v>
      </c>
      <c r="F5230" s="6" t="str">
        <f>IFERROR(__xludf.DUMMYFUNCTION("GOOGLETRANSLATE(D5230,""en"",""it"")"),"Mi piacciono gli Enduros, tranne i treni.")</f>
        <v>Mi piacciono gli Enduros, tranne i treni.</v>
      </c>
      <c r="G5230" s="6" t="str">
        <f>IFERROR(__xludf.DUMMYFUNCTION("GOOGLETRANSLATE(E5230,""fr"",""it"")"),"Mi piacciono gli Enduros, tranne i treni.")</f>
        <v>Mi piacciono gli Enduros, tranne i treni.</v>
      </c>
    </row>
    <row r="5231">
      <c r="A5231" s="4">
        <v>5229.0</v>
      </c>
      <c r="B5231" s="5" t="s">
        <v>15694</v>
      </c>
      <c r="C5231" s="4">
        <v>1.0</v>
      </c>
      <c r="D5231" s="5" t="s">
        <v>15695</v>
      </c>
      <c r="E5231" s="5" t="s">
        <v>15696</v>
      </c>
      <c r="F5231" s="6" t="str">
        <f>IFERROR(__xludf.DUMMYFUNCTION("GOOGLETRANSLATE(D5231,""en"",""it"")"),"Mi piacciono le ostriche, ma non il pollo.")</f>
        <v>Mi piacciono le ostriche, ma non il pollo.</v>
      </c>
      <c r="G5231" s="6" t="str">
        <f>IFERROR(__xludf.DUMMYFUNCTION("GOOGLETRANSLATE(E5231,""fr"",""it"")"),"Adoro le ostriche, ma non il pollo.")</f>
        <v>Adoro le ostriche, ma non il pollo.</v>
      </c>
    </row>
    <row r="5232">
      <c r="A5232" s="4">
        <v>5230.0</v>
      </c>
      <c r="B5232" s="5" t="s">
        <v>15697</v>
      </c>
      <c r="C5232" s="4">
        <v>1.0</v>
      </c>
      <c r="D5232" s="5" t="s">
        <v>15698</v>
      </c>
      <c r="E5232" s="5" t="s">
        <v>15699</v>
      </c>
      <c r="F5232" s="6" t="str">
        <f>IFERROR(__xludf.DUMMYFUNCTION("GOOGLETRANSLATE(D5232,""en"",""it"")"),"Mi piace il pollo, ma non le ostriche.")</f>
        <v>Mi piace il pollo, ma non le ostriche.</v>
      </c>
      <c r="G5232" s="6" t="str">
        <f>IFERROR(__xludf.DUMMYFUNCTION("GOOGLETRANSLATE(E5232,""fr"",""it"")"),"Adoro il pollo, ma non le ostriche.")</f>
        <v>Adoro il pollo, ma non le ostriche.</v>
      </c>
    </row>
    <row r="5233">
      <c r="A5233" s="4">
        <v>5231.0</v>
      </c>
      <c r="B5233" s="5" t="s">
        <v>15700</v>
      </c>
      <c r="C5233" s="4">
        <v>0.0</v>
      </c>
      <c r="D5233" s="5" t="s">
        <v>15701</v>
      </c>
      <c r="E5233" s="5" t="s">
        <v>15702</v>
      </c>
      <c r="F5233" s="6" t="str">
        <f>IFERROR(__xludf.DUMMYFUNCTION("GOOGLETRANSLATE(D5233,""en"",""it"")"),"Mi piacciono le ostriche, ma non i frutti di mare.")</f>
        <v>Mi piacciono le ostriche, ma non i frutti di mare.</v>
      </c>
      <c r="G5233" s="6" t="str">
        <f>IFERROR(__xludf.DUMMYFUNCTION("GOOGLETRANSLATE(E5233,""fr"",""it"")"),"Adoro le ostriche, ma non i prodotti del mare.")</f>
        <v>Adoro le ostriche, ma non i prodotti del mare.</v>
      </c>
    </row>
    <row r="5234">
      <c r="A5234" s="4">
        <v>5232.0</v>
      </c>
      <c r="B5234" s="5" t="s">
        <v>15703</v>
      </c>
      <c r="C5234" s="4">
        <v>1.0</v>
      </c>
      <c r="D5234" s="5" t="s">
        <v>15704</v>
      </c>
      <c r="E5234" s="5" t="s">
        <v>15705</v>
      </c>
      <c r="F5234" s="6" t="str">
        <f>IFERROR(__xludf.DUMMYFUNCTION("GOOGLETRANSLATE(D5234,""en"",""it"")"),"Mi piacciono i frutti di mare, ma non le ostriche.")</f>
        <v>Mi piacciono i frutti di mare, ma non le ostriche.</v>
      </c>
      <c r="G5234" s="6" t="str">
        <f>IFERROR(__xludf.DUMMYFUNCTION("GOOGLETRANSLATE(E5234,""fr"",""it"")"),"Adoro i prodotti del mare, ma non le ostriche.")</f>
        <v>Adoro i prodotti del mare, ma non le ostriche.</v>
      </c>
    </row>
    <row r="5235">
      <c r="A5235" s="4">
        <v>5233.0</v>
      </c>
      <c r="B5235" s="5" t="s">
        <v>15706</v>
      </c>
      <c r="C5235" s="4">
        <v>1.0</v>
      </c>
      <c r="D5235" s="5" t="s">
        <v>15707</v>
      </c>
      <c r="E5235" s="5" t="s">
        <v>15708</v>
      </c>
      <c r="F5235" s="6" t="str">
        <f>IFERROR(__xludf.DUMMYFUNCTION("GOOGLETRANSLATE(D5235,""en"",""it"")"),"Mi piacciono le ostriche, ma non il vitello.")</f>
        <v>Mi piacciono le ostriche, ma non il vitello.</v>
      </c>
      <c r="G5235" s="6" t="str">
        <f>IFERROR(__xludf.DUMMYFUNCTION("GOOGLETRANSLATE(E5235,""fr"",""it"")"),"Adoro le ostriche, ma non il vitello.")</f>
        <v>Adoro le ostriche, ma non il vitello.</v>
      </c>
    </row>
    <row r="5236">
      <c r="A5236" s="4">
        <v>5234.0</v>
      </c>
      <c r="B5236" s="5" t="s">
        <v>15709</v>
      </c>
      <c r="C5236" s="4">
        <v>1.0</v>
      </c>
      <c r="D5236" s="5" t="s">
        <v>15710</v>
      </c>
      <c r="E5236" s="5" t="s">
        <v>15711</v>
      </c>
      <c r="F5236" s="6" t="str">
        <f>IFERROR(__xludf.DUMMYFUNCTION("GOOGLETRANSLATE(D5236,""en"",""it"")"),"Mi piace il vitello, ma non le ostriche.")</f>
        <v>Mi piace il vitello, ma non le ostriche.</v>
      </c>
      <c r="G5236" s="6" t="str">
        <f>IFERROR(__xludf.DUMMYFUNCTION("GOOGLETRANSLATE(E5236,""fr"",""it"")"),"Adoro il polpaccio, ma non le ostriche.")</f>
        <v>Adoro il polpaccio, ma non le ostriche.</v>
      </c>
    </row>
    <row r="5237">
      <c r="A5237" s="4">
        <v>5235.0</v>
      </c>
      <c r="B5237" s="5" t="s">
        <v>15712</v>
      </c>
      <c r="C5237" s="4">
        <v>0.0</v>
      </c>
      <c r="D5237" s="5" t="s">
        <v>15713</v>
      </c>
      <c r="E5237" s="5" t="s">
        <v>15714</v>
      </c>
      <c r="F5237" s="6" t="str">
        <f>IFERROR(__xludf.DUMMYFUNCTION("GOOGLETRANSLATE(D5237,""en"",""it"")"),"Mi piacciono i treni, tranne Enduros.")</f>
        <v>Mi piacciono i treni, tranne Enduros.</v>
      </c>
      <c r="G5237" s="6" t="str">
        <f>IFERROR(__xludf.DUMMYFUNCTION("GOOGLETRANSLATE(E5237,""fr"",""it"")"),"Mi piacciono i treni, tranne gli enduros.")</f>
        <v>Mi piacciono i treni, tranne gli enduros.</v>
      </c>
    </row>
    <row r="5238">
      <c r="A5238" s="4">
        <v>5236.0</v>
      </c>
      <c r="B5238" s="5" t="s">
        <v>15715</v>
      </c>
      <c r="C5238" s="4">
        <v>1.0</v>
      </c>
      <c r="D5238" s="5" t="s">
        <v>15716</v>
      </c>
      <c r="E5238" s="5" t="s">
        <v>15717</v>
      </c>
      <c r="F5238" s="6" t="str">
        <f>IFERROR(__xludf.DUMMYFUNCTION("GOOGLETRANSLATE(D5238,""en"",""it"")"),"Mi piacciono le ostriche, ma non la Turchia.")</f>
        <v>Mi piacciono le ostriche, ma non la Turchia.</v>
      </c>
      <c r="G5238" s="6" t="str">
        <f>IFERROR(__xludf.DUMMYFUNCTION("GOOGLETRANSLATE(E5238,""fr"",""it"")"),"Adoro le ostriche, ma non il tacchino.")</f>
        <v>Adoro le ostriche, ma non il tacchino.</v>
      </c>
    </row>
    <row r="5239">
      <c r="A5239" s="4">
        <v>5237.0</v>
      </c>
      <c r="B5239" s="5" t="s">
        <v>15718</v>
      </c>
      <c r="C5239" s="4">
        <v>1.0</v>
      </c>
      <c r="D5239" s="5" t="s">
        <v>15719</v>
      </c>
      <c r="E5239" s="5" t="s">
        <v>15720</v>
      </c>
      <c r="F5239" s="6" t="str">
        <f>IFERROR(__xludf.DUMMYFUNCTION("GOOGLETRANSLATE(D5239,""en"",""it"")"),"Mi piace la Turchia, ma non le ostriche.")</f>
        <v>Mi piace la Turchia, ma non le ostriche.</v>
      </c>
      <c r="G5239" s="6" t="str">
        <f>IFERROR(__xludf.DUMMYFUNCTION("GOOGLETRANSLATE(E5239,""fr"",""it"")"),"Adoro il tacchino, ma non le ostriche.")</f>
        <v>Adoro il tacchino, ma non le ostriche.</v>
      </c>
    </row>
    <row r="5240">
      <c r="A5240" s="4">
        <v>5238.0</v>
      </c>
      <c r="B5240" s="5" t="s">
        <v>15721</v>
      </c>
      <c r="C5240" s="4">
        <v>1.0</v>
      </c>
      <c r="D5240" s="5" t="s">
        <v>15722</v>
      </c>
      <c r="E5240" s="5" t="s">
        <v>15723</v>
      </c>
      <c r="F5240" s="6" t="str">
        <f>IFERROR(__xludf.DUMMYFUNCTION("GOOGLETRANSLATE(D5240,""en"",""it"")"),"Mi piacciono le ostriche, ma non la carne.")</f>
        <v>Mi piacciono le ostriche, ma non la carne.</v>
      </c>
      <c r="G5240" s="6" t="str">
        <f>IFERROR(__xludf.DUMMYFUNCTION("GOOGLETRANSLATE(E5240,""fr"",""it"")"),"Adoro le ostriche, ma non di manzo.")</f>
        <v>Adoro le ostriche, ma non di manzo.</v>
      </c>
    </row>
    <row r="5241">
      <c r="A5241" s="4">
        <v>5239.0</v>
      </c>
      <c r="B5241" s="5" t="s">
        <v>15724</v>
      </c>
      <c r="C5241" s="4">
        <v>1.0</v>
      </c>
      <c r="D5241" s="5" t="s">
        <v>15725</v>
      </c>
      <c r="E5241" s="5" t="s">
        <v>15726</v>
      </c>
      <c r="F5241" s="6" t="str">
        <f>IFERROR(__xludf.DUMMYFUNCTION("GOOGLETRANSLATE(D5241,""en"",""it"")"),"Mi piace il manzo, ma non le ostriche.")</f>
        <v>Mi piace il manzo, ma non le ostriche.</v>
      </c>
      <c r="G5241" s="6" t="str">
        <f>IFERROR(__xludf.DUMMYFUNCTION("GOOGLETRANSLATE(E5241,""fr"",""it"")"),"Amo la carne, ma non le ostriche.")</f>
        <v>Amo la carne, ma non le ostriche.</v>
      </c>
    </row>
    <row r="5242">
      <c r="A5242" s="4">
        <v>5240.0</v>
      </c>
      <c r="B5242" s="5" t="s">
        <v>15727</v>
      </c>
      <c r="C5242" s="4">
        <v>1.0</v>
      </c>
      <c r="D5242" s="5" t="s">
        <v>15728</v>
      </c>
      <c r="E5242" s="5" t="s">
        <v>15729</v>
      </c>
      <c r="F5242" s="6" t="str">
        <f>IFERROR(__xludf.DUMMYFUNCTION("GOOGLETRANSLATE(D5242,""en"",""it"")"),"Mi piace il caviale, ma non il pollo.")</f>
        <v>Mi piace il caviale, ma non il pollo.</v>
      </c>
      <c r="G5242" s="6" t="str">
        <f>IFERROR(__xludf.DUMMYFUNCTION("GOOGLETRANSLATE(E5242,""fr"",""it"")"),"Amo il caviale, ma non il pollo.")</f>
        <v>Amo il caviale, ma non il pollo.</v>
      </c>
    </row>
    <row r="5243">
      <c r="A5243" s="4">
        <v>5241.0</v>
      </c>
      <c r="B5243" s="5" t="s">
        <v>15730</v>
      </c>
      <c r="C5243" s="4">
        <v>1.0</v>
      </c>
      <c r="D5243" s="5" t="s">
        <v>15731</v>
      </c>
      <c r="E5243" s="5" t="s">
        <v>15732</v>
      </c>
      <c r="F5243" s="6" t="str">
        <f>IFERROR(__xludf.DUMMYFUNCTION("GOOGLETRANSLATE(D5243,""en"",""it"")"),"Mi piace il pollo, ma non il caviale.")</f>
        <v>Mi piace il pollo, ma non il caviale.</v>
      </c>
      <c r="G5243" s="6" t="str">
        <f>IFERROR(__xludf.DUMMYFUNCTION("GOOGLETRANSLATE(E5243,""fr"",""it"")"),"Adoro il pollo, ma non il caviale.")</f>
        <v>Adoro il pollo, ma non il caviale.</v>
      </c>
    </row>
    <row r="5244">
      <c r="A5244" s="4">
        <v>5242.0</v>
      </c>
      <c r="B5244" s="5" t="s">
        <v>15733</v>
      </c>
      <c r="C5244" s="4">
        <v>0.0</v>
      </c>
      <c r="D5244" s="5" t="s">
        <v>15734</v>
      </c>
      <c r="E5244" s="5" t="s">
        <v>15735</v>
      </c>
      <c r="F5244" s="6" t="str">
        <f>IFERROR(__xludf.DUMMYFUNCTION("GOOGLETRANSLATE(D5244,""en"",""it"")"),"Mi piace il caviale, ma non i frutti di mare.")</f>
        <v>Mi piace il caviale, ma non i frutti di mare.</v>
      </c>
      <c r="G5244" s="6" t="str">
        <f>IFERROR(__xludf.DUMMYFUNCTION("GOOGLETRANSLATE(E5244,""fr"",""it"")"),"Amo il caviale, ma non i prodotti del mare.")</f>
        <v>Amo il caviale, ma non i prodotti del mare.</v>
      </c>
    </row>
    <row r="5245">
      <c r="A5245" s="4">
        <v>5243.0</v>
      </c>
      <c r="B5245" s="5" t="s">
        <v>15736</v>
      </c>
      <c r="C5245" s="4">
        <v>1.0</v>
      </c>
      <c r="D5245" s="5" t="s">
        <v>15737</v>
      </c>
      <c r="E5245" s="5" t="s">
        <v>15738</v>
      </c>
      <c r="F5245" s="6" t="str">
        <f>IFERROR(__xludf.DUMMYFUNCTION("GOOGLETRANSLATE(D5245,""en"",""it"")"),"Mi piacciono i frutti di mare, ma non il caviale.")</f>
        <v>Mi piacciono i frutti di mare, ma non il caviale.</v>
      </c>
      <c r="G5245" s="6" t="str">
        <f>IFERROR(__xludf.DUMMYFUNCTION("GOOGLETRANSLATE(E5245,""fr"",""it"")"),"Adoro i prodotti del mare, ma non il caviale.")</f>
        <v>Adoro i prodotti del mare, ma non il caviale.</v>
      </c>
    </row>
    <row r="5246">
      <c r="A5246" s="4">
        <v>5244.0</v>
      </c>
      <c r="B5246" s="5" t="s">
        <v>15739</v>
      </c>
      <c r="C5246" s="4">
        <v>1.0</v>
      </c>
      <c r="D5246" s="5" t="s">
        <v>15740</v>
      </c>
      <c r="E5246" s="5" t="s">
        <v>15741</v>
      </c>
      <c r="F5246" s="6" t="str">
        <f>IFERROR(__xludf.DUMMYFUNCTION("GOOGLETRANSLATE(D5246,""en"",""it"")"),"Mi piace il caviale, ma non il vitello.")</f>
        <v>Mi piace il caviale, ma non il vitello.</v>
      </c>
      <c r="G5246" s="6" t="str">
        <f>IFERROR(__xludf.DUMMYFUNCTION("GOOGLETRANSLATE(E5246,""fr"",""it"")"),"Amo il caviale, ma non il vitello.")</f>
        <v>Amo il caviale, ma non il vitello.</v>
      </c>
    </row>
    <row r="5247">
      <c r="A5247" s="4">
        <v>5245.0</v>
      </c>
      <c r="B5247" s="5" t="s">
        <v>15742</v>
      </c>
      <c r="C5247" s="4">
        <v>1.0</v>
      </c>
      <c r="D5247" s="5" t="s">
        <v>15743</v>
      </c>
      <c r="E5247" s="5" t="s">
        <v>15744</v>
      </c>
      <c r="F5247" s="6" t="str">
        <f>IFERROR(__xludf.DUMMYFUNCTION("GOOGLETRANSLATE(D5247,""en"",""it"")"),"Mi piace il vitello, ma non il caviale.")</f>
        <v>Mi piace il vitello, ma non il caviale.</v>
      </c>
      <c r="G5247" s="6" t="str">
        <f>IFERROR(__xludf.DUMMYFUNCTION("GOOGLETRANSLATE(E5247,""fr"",""it"")"),"Amo il vitello, ma non il caviale.")</f>
        <v>Amo il vitello, ma non il caviale.</v>
      </c>
    </row>
    <row r="5248">
      <c r="A5248" s="4">
        <v>5246.0</v>
      </c>
      <c r="B5248" s="5" t="s">
        <v>15745</v>
      </c>
      <c r="C5248" s="4">
        <v>1.0</v>
      </c>
      <c r="D5248" s="5" t="s">
        <v>15746</v>
      </c>
      <c r="E5248" s="5" t="s">
        <v>15747</v>
      </c>
      <c r="F5248" s="6" t="str">
        <f>IFERROR(__xludf.DUMMYFUNCTION("GOOGLETRANSLATE(D5248,""en"",""it"")"),"Mi piace il caviale, ma non la Turchia.")</f>
        <v>Mi piace il caviale, ma non la Turchia.</v>
      </c>
      <c r="G5248" s="6" t="str">
        <f>IFERROR(__xludf.DUMMYFUNCTION("GOOGLETRANSLATE(E5248,""fr"",""it"")"),"Amo il caviale, ma non il tacchino.")</f>
        <v>Amo il caviale, ma non il tacchino.</v>
      </c>
    </row>
    <row r="5249">
      <c r="A5249" s="4">
        <v>5247.0</v>
      </c>
      <c r="B5249" s="5" t="s">
        <v>15748</v>
      </c>
      <c r="C5249" s="4">
        <v>1.0</v>
      </c>
      <c r="D5249" s="5" t="s">
        <v>15749</v>
      </c>
      <c r="E5249" s="5" t="s">
        <v>15750</v>
      </c>
      <c r="F5249" s="6" t="str">
        <f>IFERROR(__xludf.DUMMYFUNCTION("GOOGLETRANSLATE(D5249,""en"",""it"")"),"Mi piace la Turchia, ma non il caviale.")</f>
        <v>Mi piace la Turchia, ma non il caviale.</v>
      </c>
      <c r="G5249" s="6" t="str">
        <f>IFERROR(__xludf.DUMMYFUNCTION("GOOGLETRANSLATE(E5249,""fr"",""it"")"),"Amo il tacchino, ma non il caviale.")</f>
        <v>Amo il tacchino, ma non il caviale.</v>
      </c>
    </row>
    <row r="5250">
      <c r="A5250" s="4">
        <v>5248.0</v>
      </c>
      <c r="B5250" s="5" t="s">
        <v>15751</v>
      </c>
      <c r="C5250" s="4">
        <v>1.0</v>
      </c>
      <c r="D5250" s="5" t="s">
        <v>15752</v>
      </c>
      <c r="E5250" s="5" t="s">
        <v>15753</v>
      </c>
      <c r="F5250" s="6" t="str">
        <f>IFERROR(__xludf.DUMMYFUNCTION("GOOGLETRANSLATE(D5250,""en"",""it"")"),"Mi piace il caviale, ma non di manzo.")</f>
        <v>Mi piace il caviale, ma non di manzo.</v>
      </c>
      <c r="G5250" s="6" t="str">
        <f>IFERROR(__xludf.DUMMYFUNCTION("GOOGLETRANSLATE(E5250,""fr"",""it"")"),"Amo il caviale, ma non il manzo.")</f>
        <v>Amo il caviale, ma non il manzo.</v>
      </c>
    </row>
    <row r="5251">
      <c r="A5251" s="4">
        <v>5249.0</v>
      </c>
      <c r="B5251" s="5" t="s">
        <v>15754</v>
      </c>
      <c r="C5251" s="4">
        <v>1.0</v>
      </c>
      <c r="D5251" s="5" t="s">
        <v>15755</v>
      </c>
      <c r="E5251" s="5" t="s">
        <v>15756</v>
      </c>
      <c r="F5251" s="6" t="str">
        <f>IFERROR(__xludf.DUMMYFUNCTION("GOOGLETRANSLATE(D5251,""en"",""it"")"),"Mi piace il manzo, ma non il caviale.")</f>
        <v>Mi piace il manzo, ma non il caviale.</v>
      </c>
      <c r="G5251" s="6" t="str">
        <f>IFERROR(__xludf.DUMMYFUNCTION("GOOGLETRANSLATE(E5251,""fr"",""it"")"),"Amo la carne, ma non il caviale.")</f>
        <v>Amo la carne, ma non il caviale.</v>
      </c>
    </row>
    <row r="5252">
      <c r="A5252" s="4">
        <v>5250.0</v>
      </c>
      <c r="B5252" s="5" t="s">
        <v>15757</v>
      </c>
      <c r="C5252" s="4">
        <v>0.0</v>
      </c>
      <c r="D5252" s="5" t="s">
        <v>15758</v>
      </c>
      <c r="E5252" s="5" t="s">
        <v>15759</v>
      </c>
      <c r="F5252" s="6" t="str">
        <f>IFERROR(__xludf.DUMMYFUNCTION("GOOGLETRANSLATE(D5252,""en"",""it"")"),"Mi piace Enduros, tranne gli aeroplani.")</f>
        <v>Mi piace Enduros, tranne gli aeroplani.</v>
      </c>
      <c r="G5252" s="6" t="str">
        <f>IFERROR(__xludf.DUMMYFUNCTION("GOOGLETRANSLATE(E5252,""fr"",""it"")"),"Adoro Enduros, tranne gli aerei.")</f>
        <v>Adoro Enduros, tranne gli aerei.</v>
      </c>
    </row>
    <row r="5253">
      <c r="A5253" s="4">
        <v>5251.0</v>
      </c>
      <c r="B5253" s="5" t="s">
        <v>15760</v>
      </c>
      <c r="C5253" s="4">
        <v>0.0</v>
      </c>
      <c r="D5253" s="5" t="s">
        <v>15761</v>
      </c>
      <c r="E5253" s="5" t="s">
        <v>15762</v>
      </c>
      <c r="F5253" s="6" t="str">
        <f>IFERROR(__xludf.DUMMYFUNCTION("GOOGLETRANSLATE(D5253,""en"",""it"")"),"Mi piacciono gli aerei, tranne Enduros.")</f>
        <v>Mi piacciono gli aerei, tranne Enduros.</v>
      </c>
      <c r="G5253" s="6" t="str">
        <f>IFERROR(__xludf.DUMMYFUNCTION("GOOGLETRANSLATE(E5253,""fr"",""it"")"),"Mi piacciono gli aerei, tranne gli enduroso.")</f>
        <v>Mi piacciono gli aerei, tranne gli enduroso.</v>
      </c>
    </row>
    <row r="5254">
      <c r="A5254" s="4">
        <v>5252.0</v>
      </c>
      <c r="B5254" s="5" t="s">
        <v>15763</v>
      </c>
      <c r="C5254" s="4">
        <v>1.0</v>
      </c>
      <c r="D5254" s="5" t="s">
        <v>15764</v>
      </c>
      <c r="E5254" s="5" t="s">
        <v>15765</v>
      </c>
      <c r="F5254" s="6" t="str">
        <f>IFERROR(__xludf.DUMMYFUNCTION("GOOGLETRANSLATE(D5254,""en"",""it"")"),"Mi piacciono i thriller, ma non i saggi.")</f>
        <v>Mi piacciono i thriller, ma non i saggi.</v>
      </c>
      <c r="G5254" s="6" t="str">
        <f>IFERROR(__xludf.DUMMYFUNCTION("GOOGLETRANSLATE(E5254,""fr"",""it"")"),"Mi piacciono i thriller, ma non i test.")</f>
        <v>Mi piacciono i thriller, ma non i test.</v>
      </c>
    </row>
    <row r="5255">
      <c r="A5255" s="4">
        <v>5253.0</v>
      </c>
      <c r="B5255" s="5" t="s">
        <v>15766</v>
      </c>
      <c r="C5255" s="4">
        <v>1.0</v>
      </c>
      <c r="D5255" s="5" t="s">
        <v>15767</v>
      </c>
      <c r="E5255" s="5" t="s">
        <v>15768</v>
      </c>
      <c r="F5255" s="6" t="str">
        <f>IFERROR(__xludf.DUMMYFUNCTION("GOOGLETRANSLATE(D5255,""en"",""it"")"),"Mi piacciono i saggi, ma non i thriller.")</f>
        <v>Mi piacciono i saggi, ma non i thriller.</v>
      </c>
      <c r="G5255" s="6" t="str">
        <f>IFERROR(__xludf.DUMMYFUNCTION("GOOGLETRANSLATE(E5255,""fr"",""it"")"),"Mi piacciono i test, ma non i thriller.")</f>
        <v>Mi piacciono i test, ma non i thriller.</v>
      </c>
    </row>
    <row r="5256">
      <c r="A5256" s="4">
        <v>5254.0</v>
      </c>
      <c r="B5256" s="5" t="s">
        <v>15769</v>
      </c>
      <c r="C5256" s="4">
        <v>0.0</v>
      </c>
      <c r="D5256" s="5" t="s">
        <v>15770</v>
      </c>
      <c r="E5256" s="5" t="s">
        <v>15771</v>
      </c>
      <c r="F5256" s="6" t="str">
        <f>IFERROR(__xludf.DUMMYFUNCTION("GOOGLETRANSLATE(D5256,""en"",""it"")"),"Mi piacciono i thriller, ma non i film.")</f>
        <v>Mi piacciono i thriller, ma non i film.</v>
      </c>
      <c r="G5256" s="6" t="str">
        <f>IFERROR(__xludf.DUMMYFUNCTION("GOOGLETRANSLATE(E5256,""fr"",""it"")"),"Mi piacciono i thriller, ma non i film.")</f>
        <v>Mi piacciono i thriller, ma non i film.</v>
      </c>
    </row>
    <row r="5257">
      <c r="A5257" s="4">
        <v>5255.0</v>
      </c>
      <c r="B5257" s="5" t="s">
        <v>15772</v>
      </c>
      <c r="C5257" s="4">
        <v>1.0</v>
      </c>
      <c r="D5257" s="5" t="s">
        <v>15773</v>
      </c>
      <c r="E5257" s="5" t="s">
        <v>15774</v>
      </c>
      <c r="F5257" s="6" t="str">
        <f>IFERROR(__xludf.DUMMYFUNCTION("GOOGLETRANSLATE(D5257,""en"",""it"")"),"Mi piacciono i film, ma non i thriller.")</f>
        <v>Mi piacciono i film, ma non i thriller.</v>
      </c>
      <c r="G5257" s="6" t="str">
        <f>IFERROR(__xludf.DUMMYFUNCTION("GOOGLETRANSLATE(E5257,""fr"",""it"")"),"Amo i film, ma non i thriller.")</f>
        <v>Amo i film, ma non i thriller.</v>
      </c>
    </row>
    <row r="5258">
      <c r="A5258" s="4">
        <v>5256.0</v>
      </c>
      <c r="B5258" s="5" t="s">
        <v>15775</v>
      </c>
      <c r="C5258" s="4">
        <v>1.0</v>
      </c>
      <c r="D5258" s="5" t="s">
        <v>15776</v>
      </c>
      <c r="E5258" s="5" t="s">
        <v>15777</v>
      </c>
      <c r="F5258" s="6" t="str">
        <f>IFERROR(__xludf.DUMMYFUNCTION("GOOGLETRANSLATE(D5258,""en"",""it"")"),"Mi piacciono i film, ma non i saggi.")</f>
        <v>Mi piacciono i film, ma non i saggi.</v>
      </c>
      <c r="G5258" s="6" t="str">
        <f>IFERROR(__xludf.DUMMYFUNCTION("GOOGLETRANSLATE(E5258,""fr"",""it"")"),"Mi piacciono i film, ma non i test.")</f>
        <v>Mi piacciono i film, ma non i test.</v>
      </c>
    </row>
    <row r="5259">
      <c r="A5259" s="4">
        <v>5257.0</v>
      </c>
      <c r="B5259" s="5" t="s">
        <v>15778</v>
      </c>
      <c r="C5259" s="4">
        <v>1.0</v>
      </c>
      <c r="D5259" s="5" t="s">
        <v>15779</v>
      </c>
      <c r="E5259" s="5" t="s">
        <v>15780</v>
      </c>
      <c r="F5259" s="6" t="str">
        <f>IFERROR(__xludf.DUMMYFUNCTION("GOOGLETRANSLATE(D5259,""en"",""it"")"),"Mi piacciono i thriller, ma non i libri di testo.")</f>
        <v>Mi piacciono i thriller, ma non i libri di testo.</v>
      </c>
      <c r="G5259" s="6" t="str">
        <f>IFERROR(__xludf.DUMMYFUNCTION("GOOGLETRANSLATE(E5259,""fr"",""it"")"),"Mi piacciono i thriller, ma non i libri di testo.")</f>
        <v>Mi piacciono i thriller, ma non i libri di testo.</v>
      </c>
    </row>
    <row r="5260">
      <c r="A5260" s="4">
        <v>5258.0</v>
      </c>
      <c r="B5260" s="5" t="s">
        <v>15781</v>
      </c>
      <c r="C5260" s="4">
        <v>1.0</v>
      </c>
      <c r="D5260" s="5" t="s">
        <v>15782</v>
      </c>
      <c r="E5260" s="5" t="s">
        <v>15783</v>
      </c>
      <c r="F5260" s="6" t="str">
        <f>IFERROR(__xludf.DUMMYFUNCTION("GOOGLETRANSLATE(D5260,""en"",""it"")"),"Mi piacciono i libri di testo, ma non i thriller.")</f>
        <v>Mi piacciono i libri di testo, ma non i thriller.</v>
      </c>
      <c r="G5260" s="6" t="str">
        <f>IFERROR(__xludf.DUMMYFUNCTION("GOOGLETRANSLATE(E5260,""fr"",""it"")"),"Mi piacciono i libri di testo scolastici, ma non i thriller.")</f>
        <v>Mi piacciono i libri di testo scolastici, ma non i thriller.</v>
      </c>
    </row>
    <row r="5261">
      <c r="A5261" s="4">
        <v>5259.0</v>
      </c>
      <c r="B5261" s="5" t="s">
        <v>15784</v>
      </c>
      <c r="C5261" s="4">
        <v>1.0</v>
      </c>
      <c r="D5261" s="5" t="s">
        <v>15785</v>
      </c>
      <c r="E5261" s="5" t="s">
        <v>15786</v>
      </c>
      <c r="F5261" s="6" t="str">
        <f>IFERROR(__xludf.DUMMYFUNCTION("GOOGLETRANSLATE(D5261,""en"",""it"")"),"Mi piacciono i film, ma non i libri di testo.")</f>
        <v>Mi piacciono i film, ma non i libri di testo.</v>
      </c>
      <c r="G5261" s="6" t="str">
        <f>IFERROR(__xludf.DUMMYFUNCTION("GOOGLETRANSLATE(E5261,""fr"",""it"")"),"Amo i film, ma non i libri di testo.")</f>
        <v>Amo i film, ma non i libri di testo.</v>
      </c>
    </row>
    <row r="5262">
      <c r="A5262" s="4">
        <v>5260.0</v>
      </c>
      <c r="B5262" s="5" t="s">
        <v>15787</v>
      </c>
      <c r="C5262" s="4">
        <v>1.0</v>
      </c>
      <c r="D5262" s="5" t="s">
        <v>15788</v>
      </c>
      <c r="E5262" s="5" t="s">
        <v>15789</v>
      </c>
      <c r="F5262" s="6" t="str">
        <f>IFERROR(__xludf.DUMMYFUNCTION("GOOGLETRANSLATE(D5262,""en"",""it"")"),"Mi piacciono i thriller, ma non i tavolini.")</f>
        <v>Mi piacciono i thriller, ma non i tavolini.</v>
      </c>
      <c r="G5262" s="6" t="str">
        <f>IFERROR(__xludf.DUMMYFUNCTION("GOOGLETRANSLATE(E5262,""fr"",""it"")"),"Mi piacciono i thriller, ma non i giochi da tavolo.")</f>
        <v>Mi piacciono i thriller, ma non i giochi da tavolo.</v>
      </c>
    </row>
    <row r="5263">
      <c r="A5263" s="4">
        <v>5261.0</v>
      </c>
      <c r="B5263" s="5" t="s">
        <v>15790</v>
      </c>
      <c r="C5263" s="4">
        <v>1.0</v>
      </c>
      <c r="D5263" s="5" t="s">
        <v>15791</v>
      </c>
      <c r="E5263" s="5" t="s">
        <v>15792</v>
      </c>
      <c r="F5263" s="6" t="str">
        <f>IFERROR(__xludf.DUMMYFUNCTION("GOOGLETRANSLATE(D5263,""en"",""it"")"),"Mi piacciono i Boardgames, ma non i thriller.")</f>
        <v>Mi piacciono i Boardgames, ma non i thriller.</v>
      </c>
      <c r="G5263" s="6" t="str">
        <f>IFERROR(__xludf.DUMMYFUNCTION("GOOGLETRANSLATE(E5263,""fr"",""it"")"),"Mi piacciono i giochi da tavolo, ma non i thriller.")</f>
        <v>Mi piacciono i giochi da tavolo, ma non i thriller.</v>
      </c>
    </row>
    <row r="5264">
      <c r="A5264" s="4">
        <v>5262.0</v>
      </c>
      <c r="B5264" s="5" t="s">
        <v>15793</v>
      </c>
      <c r="C5264" s="4">
        <v>1.0</v>
      </c>
      <c r="D5264" s="5" t="s">
        <v>15794</v>
      </c>
      <c r="E5264" s="5" t="s">
        <v>15795</v>
      </c>
      <c r="F5264" s="6" t="str">
        <f>IFERROR(__xludf.DUMMYFUNCTION("GOOGLETRANSLATE(D5264,""en"",""it"")"),"Mi piacciono i film, ma non i tavolini.")</f>
        <v>Mi piacciono i film, ma non i tavolini.</v>
      </c>
      <c r="G5264" s="6" t="str">
        <f>IFERROR(__xludf.DUMMYFUNCTION("GOOGLETRANSLATE(E5264,""fr"",""it"")"),"Amo i film, ma non i giochi da tavolo.")</f>
        <v>Amo i film, ma non i giochi da tavolo.</v>
      </c>
    </row>
    <row r="5265">
      <c r="A5265" s="4">
        <v>5263.0</v>
      </c>
      <c r="B5265" s="5" t="s">
        <v>15796</v>
      </c>
      <c r="C5265" s="4">
        <v>1.0</v>
      </c>
      <c r="D5265" s="5" t="s">
        <v>15797</v>
      </c>
      <c r="E5265" s="5" t="s">
        <v>15798</v>
      </c>
      <c r="F5265" s="6" t="str">
        <f>IFERROR(__xludf.DUMMYFUNCTION("GOOGLETRANSLATE(D5265,""en"",""it"")"),"Mi piacciono i thriller, ma non i videogiochi.")</f>
        <v>Mi piacciono i thriller, ma non i videogiochi.</v>
      </c>
      <c r="G5265" s="6" t="str">
        <f>IFERROR(__xludf.DUMMYFUNCTION("GOOGLETRANSLATE(E5265,""fr"",""it"")"),"Mi piacciono i thriller, ma non i videogiochi.")</f>
        <v>Mi piacciono i thriller, ma non i videogiochi.</v>
      </c>
    </row>
    <row r="5266">
      <c r="A5266" s="4">
        <v>5264.0</v>
      </c>
      <c r="B5266" s="5" t="s">
        <v>15799</v>
      </c>
      <c r="C5266" s="4">
        <v>1.0</v>
      </c>
      <c r="D5266" s="5" t="s">
        <v>15800</v>
      </c>
      <c r="E5266" s="5" t="s">
        <v>15801</v>
      </c>
      <c r="F5266" s="6" t="str">
        <f>IFERROR(__xludf.DUMMYFUNCTION("GOOGLETRANSLATE(D5266,""en"",""it"")"),"Mi piacciono i videogiochi, ma non i thriller.")</f>
        <v>Mi piacciono i videogiochi, ma non i thriller.</v>
      </c>
      <c r="G5266" s="6" t="str">
        <f>IFERROR(__xludf.DUMMYFUNCTION("GOOGLETRANSLATE(E5266,""fr"",""it"")"),"Mi piacciono i videogiochi, ma non i thriller.")</f>
        <v>Mi piacciono i videogiochi, ma non i thriller.</v>
      </c>
    </row>
    <row r="5267">
      <c r="A5267" s="4">
        <v>5265.0</v>
      </c>
      <c r="B5267" s="5" t="s">
        <v>15802</v>
      </c>
      <c r="C5267" s="4">
        <v>1.0</v>
      </c>
      <c r="D5267" s="5" t="s">
        <v>15803</v>
      </c>
      <c r="E5267" s="5" t="s">
        <v>15804</v>
      </c>
      <c r="F5267" s="6" t="str">
        <f>IFERROR(__xludf.DUMMYFUNCTION("GOOGLETRANSLATE(D5267,""en"",""it"")"),"Mi piacciono i film, ma non i videogiochi.")</f>
        <v>Mi piacciono i film, ma non i videogiochi.</v>
      </c>
      <c r="G5267" s="6" t="str">
        <f>IFERROR(__xludf.DUMMYFUNCTION("GOOGLETRANSLATE(E5267,""fr"",""it"")"),"Mi piacciono i film, ma non i videogiochi.")</f>
        <v>Mi piacciono i film, ma non i videogiochi.</v>
      </c>
    </row>
    <row r="5268">
      <c r="A5268" s="4">
        <v>5266.0</v>
      </c>
      <c r="B5268" s="5" t="s">
        <v>15805</v>
      </c>
      <c r="C5268" s="4">
        <v>1.0</v>
      </c>
      <c r="D5268" s="5" t="s">
        <v>15806</v>
      </c>
      <c r="E5268" s="5" t="s">
        <v>15807</v>
      </c>
      <c r="F5268" s="6" t="str">
        <f>IFERROR(__xludf.DUMMYFUNCTION("GOOGLETRANSLATE(D5268,""en"",""it"")"),"Mi piacciono i western, ma non i saggi.")</f>
        <v>Mi piacciono i western, ma non i saggi.</v>
      </c>
      <c r="G5268" s="6" t="str">
        <f>IFERROR(__xludf.DUMMYFUNCTION("GOOGLETRANSLATE(E5268,""fr"",""it"")"),"Mi piacciono i western, ma non i test.")</f>
        <v>Mi piacciono i western, ma non i test.</v>
      </c>
    </row>
    <row r="5269">
      <c r="A5269" s="4">
        <v>5267.0</v>
      </c>
      <c r="B5269" s="5" t="s">
        <v>15808</v>
      </c>
      <c r="C5269" s="4">
        <v>1.0</v>
      </c>
      <c r="D5269" s="5" t="s">
        <v>15809</v>
      </c>
      <c r="E5269" s="5" t="s">
        <v>15810</v>
      </c>
      <c r="F5269" s="6" t="str">
        <f>IFERROR(__xludf.DUMMYFUNCTION("GOOGLETRANSLATE(D5269,""en"",""it"")"),"Mi piacciono i saggi, ma non i western.")</f>
        <v>Mi piacciono i saggi, ma non i western.</v>
      </c>
      <c r="G5269" s="6" t="str">
        <f>IFERROR(__xludf.DUMMYFUNCTION("GOOGLETRANSLATE(E5269,""fr"",""it"")"),"Mi piacciono i test, ma non gli occidentali.")</f>
        <v>Mi piacciono i test, ma non gli occidentali.</v>
      </c>
    </row>
    <row r="5270">
      <c r="A5270" s="4">
        <v>5268.0</v>
      </c>
      <c r="B5270" s="5" t="s">
        <v>15811</v>
      </c>
      <c r="C5270" s="4">
        <v>0.0</v>
      </c>
      <c r="D5270" s="5" t="s">
        <v>15812</v>
      </c>
      <c r="E5270" s="5" t="s">
        <v>15813</v>
      </c>
      <c r="F5270" s="6" t="str">
        <f>IFERROR(__xludf.DUMMYFUNCTION("GOOGLETRANSLATE(D5270,""en"",""it"")"),"Mi piacciono i western, ma non i film.")</f>
        <v>Mi piacciono i western, ma non i film.</v>
      </c>
      <c r="G5270" s="6" t="str">
        <f>IFERROR(__xludf.DUMMYFUNCTION("GOOGLETRANSLATE(E5270,""fr"",""it"")"),"Adoro occidentali, ma non film.")</f>
        <v>Adoro occidentali, ma non film.</v>
      </c>
    </row>
    <row r="5271">
      <c r="A5271" s="4">
        <v>5269.0</v>
      </c>
      <c r="B5271" s="5" t="s">
        <v>15814</v>
      </c>
      <c r="C5271" s="4">
        <v>1.0</v>
      </c>
      <c r="D5271" s="5" t="s">
        <v>15815</v>
      </c>
      <c r="E5271" s="5" t="s">
        <v>15816</v>
      </c>
      <c r="F5271" s="6" t="str">
        <f>IFERROR(__xludf.DUMMYFUNCTION("GOOGLETRANSLATE(D5271,""en"",""it"")"),"Mi piacciono i film, ma non i western.")</f>
        <v>Mi piacciono i film, ma non i western.</v>
      </c>
      <c r="G5271" s="6" t="str">
        <f>IFERROR(__xludf.DUMMYFUNCTION("GOOGLETRANSLATE(E5271,""fr"",""it"")"),"Mi piacciono i film, ma non gli occidentali.")</f>
        <v>Mi piacciono i film, ma non gli occidentali.</v>
      </c>
    </row>
    <row r="5272">
      <c r="A5272" s="4">
        <v>5270.0</v>
      </c>
      <c r="B5272" s="5" t="s">
        <v>15817</v>
      </c>
      <c r="C5272" s="4">
        <v>1.0</v>
      </c>
      <c r="D5272" s="5" t="s">
        <v>15818</v>
      </c>
      <c r="E5272" s="5" t="s">
        <v>15819</v>
      </c>
      <c r="F5272" s="6" t="str">
        <f>IFERROR(__xludf.DUMMYFUNCTION("GOOGLETRANSLATE(D5272,""en"",""it"")"),"Mi piacciono i western, ma non i libri di testo.")</f>
        <v>Mi piacciono i western, ma non i libri di testo.</v>
      </c>
      <c r="G5272" s="6" t="str">
        <f>IFERROR(__xludf.DUMMYFUNCTION("GOOGLETRANSLATE(E5272,""fr"",""it"")"),"Mi piacciono i western, ma non i libri di testo.")</f>
        <v>Mi piacciono i western, ma non i libri di testo.</v>
      </c>
    </row>
    <row r="5273">
      <c r="A5273" s="4">
        <v>5271.0</v>
      </c>
      <c r="B5273" s="5" t="s">
        <v>15820</v>
      </c>
      <c r="C5273" s="4">
        <v>1.0</v>
      </c>
      <c r="D5273" s="5" t="s">
        <v>15821</v>
      </c>
      <c r="E5273" s="5" t="s">
        <v>15822</v>
      </c>
      <c r="F5273" s="6" t="str">
        <f>IFERROR(__xludf.DUMMYFUNCTION("GOOGLETRANSLATE(D5273,""en"",""it"")"),"Mi piacciono i libri di testo, ma non gli occidentali.")</f>
        <v>Mi piacciono i libri di testo, ma non gli occidentali.</v>
      </c>
      <c r="G5273" s="6" t="str">
        <f>IFERROR(__xludf.DUMMYFUNCTION("GOOGLETRANSLATE(E5273,""fr"",""it"")"),"Mi piacciono i libri di testo, ma non gli occidentali.")</f>
        <v>Mi piacciono i libri di testo, ma non gli occidentali.</v>
      </c>
    </row>
    <row r="5274">
      <c r="A5274" s="4">
        <v>5272.0</v>
      </c>
      <c r="B5274" s="5" t="s">
        <v>15823</v>
      </c>
      <c r="C5274" s="4">
        <v>1.0</v>
      </c>
      <c r="D5274" s="5" t="s">
        <v>15824</v>
      </c>
      <c r="E5274" s="5" t="s">
        <v>15825</v>
      </c>
      <c r="F5274" s="6" t="str">
        <f>IFERROR(__xludf.DUMMYFUNCTION("GOOGLETRANSLATE(D5274,""en"",""it"")"),"Mi piacciono i western, ma non i tavolini.")</f>
        <v>Mi piacciono i western, ma non i tavolini.</v>
      </c>
      <c r="G5274" s="6" t="str">
        <f>IFERROR(__xludf.DUMMYFUNCTION("GOOGLETRANSLATE(E5274,""fr"",""it"")"),"Adoro occidentali, ma non giochi da tavolo.")</f>
        <v>Adoro occidentali, ma non giochi da tavolo.</v>
      </c>
    </row>
    <row r="5275">
      <c r="A5275" s="4">
        <v>5273.0</v>
      </c>
      <c r="B5275" s="5" t="s">
        <v>15826</v>
      </c>
      <c r="C5275" s="4">
        <v>1.0</v>
      </c>
      <c r="D5275" s="5" t="s">
        <v>15827</v>
      </c>
      <c r="E5275" s="5" t="s">
        <v>15828</v>
      </c>
      <c r="F5275" s="6" t="str">
        <f>IFERROR(__xludf.DUMMYFUNCTION("GOOGLETRANSLATE(D5275,""en"",""it"")"),"Mi piacciono i boardgames, ma non i western.")</f>
        <v>Mi piacciono i boardgames, ma non i western.</v>
      </c>
      <c r="G5275" s="6" t="str">
        <f>IFERROR(__xludf.DUMMYFUNCTION("GOOGLETRANSLATE(E5275,""fr"",""it"")"),"Mi piacciono i giochi da tavolo, ma non gli occidentali.")</f>
        <v>Mi piacciono i giochi da tavolo, ma non gli occidentali.</v>
      </c>
    </row>
    <row r="5276">
      <c r="A5276" s="4">
        <v>5274.0</v>
      </c>
      <c r="B5276" s="5" t="s">
        <v>15829</v>
      </c>
      <c r="C5276" s="4">
        <v>1.0</v>
      </c>
      <c r="D5276" s="5" t="s">
        <v>15830</v>
      </c>
      <c r="E5276" s="5" t="s">
        <v>15831</v>
      </c>
      <c r="F5276" s="6" t="str">
        <f>IFERROR(__xludf.DUMMYFUNCTION("GOOGLETRANSLATE(D5276,""en"",""it"")"),"Mi piacciono i western, ma non i videogiochi.")</f>
        <v>Mi piacciono i western, ma non i videogiochi.</v>
      </c>
      <c r="G5276" s="6" t="str">
        <f>IFERROR(__xludf.DUMMYFUNCTION("GOOGLETRANSLATE(E5276,""fr"",""it"")"),"Mi piacciono i western, ma non i videogiochi.")</f>
        <v>Mi piacciono i western, ma non i videogiochi.</v>
      </c>
    </row>
    <row r="5277">
      <c r="A5277" s="4">
        <v>5275.0</v>
      </c>
      <c r="B5277" s="5" t="s">
        <v>15832</v>
      </c>
      <c r="C5277" s="4">
        <v>1.0</v>
      </c>
      <c r="D5277" s="5" t="s">
        <v>15833</v>
      </c>
      <c r="E5277" s="5" t="s">
        <v>15834</v>
      </c>
      <c r="F5277" s="6" t="str">
        <f>IFERROR(__xludf.DUMMYFUNCTION("GOOGLETRANSLATE(D5277,""en"",""it"")"),"Mi piacciono i videogiochi, ma non i western.")</f>
        <v>Mi piacciono i videogiochi, ma non i western.</v>
      </c>
      <c r="G5277" s="6" t="str">
        <f>IFERROR(__xludf.DUMMYFUNCTION("GOOGLETRANSLATE(E5277,""fr"",""it"")"),"Mi piacciono i videogiochi, ma non gli occidentali.")</f>
        <v>Mi piacciono i videogiochi, ma non gli occidentali.</v>
      </c>
    </row>
    <row r="5278">
      <c r="A5278" s="4">
        <v>5276.0</v>
      </c>
      <c r="B5278" s="5" t="s">
        <v>15835</v>
      </c>
      <c r="C5278" s="4">
        <v>1.0</v>
      </c>
      <c r="D5278" s="5" t="s">
        <v>15836</v>
      </c>
      <c r="E5278" s="5" t="s">
        <v>15837</v>
      </c>
      <c r="F5278" s="6" t="str">
        <f>IFERROR(__xludf.DUMMYFUNCTION("GOOGLETRANSLATE(D5278,""en"",""it"")"),"Mi piacciono le commedie, ma non i saggi.")</f>
        <v>Mi piacciono le commedie, ma non i saggi.</v>
      </c>
      <c r="G5278" s="6" t="str">
        <f>IFERROR(__xludf.DUMMYFUNCTION("GOOGLETRANSLATE(E5278,""fr"",""it"")"),"Mi piacciono le commedie, ma non i test.")</f>
        <v>Mi piacciono le commedie, ma non i test.</v>
      </c>
    </row>
    <row r="5279">
      <c r="A5279" s="4">
        <v>5277.0</v>
      </c>
      <c r="B5279" s="5" t="s">
        <v>15838</v>
      </c>
      <c r="C5279" s="4">
        <v>1.0</v>
      </c>
      <c r="D5279" s="5" t="s">
        <v>15839</v>
      </c>
      <c r="E5279" s="5" t="s">
        <v>15840</v>
      </c>
      <c r="F5279" s="6" t="str">
        <f>IFERROR(__xludf.DUMMYFUNCTION("GOOGLETRANSLATE(D5279,""en"",""it"")"),"Mi piacciono i saggi, ma non le commedie.")</f>
        <v>Mi piacciono i saggi, ma non le commedie.</v>
      </c>
      <c r="G5279" s="6" t="str">
        <f>IFERROR(__xludf.DUMMYFUNCTION("GOOGLETRANSLATE(E5279,""fr"",""it"")"),"Mi piacciono i test, ma non commedie.")</f>
        <v>Mi piacciono i test, ma non commedie.</v>
      </c>
    </row>
    <row r="5280">
      <c r="A5280" s="4">
        <v>5278.0</v>
      </c>
      <c r="B5280" s="5" t="s">
        <v>15841</v>
      </c>
      <c r="C5280" s="4">
        <v>0.0</v>
      </c>
      <c r="D5280" s="5" t="s">
        <v>15842</v>
      </c>
      <c r="E5280" s="5" t="s">
        <v>15843</v>
      </c>
      <c r="F5280" s="6" t="str">
        <f>IFERROR(__xludf.DUMMYFUNCTION("GOOGLETRANSLATE(D5280,""en"",""it"")"),"Mi piacciono le commedie, ma non i film.")</f>
        <v>Mi piacciono le commedie, ma non i film.</v>
      </c>
      <c r="G5280" s="6" t="str">
        <f>IFERROR(__xludf.DUMMYFUNCTION("GOOGLETRANSLATE(E5280,""fr"",""it"")"),"Amo le commedie, ma non i film.")</f>
        <v>Amo le commedie, ma non i film.</v>
      </c>
    </row>
    <row r="5281">
      <c r="A5281" s="4">
        <v>5279.0</v>
      </c>
      <c r="B5281" s="5" t="s">
        <v>15844</v>
      </c>
      <c r="C5281" s="4">
        <v>1.0</v>
      </c>
      <c r="D5281" s="5" t="s">
        <v>15845</v>
      </c>
      <c r="E5281" s="5" t="s">
        <v>15846</v>
      </c>
      <c r="F5281" s="6" t="str">
        <f>IFERROR(__xludf.DUMMYFUNCTION("GOOGLETRANSLATE(D5281,""en"",""it"")"),"Mi piacciono i film, ma non commedie.")</f>
        <v>Mi piacciono i film, ma non commedie.</v>
      </c>
      <c r="G5281" s="6" t="str">
        <f>IFERROR(__xludf.DUMMYFUNCTION("GOOGLETRANSLATE(E5281,""fr"",""it"")"),"Amo i film, ma non commedie.")</f>
        <v>Amo i film, ma non commedie.</v>
      </c>
    </row>
    <row r="5282">
      <c r="A5282" s="4">
        <v>5280.0</v>
      </c>
      <c r="B5282" s="5" t="s">
        <v>15847</v>
      </c>
      <c r="C5282" s="4">
        <v>1.0</v>
      </c>
      <c r="D5282" s="5" t="s">
        <v>15848</v>
      </c>
      <c r="E5282" s="5" t="s">
        <v>15849</v>
      </c>
      <c r="F5282" s="6" t="str">
        <f>IFERROR(__xludf.DUMMYFUNCTION("GOOGLETRANSLATE(D5282,""en"",""it"")"),"Mi piacciono le commedie, ma non i libri di testo.")</f>
        <v>Mi piacciono le commedie, ma non i libri di testo.</v>
      </c>
      <c r="G5282" s="6" t="str">
        <f>IFERROR(__xludf.DUMMYFUNCTION("GOOGLETRANSLATE(E5282,""fr"",""it"")"),"Amo le commedie, ma non i libri di testo.")</f>
        <v>Amo le commedie, ma non i libri di testo.</v>
      </c>
    </row>
    <row r="5283">
      <c r="A5283" s="4">
        <v>5281.0</v>
      </c>
      <c r="B5283" s="5" t="s">
        <v>15850</v>
      </c>
      <c r="C5283" s="4">
        <v>1.0</v>
      </c>
      <c r="D5283" s="5" t="s">
        <v>15851</v>
      </c>
      <c r="E5283" s="5" t="s">
        <v>15852</v>
      </c>
      <c r="F5283" s="6" t="str">
        <f>IFERROR(__xludf.DUMMYFUNCTION("GOOGLETRANSLATE(D5283,""en"",""it"")"),"Mi piacciono i libri di testo, ma non commedie.")</f>
        <v>Mi piacciono i libri di testo, ma non commedie.</v>
      </c>
      <c r="G5283" s="6" t="str">
        <f>IFERROR(__xludf.DUMMYFUNCTION("GOOGLETRANSLATE(E5283,""fr"",""it"")"),"Mi piacciono i libri di testo scolastici, ma non commedie.")</f>
        <v>Mi piacciono i libri di testo scolastici, ma non commedie.</v>
      </c>
    </row>
    <row r="5284">
      <c r="A5284" s="4">
        <v>5282.0</v>
      </c>
      <c r="B5284" s="5" t="s">
        <v>15853</v>
      </c>
      <c r="C5284" s="4">
        <v>1.0</v>
      </c>
      <c r="D5284" s="5" t="s">
        <v>15854</v>
      </c>
      <c r="E5284" s="5" t="s">
        <v>15855</v>
      </c>
      <c r="F5284" s="6" t="str">
        <f>IFERROR(__xludf.DUMMYFUNCTION("GOOGLETRANSLATE(D5284,""en"",""it"")"),"Mi piacciono le commedie, ma non i panieri.")</f>
        <v>Mi piacciono le commedie, ma non i panieri.</v>
      </c>
      <c r="G5284" s="6" t="str">
        <f>IFERROR(__xludf.DUMMYFUNCTION("GOOGLETRANSLATE(E5284,""fr"",""it"")"),"Mi piacciono le commedie, ma non i giochi da tavolo.")</f>
        <v>Mi piacciono le commedie, ma non i giochi da tavolo.</v>
      </c>
    </row>
    <row r="5285">
      <c r="A5285" s="4">
        <v>5283.0</v>
      </c>
      <c r="B5285" s="5" t="s">
        <v>15856</v>
      </c>
      <c r="C5285" s="4">
        <v>1.0</v>
      </c>
      <c r="D5285" s="5" t="s">
        <v>15857</v>
      </c>
      <c r="E5285" s="5" t="s">
        <v>15858</v>
      </c>
      <c r="F5285" s="6" t="str">
        <f>IFERROR(__xludf.DUMMYFUNCTION("GOOGLETRANSLATE(D5285,""en"",""it"")"),"Mi piacciono i boardgames, ma non commedie.")</f>
        <v>Mi piacciono i boardgames, ma non commedie.</v>
      </c>
      <c r="G5285" s="6" t="str">
        <f>IFERROR(__xludf.DUMMYFUNCTION("GOOGLETRANSLATE(E5285,""fr"",""it"")"),"Mi piacciono i giochi da tavolo, ma non commedie.")</f>
        <v>Mi piacciono i giochi da tavolo, ma non commedie.</v>
      </c>
    </row>
    <row r="5286">
      <c r="A5286" s="4">
        <v>5284.0</v>
      </c>
      <c r="B5286" s="5" t="s">
        <v>15859</v>
      </c>
      <c r="C5286" s="4">
        <v>1.0</v>
      </c>
      <c r="D5286" s="5" t="s">
        <v>15860</v>
      </c>
      <c r="E5286" s="5" t="s">
        <v>15861</v>
      </c>
      <c r="F5286" s="6" t="str">
        <f>IFERROR(__xludf.DUMMYFUNCTION("GOOGLETRANSLATE(D5286,""en"",""it"")"),"Mi piacciono le commedie, ma non i videogiochi.")</f>
        <v>Mi piacciono le commedie, ma non i videogiochi.</v>
      </c>
      <c r="G5286" s="6" t="str">
        <f>IFERROR(__xludf.DUMMYFUNCTION("GOOGLETRANSLATE(E5286,""fr"",""it"")"),"Mi piacciono le commedie, ma non i videogiochi.")</f>
        <v>Mi piacciono le commedie, ma non i videogiochi.</v>
      </c>
    </row>
    <row r="5287">
      <c r="A5287" s="4">
        <v>5285.0</v>
      </c>
      <c r="B5287" s="5" t="s">
        <v>15862</v>
      </c>
      <c r="C5287" s="4">
        <v>1.0</v>
      </c>
      <c r="D5287" s="5" t="s">
        <v>15863</v>
      </c>
      <c r="E5287" s="5" t="s">
        <v>15864</v>
      </c>
      <c r="F5287" s="6" t="str">
        <f>IFERROR(__xludf.DUMMYFUNCTION("GOOGLETRANSLATE(D5287,""en"",""it"")"),"Mi piacciono i videogiochi, ma non commedie.")</f>
        <v>Mi piacciono i videogiochi, ma non commedie.</v>
      </c>
      <c r="G5287" s="6" t="str">
        <f>IFERROR(__xludf.DUMMYFUNCTION("GOOGLETRANSLATE(E5287,""fr"",""it"")"),"Mi piacciono i videogiochi, ma non commedie.")</f>
        <v>Mi piacciono i videogiochi, ma non commedie.</v>
      </c>
    </row>
    <row r="5288">
      <c r="A5288" s="4">
        <v>5286.0</v>
      </c>
      <c r="B5288" s="5" t="s">
        <v>15865</v>
      </c>
      <c r="C5288" s="4">
        <v>1.0</v>
      </c>
      <c r="D5288" s="5" t="s">
        <v>15866</v>
      </c>
      <c r="E5288" s="5" t="s">
        <v>15867</v>
      </c>
      <c r="F5288" s="6" t="str">
        <f>IFERROR(__xludf.DUMMYFUNCTION("GOOGLETRANSLATE(D5288,""en"",""it"")"),"Mi piacciono i documentari, ma non i saggi.")</f>
        <v>Mi piacciono i documentari, ma non i saggi.</v>
      </c>
      <c r="G5288" s="6" t="str">
        <f>IFERROR(__xludf.DUMMYFUNCTION("GOOGLETRANSLATE(E5288,""fr"",""it"")"),"Mi piacciono i documentari, ma non i test.")</f>
        <v>Mi piacciono i documentari, ma non i test.</v>
      </c>
    </row>
    <row r="5289">
      <c r="A5289" s="4">
        <v>5287.0</v>
      </c>
      <c r="B5289" s="5" t="s">
        <v>15868</v>
      </c>
      <c r="C5289" s="4">
        <v>1.0</v>
      </c>
      <c r="D5289" s="5" t="s">
        <v>15869</v>
      </c>
      <c r="E5289" s="5" t="s">
        <v>15870</v>
      </c>
      <c r="F5289" s="6" t="str">
        <f>IFERROR(__xludf.DUMMYFUNCTION("GOOGLETRANSLATE(D5289,""en"",""it"")"),"Mi piacciono i saggi, ma non i documentari.")</f>
        <v>Mi piacciono i saggi, ma non i documentari.</v>
      </c>
      <c r="G5289" s="6" t="str">
        <f>IFERROR(__xludf.DUMMYFUNCTION("GOOGLETRANSLATE(E5289,""fr"",""it"")"),"Mi piacciono i test, ma non i documentari.")</f>
        <v>Mi piacciono i test, ma non i documentari.</v>
      </c>
    </row>
    <row r="5290">
      <c r="A5290" s="4">
        <v>5288.0</v>
      </c>
      <c r="B5290" s="5" t="s">
        <v>15871</v>
      </c>
      <c r="C5290" s="4">
        <v>0.0</v>
      </c>
      <c r="D5290" s="5" t="s">
        <v>15872</v>
      </c>
      <c r="E5290" s="5" t="s">
        <v>15873</v>
      </c>
      <c r="F5290" s="6" t="str">
        <f>IFERROR(__xludf.DUMMYFUNCTION("GOOGLETRANSLATE(D5290,""en"",""it"")"),"Mi piacciono i documentari, ma non i film.")</f>
        <v>Mi piacciono i documentari, ma non i film.</v>
      </c>
      <c r="G5290" s="6" t="str">
        <f>IFERROR(__xludf.DUMMYFUNCTION("GOOGLETRANSLATE(E5290,""fr"",""it"")"),"Mi piacciono i documentari, ma non i film.")</f>
        <v>Mi piacciono i documentari, ma non i film.</v>
      </c>
    </row>
    <row r="5291">
      <c r="A5291" s="4">
        <v>5289.0</v>
      </c>
      <c r="B5291" s="5" t="s">
        <v>15874</v>
      </c>
      <c r="C5291" s="4">
        <v>1.0</v>
      </c>
      <c r="D5291" s="5" t="s">
        <v>15875</v>
      </c>
      <c r="E5291" s="5" t="s">
        <v>15876</v>
      </c>
      <c r="F5291" s="6" t="str">
        <f>IFERROR(__xludf.DUMMYFUNCTION("GOOGLETRANSLATE(D5291,""en"",""it"")"),"Mi piacciono i film, ma non i documentari.")</f>
        <v>Mi piacciono i film, ma non i documentari.</v>
      </c>
      <c r="G5291" s="6" t="str">
        <f>IFERROR(__xludf.DUMMYFUNCTION("GOOGLETRANSLATE(E5291,""fr"",""it"")"),"Amo i film, ma non i documentari.")</f>
        <v>Amo i film, ma non i documentari.</v>
      </c>
    </row>
    <row r="5292">
      <c r="A5292" s="4">
        <v>5290.0</v>
      </c>
      <c r="B5292" s="5" t="s">
        <v>15877</v>
      </c>
      <c r="C5292" s="4">
        <v>1.0</v>
      </c>
      <c r="D5292" s="5" t="s">
        <v>15878</v>
      </c>
      <c r="E5292" s="5" t="s">
        <v>15879</v>
      </c>
      <c r="F5292" s="6" t="str">
        <f>IFERROR(__xludf.DUMMYFUNCTION("GOOGLETRANSLATE(D5292,""en"",""it"")"),"Mi piacciono i documentari, ma non i libri di testo.")</f>
        <v>Mi piacciono i documentari, ma non i libri di testo.</v>
      </c>
      <c r="G5292" s="6" t="str">
        <f>IFERROR(__xludf.DUMMYFUNCTION("GOOGLETRANSLATE(E5292,""fr"",""it"")"),"Mi piacciono i documentari, ma non i libri di testo.")</f>
        <v>Mi piacciono i documentari, ma non i libri di testo.</v>
      </c>
    </row>
    <row r="5293">
      <c r="A5293" s="4">
        <v>5291.0</v>
      </c>
      <c r="B5293" s="5" t="s">
        <v>15880</v>
      </c>
      <c r="C5293" s="4">
        <v>1.0</v>
      </c>
      <c r="D5293" s="5" t="s">
        <v>15881</v>
      </c>
      <c r="E5293" s="5" t="s">
        <v>15882</v>
      </c>
      <c r="F5293" s="6" t="str">
        <f>IFERROR(__xludf.DUMMYFUNCTION("GOOGLETRANSLATE(D5293,""en"",""it"")"),"Mi piacciono i libri di testo, ma non i documentari.")</f>
        <v>Mi piacciono i libri di testo, ma non i documentari.</v>
      </c>
      <c r="G5293" s="6" t="str">
        <f>IFERROR(__xludf.DUMMYFUNCTION("GOOGLETRANSLATE(E5293,""fr"",""it"")"),"Mi piacciono i libri di testo scolastici, ma non i documentari.")</f>
        <v>Mi piacciono i libri di testo scolastici, ma non i documentari.</v>
      </c>
    </row>
    <row r="5294">
      <c r="A5294" s="4">
        <v>5292.0</v>
      </c>
      <c r="B5294" s="5" t="s">
        <v>15883</v>
      </c>
      <c r="C5294" s="4">
        <v>1.0</v>
      </c>
      <c r="D5294" s="5" t="s">
        <v>15884</v>
      </c>
      <c r="E5294" s="5" t="s">
        <v>15885</v>
      </c>
      <c r="F5294" s="6" t="str">
        <f>IFERROR(__xludf.DUMMYFUNCTION("GOOGLETRANSLATE(D5294,""en"",""it"")"),"Mi piacciono i documentari, ma non i tavolini.")</f>
        <v>Mi piacciono i documentari, ma non i tavolini.</v>
      </c>
      <c r="G5294" s="6" t="str">
        <f>IFERROR(__xludf.DUMMYFUNCTION("GOOGLETRANSLATE(E5294,""fr"",""it"")"),"Mi piacciono i documentari, ma non i giochi da tavolo.")</f>
        <v>Mi piacciono i documentari, ma non i giochi da tavolo.</v>
      </c>
    </row>
    <row r="5295">
      <c r="A5295" s="4">
        <v>5293.0</v>
      </c>
      <c r="B5295" s="5" t="s">
        <v>15886</v>
      </c>
      <c r="C5295" s="4">
        <v>1.0</v>
      </c>
      <c r="D5295" s="5" t="s">
        <v>15887</v>
      </c>
      <c r="E5295" s="5" t="s">
        <v>15888</v>
      </c>
      <c r="F5295" s="6" t="str">
        <f>IFERROR(__xludf.DUMMYFUNCTION("GOOGLETRANSLATE(D5295,""en"",""it"")"),"Mi piacciono i boardgames, ma non i documentari.")</f>
        <v>Mi piacciono i boardgames, ma non i documentari.</v>
      </c>
      <c r="G5295" s="6" t="str">
        <f>IFERROR(__xludf.DUMMYFUNCTION("GOOGLETRANSLATE(E5295,""fr"",""it"")"),"Mi piacciono i giochi da tavolo, ma non i documentari.")</f>
        <v>Mi piacciono i giochi da tavolo, ma non i documentari.</v>
      </c>
    </row>
    <row r="5296">
      <c r="A5296" s="4">
        <v>5294.0</v>
      </c>
      <c r="B5296" s="5" t="s">
        <v>15889</v>
      </c>
      <c r="C5296" s="4">
        <v>1.0</v>
      </c>
      <c r="D5296" s="5" t="s">
        <v>15890</v>
      </c>
      <c r="E5296" s="5" t="s">
        <v>15891</v>
      </c>
      <c r="F5296" s="6" t="str">
        <f>IFERROR(__xludf.DUMMYFUNCTION("GOOGLETRANSLATE(D5296,""en"",""it"")"),"Mi piacciono i documentari, ma non i videogiochi.")</f>
        <v>Mi piacciono i documentari, ma non i videogiochi.</v>
      </c>
      <c r="G5296" s="6" t="str">
        <f>IFERROR(__xludf.DUMMYFUNCTION("GOOGLETRANSLATE(E5296,""fr"",""it"")"),"Mi piacciono i documentari, ma non i videogiochi.")</f>
        <v>Mi piacciono i documentari, ma non i videogiochi.</v>
      </c>
    </row>
    <row r="5297">
      <c r="A5297" s="4">
        <v>5295.0</v>
      </c>
      <c r="B5297" s="5" t="s">
        <v>15892</v>
      </c>
      <c r="C5297" s="4">
        <v>1.0</v>
      </c>
      <c r="D5297" s="5" t="s">
        <v>15893</v>
      </c>
      <c r="E5297" s="5" t="s">
        <v>15894</v>
      </c>
      <c r="F5297" s="6" t="str">
        <f>IFERROR(__xludf.DUMMYFUNCTION("GOOGLETRANSLATE(D5297,""en"",""it"")"),"Mi piacciono i videogiochi, ma non i documentari.")</f>
        <v>Mi piacciono i videogiochi, ma non i documentari.</v>
      </c>
      <c r="G5297" s="6" t="str">
        <f>IFERROR(__xludf.DUMMYFUNCTION("GOOGLETRANSLATE(E5297,""fr"",""it"")"),"Mi piacciono i videogiochi, ma non i documentari.")</f>
        <v>Mi piacciono i videogiochi, ma non i documentari.</v>
      </c>
    </row>
    <row r="5298">
      <c r="A5298" s="4">
        <v>5296.0</v>
      </c>
      <c r="B5298" s="5" t="s">
        <v>15895</v>
      </c>
      <c r="C5298" s="4">
        <v>1.0</v>
      </c>
      <c r="D5298" s="5" t="s">
        <v>15896</v>
      </c>
      <c r="E5298" s="5" t="s">
        <v>15897</v>
      </c>
      <c r="F5298" s="6" t="str">
        <f>IFERROR(__xludf.DUMMYFUNCTION("GOOGLETRANSLATE(D5298,""en"",""it"")"),"Mi piacciono i braccialetti, ma non le borse.")</f>
        <v>Mi piacciono i braccialetti, ma non le borse.</v>
      </c>
      <c r="G5298" s="6" t="str">
        <f>IFERROR(__xludf.DUMMYFUNCTION("GOOGLETRANSLATE(E5298,""fr"",""it"")"),"Mi piacciono i braccialetti, ma non le borse.")</f>
        <v>Mi piacciono i braccialetti, ma non le borse.</v>
      </c>
    </row>
    <row r="5299">
      <c r="A5299" s="4">
        <v>5297.0</v>
      </c>
      <c r="B5299" s="5" t="s">
        <v>15898</v>
      </c>
      <c r="C5299" s="4">
        <v>1.0</v>
      </c>
      <c r="D5299" s="5" t="s">
        <v>15899</v>
      </c>
      <c r="E5299" s="5" t="s">
        <v>15900</v>
      </c>
      <c r="F5299" s="6" t="str">
        <f>IFERROR(__xludf.DUMMYFUNCTION("GOOGLETRANSLATE(D5299,""en"",""it"")"),"Mi piacciono le borse, ma non i braccialetti.")</f>
        <v>Mi piacciono le borse, ma non i braccialetti.</v>
      </c>
      <c r="G5299" s="6" t="str">
        <f>IFERROR(__xludf.DUMMYFUNCTION("GOOGLETRANSLATE(E5299,""fr"",""it"")"),"Mi piacciono le borse, ma non i braccialetti.")</f>
        <v>Mi piacciono le borse, ma non i braccialetti.</v>
      </c>
    </row>
    <row r="5300">
      <c r="A5300" s="4">
        <v>5298.0</v>
      </c>
      <c r="B5300" s="5" t="s">
        <v>15901</v>
      </c>
      <c r="C5300" s="4">
        <v>0.0</v>
      </c>
      <c r="D5300" s="5" t="s">
        <v>15902</v>
      </c>
      <c r="E5300" s="5" t="s">
        <v>15903</v>
      </c>
      <c r="F5300" s="6" t="str">
        <f>IFERROR(__xludf.DUMMYFUNCTION("GOOGLETRANSLATE(D5300,""en"",""it"")"),"Mi piacciono i braccialetti, ma non gioielli.")</f>
        <v>Mi piacciono i braccialetti, ma non gioielli.</v>
      </c>
      <c r="G5300" s="6" t="str">
        <f>IFERROR(__xludf.DUMMYFUNCTION("GOOGLETRANSLATE(E5300,""fr"",""it"")"),"Mi piacciono i braccialetti, ma non gioielli.")</f>
        <v>Mi piacciono i braccialetti, ma non gioielli.</v>
      </c>
    </row>
    <row r="5301">
      <c r="A5301" s="4">
        <v>5299.0</v>
      </c>
      <c r="B5301" s="5" t="s">
        <v>15904</v>
      </c>
      <c r="C5301" s="4">
        <v>1.0</v>
      </c>
      <c r="D5301" s="5" t="s">
        <v>15905</v>
      </c>
      <c r="E5301" s="5" t="s">
        <v>15906</v>
      </c>
      <c r="F5301" s="6" t="str">
        <f>IFERROR(__xludf.DUMMYFUNCTION("GOOGLETRANSLATE(D5301,""en"",""it"")"),"Mi piacciono i gioielli, ma non i braccialetti.")</f>
        <v>Mi piacciono i gioielli, ma non i braccialetti.</v>
      </c>
      <c r="G5301" s="6" t="str">
        <f>IFERROR(__xludf.DUMMYFUNCTION("GOOGLETRANSLATE(E5301,""fr"",""it"")"),"Mi piacciono i gioielli, ma non i braccialetti.")</f>
        <v>Mi piacciono i gioielli, ma non i braccialetti.</v>
      </c>
    </row>
    <row r="5302">
      <c r="A5302" s="4">
        <v>5300.0</v>
      </c>
      <c r="B5302" s="5" t="s">
        <v>15907</v>
      </c>
      <c r="C5302" s="4">
        <v>1.0</v>
      </c>
      <c r="D5302" s="5" t="s">
        <v>15908</v>
      </c>
      <c r="E5302" s="5" t="s">
        <v>15909</v>
      </c>
      <c r="F5302" s="6" t="str">
        <f>IFERROR(__xludf.DUMMYFUNCTION("GOOGLETRANSLATE(D5302,""en"",""it"")"),"Mi piacciono i gioielli, ma non le borse.")</f>
        <v>Mi piacciono i gioielli, ma non le borse.</v>
      </c>
      <c r="G5302" s="6" t="str">
        <f>IFERROR(__xludf.DUMMYFUNCTION("GOOGLETRANSLATE(E5302,""fr"",""it"")"),"Mi piacciono i gioielli, ma non le borse.")</f>
        <v>Mi piacciono i gioielli, ma non le borse.</v>
      </c>
    </row>
    <row r="5303">
      <c r="A5303" s="4">
        <v>5301.0</v>
      </c>
      <c r="B5303" s="5" t="s">
        <v>15910</v>
      </c>
      <c r="C5303" s="4">
        <v>1.0</v>
      </c>
      <c r="D5303" s="5" t="s">
        <v>15911</v>
      </c>
      <c r="E5303" s="5" t="s">
        <v>15912</v>
      </c>
      <c r="F5303" s="6" t="str">
        <f>IFERROR(__xludf.DUMMYFUNCTION("GOOGLETRANSLATE(D5303,""en"",""it"")"),"Mi piacciono i braccialetti, ma non le sciarpe.")</f>
        <v>Mi piacciono i braccialetti, ma non le sciarpe.</v>
      </c>
      <c r="G5303" s="6" t="str">
        <f>IFERROR(__xludf.DUMMYFUNCTION("GOOGLETRANSLATE(E5303,""fr"",""it"")"),"Mi piacciono i braccialetti, ma non le sciarpe.")</f>
        <v>Mi piacciono i braccialetti, ma non le sciarpe.</v>
      </c>
    </row>
    <row r="5304">
      <c r="A5304" s="4">
        <v>5302.0</v>
      </c>
      <c r="B5304" s="5" t="s">
        <v>15913</v>
      </c>
      <c r="C5304" s="4">
        <v>1.0</v>
      </c>
      <c r="D5304" s="5" t="s">
        <v>15914</v>
      </c>
      <c r="E5304" s="5" t="s">
        <v>15915</v>
      </c>
      <c r="F5304" s="6" t="str">
        <f>IFERROR(__xludf.DUMMYFUNCTION("GOOGLETRANSLATE(D5304,""en"",""it"")"),"Mi piacciono le sciarpe, ma non i braccialetti.")</f>
        <v>Mi piacciono le sciarpe, ma non i braccialetti.</v>
      </c>
      <c r="G5304" s="6" t="str">
        <f>IFERROR(__xludf.DUMMYFUNCTION("GOOGLETRANSLATE(E5304,""fr"",""it"")"),"Mi piacciono le sciarpe, ma non i braccialetti.")</f>
        <v>Mi piacciono le sciarpe, ma non i braccialetti.</v>
      </c>
    </row>
    <row r="5305">
      <c r="A5305" s="4">
        <v>5303.0</v>
      </c>
      <c r="B5305" s="5" t="s">
        <v>15916</v>
      </c>
      <c r="C5305" s="4">
        <v>1.0</v>
      </c>
      <c r="D5305" s="5" t="s">
        <v>15917</v>
      </c>
      <c r="E5305" s="5" t="s">
        <v>15918</v>
      </c>
      <c r="F5305" s="6" t="str">
        <f>IFERROR(__xludf.DUMMYFUNCTION("GOOGLETRANSLATE(D5305,""en"",""it"")"),"Mi piacciono i gioielli, ma non le sciarpe.")</f>
        <v>Mi piacciono i gioielli, ma non le sciarpe.</v>
      </c>
      <c r="G5305" s="6" t="str">
        <f>IFERROR(__xludf.DUMMYFUNCTION("GOOGLETRANSLATE(E5305,""fr"",""it"")"),"Mi piacciono i gioielli, ma non le sciarpe.")</f>
        <v>Mi piacciono i gioielli, ma non le sciarpe.</v>
      </c>
    </row>
    <row r="5306">
      <c r="A5306" s="4">
        <v>5304.0</v>
      </c>
      <c r="B5306" s="5" t="s">
        <v>15919</v>
      </c>
      <c r="C5306" s="4">
        <v>1.0</v>
      </c>
      <c r="D5306" s="5" t="s">
        <v>15920</v>
      </c>
      <c r="E5306" s="5" t="s">
        <v>15921</v>
      </c>
      <c r="F5306" s="6" t="str">
        <f>IFERROR(__xludf.DUMMYFUNCTION("GOOGLETRANSLATE(D5306,""en"",""it"")"),"Mi piacciono i braccialetti, ma non gli occhiali.")</f>
        <v>Mi piacciono i braccialetti, ma non gli occhiali.</v>
      </c>
      <c r="G5306" s="6" t="str">
        <f>IFERROR(__xludf.DUMMYFUNCTION("GOOGLETRANSLATE(E5306,""fr"",""it"")"),"Mi piacciono i braccialetti, ma non gli occhiali.")</f>
        <v>Mi piacciono i braccialetti, ma non gli occhiali.</v>
      </c>
    </row>
    <row r="5307">
      <c r="A5307" s="4">
        <v>5305.0</v>
      </c>
      <c r="B5307" s="5" t="s">
        <v>15922</v>
      </c>
      <c r="C5307" s="4">
        <v>1.0</v>
      </c>
      <c r="D5307" s="5" t="s">
        <v>15923</v>
      </c>
      <c r="E5307" s="5" t="s">
        <v>15924</v>
      </c>
      <c r="F5307" s="6" t="str">
        <f>IFERROR(__xludf.DUMMYFUNCTION("GOOGLETRANSLATE(D5307,""en"",""it"")"),"Mi piacciono gli occhiali, ma non i braccialetti.")</f>
        <v>Mi piacciono gli occhiali, ma non i braccialetti.</v>
      </c>
      <c r="G5307" s="6" t="str">
        <f>IFERROR(__xludf.DUMMYFUNCTION("GOOGLETRANSLATE(E5307,""fr"",""it"")"),"Amo gli occhiali, ma non i braccialetti.")</f>
        <v>Amo gli occhiali, ma non i braccialetti.</v>
      </c>
    </row>
    <row r="5308">
      <c r="A5308" s="4">
        <v>5306.0</v>
      </c>
      <c r="B5308" s="5" t="s">
        <v>15925</v>
      </c>
      <c r="C5308" s="4">
        <v>1.0</v>
      </c>
      <c r="D5308" s="5" t="s">
        <v>15926</v>
      </c>
      <c r="E5308" s="5" t="s">
        <v>15927</v>
      </c>
      <c r="F5308" s="6" t="str">
        <f>IFERROR(__xludf.DUMMYFUNCTION("GOOGLETRANSLATE(D5308,""en"",""it"")"),"Mi piacciono i gioielli, ma non gli occhiali.")</f>
        <v>Mi piacciono i gioielli, ma non gli occhiali.</v>
      </c>
      <c r="G5308" s="6" t="str">
        <f>IFERROR(__xludf.DUMMYFUNCTION("GOOGLETRANSLATE(E5308,""fr"",""it"")"),"Mi piacciono i gioielli, ma non gli occhiali.")</f>
        <v>Mi piacciono i gioielli, ma non gli occhiali.</v>
      </c>
    </row>
    <row r="5309">
      <c r="A5309" s="4">
        <v>5307.0</v>
      </c>
      <c r="B5309" s="5" t="s">
        <v>15928</v>
      </c>
      <c r="C5309" s="4">
        <v>1.0</v>
      </c>
      <c r="D5309" s="5" t="s">
        <v>15929</v>
      </c>
      <c r="E5309" s="5" t="s">
        <v>15930</v>
      </c>
      <c r="F5309" s="6" t="str">
        <f>IFERROR(__xludf.DUMMYFUNCTION("GOOGLETRANSLATE(D5309,""en"",""it"")"),"Mi piacciono i braccialetti, ma non le scarpe.")</f>
        <v>Mi piacciono i braccialetti, ma non le scarpe.</v>
      </c>
      <c r="G5309" s="6" t="str">
        <f>IFERROR(__xludf.DUMMYFUNCTION("GOOGLETRANSLATE(E5309,""fr"",""it"")"),"Mi piacciono i braccialetti, ma non le scarpe.")</f>
        <v>Mi piacciono i braccialetti, ma non le scarpe.</v>
      </c>
    </row>
    <row r="5310">
      <c r="A5310" s="4">
        <v>5308.0</v>
      </c>
      <c r="B5310" s="5" t="s">
        <v>15931</v>
      </c>
      <c r="C5310" s="4">
        <v>1.0</v>
      </c>
      <c r="D5310" s="5" t="s">
        <v>15932</v>
      </c>
      <c r="E5310" s="5" t="s">
        <v>15933</v>
      </c>
      <c r="F5310" s="6" t="str">
        <f>IFERROR(__xludf.DUMMYFUNCTION("GOOGLETRANSLATE(D5310,""en"",""it"")"),"Mi piacciono le scarpe, ma non i braccialetti.")</f>
        <v>Mi piacciono le scarpe, ma non i braccialetti.</v>
      </c>
      <c r="G5310" s="6" t="str">
        <f>IFERROR(__xludf.DUMMYFUNCTION("GOOGLETRANSLATE(E5310,""fr"",""it"")"),"Adoro le scarpe, ma non i braccialetti.")</f>
        <v>Adoro le scarpe, ma non i braccialetti.</v>
      </c>
    </row>
    <row r="5311">
      <c r="A5311" s="4">
        <v>5309.0</v>
      </c>
      <c r="B5311" s="5" t="s">
        <v>15934</v>
      </c>
      <c r="C5311" s="4">
        <v>1.0</v>
      </c>
      <c r="D5311" s="5" t="s">
        <v>15935</v>
      </c>
      <c r="E5311" s="5" t="s">
        <v>15936</v>
      </c>
      <c r="F5311" s="6" t="str">
        <f>IFERROR(__xludf.DUMMYFUNCTION("GOOGLETRANSLATE(D5311,""en"",""it"")"),"Mi piacciono i gioielli, ma non le scarpe.")</f>
        <v>Mi piacciono i gioielli, ma non le scarpe.</v>
      </c>
      <c r="G5311" s="6" t="str">
        <f>IFERROR(__xludf.DUMMYFUNCTION("GOOGLETRANSLATE(E5311,""fr"",""it"")"),"Mi piacciono i gioielli, ma non le scarpe.")</f>
        <v>Mi piacciono i gioielli, ma non le scarpe.</v>
      </c>
    </row>
    <row r="5312">
      <c r="A5312" s="4">
        <v>5310.0</v>
      </c>
      <c r="B5312" s="5" t="s">
        <v>15937</v>
      </c>
      <c r="C5312" s="4">
        <v>1.0</v>
      </c>
      <c r="D5312" s="5" t="s">
        <v>15938</v>
      </c>
      <c r="E5312" s="5" t="s">
        <v>15939</v>
      </c>
      <c r="F5312" s="6" t="str">
        <f>IFERROR(__xludf.DUMMYFUNCTION("GOOGLETRANSLATE(D5312,""en"",""it"")"),"Mi piacciono le collane, ma non le borse.")</f>
        <v>Mi piacciono le collane, ma non le borse.</v>
      </c>
      <c r="G5312" s="6" t="str">
        <f>IFERROR(__xludf.DUMMYFUNCTION("GOOGLETRANSLATE(E5312,""fr"",""it"")"),"Mi piacciono le collane, ma non le borse.")</f>
        <v>Mi piacciono le collane, ma non le borse.</v>
      </c>
    </row>
    <row r="5313">
      <c r="A5313" s="4">
        <v>5311.0</v>
      </c>
      <c r="B5313" s="5" t="s">
        <v>15940</v>
      </c>
      <c r="C5313" s="4">
        <v>1.0</v>
      </c>
      <c r="D5313" s="5" t="s">
        <v>15941</v>
      </c>
      <c r="E5313" s="5" t="s">
        <v>15942</v>
      </c>
      <c r="F5313" s="6" t="str">
        <f>IFERROR(__xludf.DUMMYFUNCTION("GOOGLETRANSLATE(D5313,""en"",""it"")"),"Mi piacciono le borse, ma non collane.")</f>
        <v>Mi piacciono le borse, ma non collane.</v>
      </c>
      <c r="G5313" s="6" t="str">
        <f>IFERROR(__xludf.DUMMYFUNCTION("GOOGLETRANSLATE(E5313,""fr"",""it"")"),"Mi piacciono le borse, ma non le collane.")</f>
        <v>Mi piacciono le borse, ma non le collane.</v>
      </c>
    </row>
    <row r="5314">
      <c r="A5314" s="4">
        <v>5312.0</v>
      </c>
      <c r="B5314" s="5" t="s">
        <v>15943</v>
      </c>
      <c r="C5314" s="4">
        <v>0.0</v>
      </c>
      <c r="D5314" s="5" t="s">
        <v>15944</v>
      </c>
      <c r="E5314" s="5" t="s">
        <v>15945</v>
      </c>
      <c r="F5314" s="6" t="str">
        <f>IFERROR(__xludf.DUMMYFUNCTION("GOOGLETRANSLATE(D5314,""en"",""it"")"),"Mi piacciono le collane, ma non gioielli.")</f>
        <v>Mi piacciono le collane, ma non gioielli.</v>
      </c>
      <c r="G5314" s="6" t="str">
        <f>IFERROR(__xludf.DUMMYFUNCTION("GOOGLETRANSLATE(E5314,""fr"",""it"")"),"Amo le collane, ma non i gioielli.")</f>
        <v>Amo le collane, ma non i gioielli.</v>
      </c>
    </row>
    <row r="5315">
      <c r="A5315" s="4">
        <v>5313.0</v>
      </c>
      <c r="B5315" s="5" t="s">
        <v>15946</v>
      </c>
      <c r="C5315" s="4">
        <v>1.0</v>
      </c>
      <c r="D5315" s="5" t="s">
        <v>15947</v>
      </c>
      <c r="E5315" s="5" t="s">
        <v>15948</v>
      </c>
      <c r="F5315" s="6" t="str">
        <f>IFERROR(__xludf.DUMMYFUNCTION("GOOGLETRANSLATE(D5315,""en"",""it"")"),"Mi piacciono i gioielli, ma non le collane.")</f>
        <v>Mi piacciono i gioielli, ma non le collane.</v>
      </c>
      <c r="G5315" s="6" t="str">
        <f>IFERROR(__xludf.DUMMYFUNCTION("GOOGLETRANSLATE(E5315,""fr"",""it"")"),"Mi piacciono i gioielli, ma non le collane.")</f>
        <v>Mi piacciono i gioielli, ma non le collane.</v>
      </c>
    </row>
    <row r="5316">
      <c r="A5316" s="4">
        <v>5314.0</v>
      </c>
      <c r="B5316" s="5" t="s">
        <v>15949</v>
      </c>
      <c r="C5316" s="4">
        <v>1.0</v>
      </c>
      <c r="D5316" s="5" t="s">
        <v>15950</v>
      </c>
      <c r="E5316" s="5" t="s">
        <v>15951</v>
      </c>
      <c r="F5316" s="6" t="str">
        <f>IFERROR(__xludf.DUMMYFUNCTION("GOOGLETRANSLATE(D5316,""en"",""it"")"),"Mi piacciono le collane, ma non le sciarpe.")</f>
        <v>Mi piacciono le collane, ma non le sciarpe.</v>
      </c>
      <c r="G5316" s="6" t="str">
        <f>IFERROR(__xludf.DUMMYFUNCTION("GOOGLETRANSLATE(E5316,""fr"",""it"")"),"Adoro le collane, ma non le sciarpe.")</f>
        <v>Adoro le collane, ma non le sciarpe.</v>
      </c>
    </row>
    <row r="5317">
      <c r="A5317" s="4">
        <v>5315.0</v>
      </c>
      <c r="B5317" s="5" t="s">
        <v>15952</v>
      </c>
      <c r="C5317" s="4">
        <v>1.0</v>
      </c>
      <c r="D5317" s="5" t="s">
        <v>15953</v>
      </c>
      <c r="E5317" s="5" t="s">
        <v>15954</v>
      </c>
      <c r="F5317" s="6" t="str">
        <f>IFERROR(__xludf.DUMMYFUNCTION("GOOGLETRANSLATE(D5317,""en"",""it"")"),"Mi piacciono le sciarpe, ma non le collane.")</f>
        <v>Mi piacciono le sciarpe, ma non le collane.</v>
      </c>
      <c r="G5317" s="6" t="str">
        <f>IFERROR(__xludf.DUMMYFUNCTION("GOOGLETRANSLATE(E5317,""fr"",""it"")"),"Mi piacciono le sciarpe, ma non le collane.")</f>
        <v>Mi piacciono le sciarpe, ma non le collane.</v>
      </c>
    </row>
    <row r="5318">
      <c r="A5318" s="4">
        <v>5316.0</v>
      </c>
      <c r="B5318" s="5" t="s">
        <v>15955</v>
      </c>
      <c r="C5318" s="4">
        <v>1.0</v>
      </c>
      <c r="D5318" s="5" t="s">
        <v>15956</v>
      </c>
      <c r="E5318" s="5" t="s">
        <v>15957</v>
      </c>
      <c r="F5318" s="6" t="str">
        <f>IFERROR(__xludf.DUMMYFUNCTION("GOOGLETRANSLATE(D5318,""en"",""it"")"),"Mi piacciono le collane, ma non gli occhiali.")</f>
        <v>Mi piacciono le collane, ma non gli occhiali.</v>
      </c>
      <c r="G5318" s="6" t="str">
        <f>IFERROR(__xludf.DUMMYFUNCTION("GOOGLETRANSLATE(E5318,""fr"",""it"")"),"Mi piacciono le collane, ma non gli occhiali.")</f>
        <v>Mi piacciono le collane, ma non gli occhiali.</v>
      </c>
    </row>
    <row r="5319">
      <c r="A5319" s="4">
        <v>5317.0</v>
      </c>
      <c r="B5319" s="5" t="s">
        <v>15958</v>
      </c>
      <c r="C5319" s="4">
        <v>1.0</v>
      </c>
      <c r="D5319" s="5" t="s">
        <v>15959</v>
      </c>
      <c r="E5319" s="5" t="s">
        <v>15960</v>
      </c>
      <c r="F5319" s="6" t="str">
        <f>IFERROR(__xludf.DUMMYFUNCTION("GOOGLETRANSLATE(D5319,""en"",""it"")"),"Mi piacciono gli occhiali, ma non collane.")</f>
        <v>Mi piacciono gli occhiali, ma non collane.</v>
      </c>
      <c r="G5319" s="6" t="str">
        <f>IFERROR(__xludf.DUMMYFUNCTION("GOOGLETRANSLATE(E5319,""fr"",""it"")"),"Amo gli occhiali, ma non le collane.")</f>
        <v>Amo gli occhiali, ma non le collane.</v>
      </c>
    </row>
    <row r="5320">
      <c r="A5320" s="4">
        <v>5318.0</v>
      </c>
      <c r="B5320" s="5" t="s">
        <v>15961</v>
      </c>
      <c r="C5320" s="4">
        <v>1.0</v>
      </c>
      <c r="D5320" s="5" t="s">
        <v>15962</v>
      </c>
      <c r="E5320" s="5" t="s">
        <v>15963</v>
      </c>
      <c r="F5320" s="6" t="str">
        <f>IFERROR(__xludf.DUMMYFUNCTION("GOOGLETRANSLATE(D5320,""en"",""it"")"),"Mi piacciono le collane, ma non le scarpe.")</f>
        <v>Mi piacciono le collane, ma non le scarpe.</v>
      </c>
      <c r="G5320" s="6" t="str">
        <f>IFERROR(__xludf.DUMMYFUNCTION("GOOGLETRANSLATE(E5320,""fr"",""it"")"),"Adoro le collane, ma non le scarpe.")</f>
        <v>Adoro le collane, ma non le scarpe.</v>
      </c>
    </row>
    <row r="5321">
      <c r="A5321" s="4">
        <v>5319.0</v>
      </c>
      <c r="B5321" s="5" t="s">
        <v>15964</v>
      </c>
      <c r="C5321" s="4">
        <v>1.0</v>
      </c>
      <c r="D5321" s="5" t="s">
        <v>15965</v>
      </c>
      <c r="E5321" s="5" t="s">
        <v>15966</v>
      </c>
      <c r="F5321" s="6" t="str">
        <f>IFERROR(__xludf.DUMMYFUNCTION("GOOGLETRANSLATE(D5321,""en"",""it"")"),"Mi piacciono le scarpe, ma non collane.")</f>
        <v>Mi piacciono le scarpe, ma non collane.</v>
      </c>
      <c r="G5321" s="6" t="str">
        <f>IFERROR(__xludf.DUMMYFUNCTION("GOOGLETRANSLATE(E5321,""fr"",""it"")"),"Adoro le scarpe, ma non le collane.")</f>
        <v>Adoro le scarpe, ma non le collane.</v>
      </c>
    </row>
    <row r="5322">
      <c r="A5322" s="4">
        <v>5320.0</v>
      </c>
      <c r="B5322" s="5" t="s">
        <v>15967</v>
      </c>
      <c r="C5322" s="4">
        <v>1.0</v>
      </c>
      <c r="D5322" s="5" t="s">
        <v>15968</v>
      </c>
      <c r="E5322" s="5" t="s">
        <v>15969</v>
      </c>
      <c r="F5322" s="6" t="str">
        <f>IFERROR(__xludf.DUMMYFUNCTION("GOOGLETRANSLATE(D5322,""en"",""it"")"),"Mi piacciono gli orecchini, ma non le borse.")</f>
        <v>Mi piacciono gli orecchini, ma non le borse.</v>
      </c>
      <c r="G5322" s="6" t="str">
        <f>IFERROR(__xludf.DUMMYFUNCTION("GOOGLETRANSLATE(E5322,""fr"",""it"")"),"Mi piacciono gli orecchini, ma non le borse.")</f>
        <v>Mi piacciono gli orecchini, ma non le borse.</v>
      </c>
    </row>
    <row r="5323">
      <c r="A5323" s="4">
        <v>5321.0</v>
      </c>
      <c r="B5323" s="5" t="s">
        <v>15970</v>
      </c>
      <c r="C5323" s="4">
        <v>1.0</v>
      </c>
      <c r="D5323" s="5" t="s">
        <v>15971</v>
      </c>
      <c r="E5323" s="5" t="s">
        <v>15972</v>
      </c>
      <c r="F5323" s="6" t="str">
        <f>IFERROR(__xludf.DUMMYFUNCTION("GOOGLETRANSLATE(D5323,""en"",""it"")"),"Mi piacciono le borse, ma non gli orecchini.")</f>
        <v>Mi piacciono le borse, ma non gli orecchini.</v>
      </c>
      <c r="G5323" s="6" t="str">
        <f>IFERROR(__xludf.DUMMYFUNCTION("GOOGLETRANSLATE(E5323,""fr"",""it"")"),"Mi piacciono le borse, ma non gli orecchini.")</f>
        <v>Mi piacciono le borse, ma non gli orecchini.</v>
      </c>
    </row>
    <row r="5324">
      <c r="A5324" s="4">
        <v>5322.0</v>
      </c>
      <c r="B5324" s="5" t="s">
        <v>15973</v>
      </c>
      <c r="C5324" s="4">
        <v>0.0</v>
      </c>
      <c r="D5324" s="5" t="s">
        <v>15974</v>
      </c>
      <c r="E5324" s="5" t="s">
        <v>15975</v>
      </c>
      <c r="F5324" s="6" t="str">
        <f>IFERROR(__xludf.DUMMYFUNCTION("GOOGLETRANSLATE(D5324,""en"",""it"")"),"Mi piacciono gli orecchini, ma non gioielli.")</f>
        <v>Mi piacciono gli orecchini, ma non gioielli.</v>
      </c>
      <c r="G5324" s="6" t="str">
        <f>IFERROR(__xludf.DUMMYFUNCTION("GOOGLETRANSLATE(E5324,""fr"",""it"")"),"Mi piacciono gli orecchini, ma non gioielli.")</f>
        <v>Mi piacciono gli orecchini, ma non gioielli.</v>
      </c>
    </row>
    <row r="5325">
      <c r="A5325" s="4">
        <v>5323.0</v>
      </c>
      <c r="B5325" s="5" t="s">
        <v>15976</v>
      </c>
      <c r="C5325" s="4">
        <v>1.0</v>
      </c>
      <c r="D5325" s="5" t="s">
        <v>15977</v>
      </c>
      <c r="E5325" s="5" t="s">
        <v>15978</v>
      </c>
      <c r="F5325" s="6" t="str">
        <f>IFERROR(__xludf.DUMMYFUNCTION("GOOGLETRANSLATE(D5325,""en"",""it"")"),"Mi piacciono i gioielli, ma non gli orecchini.")</f>
        <v>Mi piacciono i gioielli, ma non gli orecchini.</v>
      </c>
      <c r="G5325" s="6" t="str">
        <f>IFERROR(__xludf.DUMMYFUNCTION("GOOGLETRANSLATE(E5325,""fr"",""it"")"),"Amo i gioielli, ma non gli orecchini.")</f>
        <v>Amo i gioielli, ma non gli orecchini.</v>
      </c>
    </row>
    <row r="5326">
      <c r="A5326" s="4">
        <v>5324.0</v>
      </c>
      <c r="B5326" s="5" t="s">
        <v>15979</v>
      </c>
      <c r="C5326" s="4">
        <v>1.0</v>
      </c>
      <c r="D5326" s="5" t="s">
        <v>15980</v>
      </c>
      <c r="E5326" s="5" t="s">
        <v>15981</v>
      </c>
      <c r="F5326" s="6" t="str">
        <f>IFERROR(__xludf.DUMMYFUNCTION("GOOGLETRANSLATE(D5326,""en"",""it"")"),"Mi piacciono gli orecchini, ma non le sciarpe.")</f>
        <v>Mi piacciono gli orecchini, ma non le sciarpe.</v>
      </c>
      <c r="G5326" s="6" t="str">
        <f>IFERROR(__xludf.DUMMYFUNCTION("GOOGLETRANSLATE(E5326,""fr"",""it"")"),"Mi piacciono gli orecchini, ma non le sciarpe.")</f>
        <v>Mi piacciono gli orecchini, ma non le sciarpe.</v>
      </c>
    </row>
    <row r="5327">
      <c r="A5327" s="4">
        <v>5325.0</v>
      </c>
      <c r="B5327" s="5" t="s">
        <v>15982</v>
      </c>
      <c r="C5327" s="4">
        <v>1.0</v>
      </c>
      <c r="D5327" s="5" t="s">
        <v>15983</v>
      </c>
      <c r="E5327" s="5" t="s">
        <v>15984</v>
      </c>
      <c r="F5327" s="6" t="str">
        <f>IFERROR(__xludf.DUMMYFUNCTION("GOOGLETRANSLATE(D5327,""en"",""it"")"),"Mi piacciono le sciarpe, ma non gli orecchini.")</f>
        <v>Mi piacciono le sciarpe, ma non gli orecchini.</v>
      </c>
      <c r="G5327" s="6" t="str">
        <f>IFERROR(__xludf.DUMMYFUNCTION("GOOGLETRANSLATE(E5327,""fr"",""it"")"),"Mi piacciono le sciarpe, ma non gli orecchini.")</f>
        <v>Mi piacciono le sciarpe, ma non gli orecchini.</v>
      </c>
    </row>
    <row r="5328">
      <c r="A5328" s="4">
        <v>5326.0</v>
      </c>
      <c r="B5328" s="5" t="s">
        <v>15985</v>
      </c>
      <c r="C5328" s="4">
        <v>1.0</v>
      </c>
      <c r="D5328" s="5" t="s">
        <v>15986</v>
      </c>
      <c r="E5328" s="5" t="s">
        <v>15987</v>
      </c>
      <c r="F5328" s="6" t="str">
        <f>IFERROR(__xludf.DUMMYFUNCTION("GOOGLETRANSLATE(D5328,""en"",""it"")"),"Mi piacciono gli orecchini, ma non gli occhiali.")</f>
        <v>Mi piacciono gli orecchini, ma non gli occhiali.</v>
      </c>
      <c r="G5328" s="6" t="str">
        <f>IFERROR(__xludf.DUMMYFUNCTION("GOOGLETRANSLATE(E5328,""fr"",""it"")"),"Mi piacciono gli orecchini, ma non gli occhiali.")</f>
        <v>Mi piacciono gli orecchini, ma non gli occhiali.</v>
      </c>
    </row>
    <row r="5329">
      <c r="A5329" s="4">
        <v>5327.0</v>
      </c>
      <c r="B5329" s="5" t="s">
        <v>15988</v>
      </c>
      <c r="C5329" s="4">
        <v>1.0</v>
      </c>
      <c r="D5329" s="5" t="s">
        <v>15989</v>
      </c>
      <c r="E5329" s="5" t="s">
        <v>15990</v>
      </c>
      <c r="F5329" s="6" t="str">
        <f>IFERROR(__xludf.DUMMYFUNCTION("GOOGLETRANSLATE(D5329,""en"",""it"")"),"Mi piacciono gli occhiali, ma non gli orecchini.")</f>
        <v>Mi piacciono gli occhiali, ma non gli orecchini.</v>
      </c>
      <c r="G5329" s="6" t="str">
        <f>IFERROR(__xludf.DUMMYFUNCTION("GOOGLETRANSLATE(E5329,""fr"",""it"")"),"Amo gli occhiali, ma non gli orecchini.")</f>
        <v>Amo gli occhiali, ma non gli orecchini.</v>
      </c>
    </row>
    <row r="5330">
      <c r="A5330" s="4">
        <v>5328.0</v>
      </c>
      <c r="B5330" s="5" t="s">
        <v>15991</v>
      </c>
      <c r="C5330" s="4">
        <v>1.0</v>
      </c>
      <c r="D5330" s="5" t="s">
        <v>15992</v>
      </c>
      <c r="E5330" s="5" t="s">
        <v>15993</v>
      </c>
      <c r="F5330" s="6" t="str">
        <f>IFERROR(__xludf.DUMMYFUNCTION("GOOGLETRANSLATE(D5330,""en"",""it"")"),"Mi piacciono gli orecchini, ma non le scarpe.")</f>
        <v>Mi piacciono gli orecchini, ma non le scarpe.</v>
      </c>
      <c r="G5330" s="6" t="str">
        <f>IFERROR(__xludf.DUMMYFUNCTION("GOOGLETRANSLATE(E5330,""fr"",""it"")"),"Mi piacciono gli orecchini, ma non le scarpe.")</f>
        <v>Mi piacciono gli orecchini, ma non le scarpe.</v>
      </c>
    </row>
    <row r="5331">
      <c r="A5331" s="4">
        <v>5329.0</v>
      </c>
      <c r="B5331" s="5" t="s">
        <v>15994</v>
      </c>
      <c r="C5331" s="4">
        <v>1.0</v>
      </c>
      <c r="D5331" s="5" t="s">
        <v>15995</v>
      </c>
      <c r="E5331" s="5" t="s">
        <v>15996</v>
      </c>
      <c r="F5331" s="6" t="str">
        <f>IFERROR(__xludf.DUMMYFUNCTION("GOOGLETRANSLATE(D5331,""en"",""it"")"),"Mi piacciono le scarpe, ma non gli orecchini.")</f>
        <v>Mi piacciono le scarpe, ma non gli orecchini.</v>
      </c>
      <c r="G5331" s="6" t="str">
        <f>IFERROR(__xludf.DUMMYFUNCTION("GOOGLETRANSLATE(E5331,""fr"",""it"")"),"Adoro le scarpe, ma non orecchini.")</f>
        <v>Adoro le scarpe, ma non orecchini.</v>
      </c>
    </row>
    <row r="5332">
      <c r="A5332" s="4">
        <v>5330.0</v>
      </c>
      <c r="B5332" s="5" t="s">
        <v>15997</v>
      </c>
      <c r="C5332" s="4">
        <v>1.0</v>
      </c>
      <c r="D5332" s="5" t="s">
        <v>15998</v>
      </c>
      <c r="E5332" s="5" t="s">
        <v>15999</v>
      </c>
      <c r="F5332" s="6" t="str">
        <f>IFERROR(__xludf.DUMMYFUNCTION("GOOGLETRANSLATE(D5332,""en"",""it"")"),"Mi piacciono gli anelli, ma non le borse.")</f>
        <v>Mi piacciono gli anelli, ma non le borse.</v>
      </c>
      <c r="G5332" s="6" t="str">
        <f>IFERROR(__xludf.DUMMYFUNCTION("GOOGLETRANSLATE(E5332,""fr"",""it"")"),"Amo gli anelli, ma non le borse.")</f>
        <v>Amo gli anelli, ma non le borse.</v>
      </c>
    </row>
    <row r="5333">
      <c r="A5333" s="4">
        <v>5331.0</v>
      </c>
      <c r="B5333" s="5" t="s">
        <v>16000</v>
      </c>
      <c r="C5333" s="4">
        <v>1.0</v>
      </c>
      <c r="D5333" s="5" t="s">
        <v>16001</v>
      </c>
      <c r="E5333" s="5" t="s">
        <v>16002</v>
      </c>
      <c r="F5333" s="6" t="str">
        <f>IFERROR(__xludf.DUMMYFUNCTION("GOOGLETRANSLATE(D5333,""en"",""it"")"),"Mi piacciono le borse, ma non anelli.")</f>
        <v>Mi piacciono le borse, ma non anelli.</v>
      </c>
      <c r="G5333" s="6" t="str">
        <f>IFERROR(__xludf.DUMMYFUNCTION("GOOGLETRANSLATE(E5333,""fr"",""it"")"),"Mi piacciono le borse, ma non gli anelli.")</f>
        <v>Mi piacciono le borse, ma non gli anelli.</v>
      </c>
    </row>
    <row r="5334">
      <c r="A5334" s="4">
        <v>5332.0</v>
      </c>
      <c r="B5334" s="5" t="s">
        <v>16003</v>
      </c>
      <c r="C5334" s="4">
        <v>0.0</v>
      </c>
      <c r="D5334" s="5" t="s">
        <v>16004</v>
      </c>
      <c r="E5334" s="5" t="s">
        <v>16005</v>
      </c>
      <c r="F5334" s="6" t="str">
        <f>IFERROR(__xludf.DUMMYFUNCTION("GOOGLETRANSLATE(D5334,""en"",""it"")"),"Mi piacciono gli anelli, ma non i gioielli.")</f>
        <v>Mi piacciono gli anelli, ma non i gioielli.</v>
      </c>
      <c r="G5334" s="6" t="str">
        <f>IFERROR(__xludf.DUMMYFUNCTION("GOOGLETRANSLATE(E5334,""fr"",""it"")"),"Amo gli anelli, ma non gioielli.")</f>
        <v>Amo gli anelli, ma non gioielli.</v>
      </c>
    </row>
    <row r="5335">
      <c r="A5335" s="4">
        <v>5333.0</v>
      </c>
      <c r="B5335" s="5" t="s">
        <v>16006</v>
      </c>
      <c r="C5335" s="4">
        <v>1.0</v>
      </c>
      <c r="D5335" s="5" t="s">
        <v>16007</v>
      </c>
      <c r="E5335" s="5" t="s">
        <v>16008</v>
      </c>
      <c r="F5335" s="6" t="str">
        <f>IFERROR(__xludf.DUMMYFUNCTION("GOOGLETRANSLATE(D5335,""en"",""it"")"),"Mi piacciono i gioielli, ma non anelli.")</f>
        <v>Mi piacciono i gioielli, ma non anelli.</v>
      </c>
      <c r="G5335" s="6" t="str">
        <f>IFERROR(__xludf.DUMMYFUNCTION("GOOGLETRANSLATE(E5335,""fr"",""it"")"),"Mi piacciono i gioielli, ma non gli anelli.")</f>
        <v>Mi piacciono i gioielli, ma non gli anelli.</v>
      </c>
    </row>
    <row r="5336">
      <c r="A5336" s="4">
        <v>5334.0</v>
      </c>
      <c r="B5336" s="5" t="s">
        <v>16009</v>
      </c>
      <c r="C5336" s="4">
        <v>1.0</v>
      </c>
      <c r="D5336" s="5" t="s">
        <v>16010</v>
      </c>
      <c r="E5336" s="5" t="s">
        <v>16011</v>
      </c>
      <c r="F5336" s="6" t="str">
        <f>IFERROR(__xludf.DUMMYFUNCTION("GOOGLETRANSLATE(D5336,""en"",""it"")"),"Mi piacciono gli anelli, ma non le sciarpe.")</f>
        <v>Mi piacciono gli anelli, ma non le sciarpe.</v>
      </c>
      <c r="G5336" s="6" t="str">
        <f>IFERROR(__xludf.DUMMYFUNCTION("GOOGLETRANSLATE(E5336,""fr"",""it"")"),"Mi piacciono gli anelli, ma non le sciarpe.")</f>
        <v>Mi piacciono gli anelli, ma non le sciarpe.</v>
      </c>
    </row>
    <row r="5337">
      <c r="A5337" s="4">
        <v>5335.0</v>
      </c>
      <c r="B5337" s="5" t="s">
        <v>16012</v>
      </c>
      <c r="C5337" s="4">
        <v>1.0</v>
      </c>
      <c r="D5337" s="5" t="s">
        <v>16013</v>
      </c>
      <c r="E5337" s="5" t="s">
        <v>16014</v>
      </c>
      <c r="F5337" s="6" t="str">
        <f>IFERROR(__xludf.DUMMYFUNCTION("GOOGLETRANSLATE(D5337,""en"",""it"")"),"Mi piacciono le sciarpe, ma non anelli.")</f>
        <v>Mi piacciono le sciarpe, ma non anelli.</v>
      </c>
      <c r="G5337" s="6" t="str">
        <f>IFERROR(__xludf.DUMMYFUNCTION("GOOGLETRANSLATE(E5337,""fr"",""it"")"),"Adoro sciarpe, ma non gli anelli.")</f>
        <v>Adoro sciarpe, ma non gli anelli.</v>
      </c>
    </row>
    <row r="5338">
      <c r="A5338" s="4">
        <v>5336.0</v>
      </c>
      <c r="B5338" s="5" t="s">
        <v>16015</v>
      </c>
      <c r="C5338" s="4">
        <v>1.0</v>
      </c>
      <c r="D5338" s="5" t="s">
        <v>16016</v>
      </c>
      <c r="E5338" s="5" t="s">
        <v>16017</v>
      </c>
      <c r="F5338" s="6" t="str">
        <f>IFERROR(__xludf.DUMMYFUNCTION("GOOGLETRANSLATE(D5338,""en"",""it"")"),"Mi piacciono gli anelli, ma non gli occhiali.")</f>
        <v>Mi piacciono gli anelli, ma non gli occhiali.</v>
      </c>
      <c r="G5338" s="6" t="str">
        <f>IFERROR(__xludf.DUMMYFUNCTION("GOOGLETRANSLATE(E5338,""fr"",""it"")"),"Adoro gli anelli, ma non gli occhiali.")</f>
        <v>Adoro gli anelli, ma non gli occhiali.</v>
      </c>
    </row>
    <row r="5339">
      <c r="A5339" s="4">
        <v>5337.0</v>
      </c>
      <c r="B5339" s="5" t="s">
        <v>16018</v>
      </c>
      <c r="C5339" s="4">
        <v>1.0</v>
      </c>
      <c r="D5339" s="5" t="s">
        <v>16019</v>
      </c>
      <c r="E5339" s="5" t="s">
        <v>16020</v>
      </c>
      <c r="F5339" s="6" t="str">
        <f>IFERROR(__xludf.DUMMYFUNCTION("GOOGLETRANSLATE(D5339,""en"",""it"")"),"Mi piacciono gli occhiali, ma non anelli.")</f>
        <v>Mi piacciono gli occhiali, ma non anelli.</v>
      </c>
      <c r="G5339" s="6" t="str">
        <f>IFERROR(__xludf.DUMMYFUNCTION("GOOGLETRANSLATE(E5339,""fr"",""it"")"),"Amo gli occhiali, ma non gli anelli.")</f>
        <v>Amo gli occhiali, ma non gli anelli.</v>
      </c>
    </row>
    <row r="5340">
      <c r="A5340" s="4">
        <v>5338.0</v>
      </c>
      <c r="B5340" s="5" t="s">
        <v>16021</v>
      </c>
      <c r="C5340" s="4">
        <v>1.0</v>
      </c>
      <c r="D5340" s="5" t="s">
        <v>16022</v>
      </c>
      <c r="E5340" s="5" t="s">
        <v>16023</v>
      </c>
      <c r="F5340" s="6" t="str">
        <f>IFERROR(__xludf.DUMMYFUNCTION("GOOGLETRANSLATE(D5340,""en"",""it"")"),"Mi piacciono gli anelli, ma non le scarpe.")</f>
        <v>Mi piacciono gli anelli, ma non le scarpe.</v>
      </c>
      <c r="G5340" s="6" t="str">
        <f>IFERROR(__xludf.DUMMYFUNCTION("GOOGLETRANSLATE(E5340,""fr"",""it"")"),"Amo gli anelli, ma non le scarpe.")</f>
        <v>Amo gli anelli, ma non le scarpe.</v>
      </c>
    </row>
    <row r="5341">
      <c r="A5341" s="4">
        <v>5339.0</v>
      </c>
      <c r="B5341" s="5" t="s">
        <v>16024</v>
      </c>
      <c r="C5341" s="4">
        <v>1.0</v>
      </c>
      <c r="D5341" s="5" t="s">
        <v>16025</v>
      </c>
      <c r="E5341" s="5" t="s">
        <v>16026</v>
      </c>
      <c r="F5341" s="6" t="str">
        <f>IFERROR(__xludf.DUMMYFUNCTION("GOOGLETRANSLATE(D5341,""en"",""it"")"),"Mi piacciono le scarpe, ma non anelli.")</f>
        <v>Mi piacciono le scarpe, ma non anelli.</v>
      </c>
      <c r="G5341" s="6" t="str">
        <f>IFERROR(__xludf.DUMMYFUNCTION("GOOGLETRANSLATE(E5341,""fr"",""it"")"),"Amo le scarpe, ma non gli anelli.")</f>
        <v>Amo le scarpe, ma non gli anelli.</v>
      </c>
    </row>
    <row r="5342">
      <c r="A5342" s="4">
        <v>5340.0</v>
      </c>
      <c r="B5342" s="5" t="s">
        <v>16027</v>
      </c>
      <c r="C5342" s="4">
        <v>1.0</v>
      </c>
      <c r="D5342" s="5" t="s">
        <v>16028</v>
      </c>
      <c r="E5342" s="5" t="s">
        <v>16029</v>
      </c>
      <c r="F5342" s="6" t="str">
        <f>IFERROR(__xludf.DUMMYFUNCTION("GOOGLETRANSLATE(D5342,""en"",""it"")"),"Mi piacciono i gatti, ma non le giraffe.")</f>
        <v>Mi piacciono i gatti, ma non le giraffe.</v>
      </c>
      <c r="G5342" s="6" t="str">
        <f>IFERROR(__xludf.DUMMYFUNCTION("GOOGLETRANSLATE(E5342,""fr"",""it"")"),"Mi piacciono i gatti, ma non le giraffe.")</f>
        <v>Mi piacciono i gatti, ma non le giraffe.</v>
      </c>
    </row>
    <row r="5343">
      <c r="A5343" s="4">
        <v>5341.0</v>
      </c>
      <c r="B5343" s="5" t="s">
        <v>16030</v>
      </c>
      <c r="C5343" s="4">
        <v>1.0</v>
      </c>
      <c r="D5343" s="5" t="s">
        <v>16031</v>
      </c>
      <c r="E5343" s="5" t="s">
        <v>16032</v>
      </c>
      <c r="F5343" s="6" t="str">
        <f>IFERROR(__xludf.DUMMYFUNCTION("GOOGLETRANSLATE(D5343,""en"",""it"")"),"Mi piacciono le giraffe, ma non i gatti.")</f>
        <v>Mi piacciono le giraffe, ma non i gatti.</v>
      </c>
      <c r="G5343" s="6" t="str">
        <f>IFERROR(__xludf.DUMMYFUNCTION("GOOGLETRANSLATE(E5343,""fr"",""it"")"),"Amo le giraffe, ma non i gatti.")</f>
        <v>Amo le giraffe, ma non i gatti.</v>
      </c>
    </row>
    <row r="5344">
      <c r="A5344" s="4">
        <v>5342.0</v>
      </c>
      <c r="B5344" s="5" t="s">
        <v>16033</v>
      </c>
      <c r="C5344" s="4">
        <v>0.0</v>
      </c>
      <c r="D5344" s="5" t="s">
        <v>16034</v>
      </c>
      <c r="E5344" s="5" t="s">
        <v>16035</v>
      </c>
      <c r="F5344" s="6" t="str">
        <f>IFERROR(__xludf.DUMMYFUNCTION("GOOGLETRANSLATE(D5344,""en"",""it"")"),"Mi piacciono i gatti, ma non gli animali domestici.")</f>
        <v>Mi piacciono i gatti, ma non gli animali domestici.</v>
      </c>
      <c r="G5344" s="6" t="str">
        <f>IFERROR(__xludf.DUMMYFUNCTION("GOOGLETRANSLATE(E5344,""fr"",""it"")"),"Mi piacciono i gatti, ma non gli animali domestici.")</f>
        <v>Mi piacciono i gatti, ma non gli animali domestici.</v>
      </c>
    </row>
    <row r="5345">
      <c r="A5345" s="4">
        <v>5343.0</v>
      </c>
      <c r="B5345" s="5" t="s">
        <v>16036</v>
      </c>
      <c r="C5345" s="4">
        <v>1.0</v>
      </c>
      <c r="D5345" s="5" t="s">
        <v>16037</v>
      </c>
      <c r="E5345" s="5" t="s">
        <v>16038</v>
      </c>
      <c r="F5345" s="6" t="str">
        <f>IFERROR(__xludf.DUMMYFUNCTION("GOOGLETRANSLATE(D5345,""en"",""it"")"),"Mi piacciono gli animali domestici, ma non i gatti.")</f>
        <v>Mi piacciono gli animali domestici, ma non i gatti.</v>
      </c>
      <c r="G5345" s="6" t="str">
        <f>IFERROR(__xludf.DUMMYFUNCTION("GOOGLETRANSLATE(E5345,""fr"",""it"")"),"Amo gli animali domestici, ma non i gatti.")</f>
        <v>Amo gli animali domestici, ma non i gatti.</v>
      </c>
    </row>
    <row r="5346">
      <c r="A5346" s="4">
        <v>5344.0</v>
      </c>
      <c r="B5346" s="5" t="s">
        <v>16039</v>
      </c>
      <c r="C5346" s="4">
        <v>1.0</v>
      </c>
      <c r="D5346" s="5" t="s">
        <v>16040</v>
      </c>
      <c r="E5346" s="5" t="s">
        <v>16041</v>
      </c>
      <c r="F5346" s="6" t="str">
        <f>IFERROR(__xludf.DUMMYFUNCTION("GOOGLETRANSLATE(D5346,""en"",""it"")"),"Mi piacciono gli animali domestici, ma non le giraffe.")</f>
        <v>Mi piacciono gli animali domestici, ma non le giraffe.</v>
      </c>
      <c r="G5346" s="6" t="str">
        <f>IFERROR(__xludf.DUMMYFUNCTION("GOOGLETRANSLATE(E5346,""fr"",""it"")"),"Amo gli animali domestici, ma non le giraffe.")</f>
        <v>Amo gli animali domestici, ma non le giraffe.</v>
      </c>
    </row>
    <row r="5347">
      <c r="A5347" s="4">
        <v>5345.0</v>
      </c>
      <c r="B5347" s="5" t="s">
        <v>16042</v>
      </c>
      <c r="C5347" s="4">
        <v>1.0</v>
      </c>
      <c r="D5347" s="5" t="s">
        <v>16043</v>
      </c>
      <c r="E5347" s="5" t="s">
        <v>16044</v>
      </c>
      <c r="F5347" s="6" t="str">
        <f>IFERROR(__xludf.DUMMYFUNCTION("GOOGLETRANSLATE(D5347,""en"",""it"")"),"Mi piacciono i gatti, ma non gli orsi.")</f>
        <v>Mi piacciono i gatti, ma non gli orsi.</v>
      </c>
      <c r="G5347" s="6" t="str">
        <f>IFERROR(__xludf.DUMMYFUNCTION("GOOGLETRANSLATE(E5347,""fr"",""it"")"),"Mi piacciono i gatti, ma non gli orsi.")</f>
        <v>Mi piacciono i gatti, ma non gli orsi.</v>
      </c>
    </row>
    <row r="5348">
      <c r="A5348" s="4">
        <v>5346.0</v>
      </c>
      <c r="B5348" s="5" t="s">
        <v>16045</v>
      </c>
      <c r="C5348" s="4">
        <v>1.0</v>
      </c>
      <c r="D5348" s="5" t="s">
        <v>16046</v>
      </c>
      <c r="E5348" s="5" t="s">
        <v>16047</v>
      </c>
      <c r="F5348" s="6" t="str">
        <f>IFERROR(__xludf.DUMMYFUNCTION("GOOGLETRANSLATE(D5348,""en"",""it"")"),"Mi piacciono gli orsi, ma non i gatti.")</f>
        <v>Mi piacciono gli orsi, ma non i gatti.</v>
      </c>
      <c r="G5348" s="6" t="str">
        <f>IFERROR(__xludf.DUMMYFUNCTION("GOOGLETRANSLATE(E5348,""fr"",""it"")"),"Amo gli orsi, ma non i gatti.")</f>
        <v>Amo gli orsi, ma non i gatti.</v>
      </c>
    </row>
    <row r="5349">
      <c r="A5349" s="4">
        <v>5347.0</v>
      </c>
      <c r="B5349" s="5" t="s">
        <v>16048</v>
      </c>
      <c r="C5349" s="4">
        <v>1.0</v>
      </c>
      <c r="D5349" s="5" t="s">
        <v>16049</v>
      </c>
      <c r="E5349" s="5" t="s">
        <v>16050</v>
      </c>
      <c r="F5349" s="6" t="str">
        <f>IFERROR(__xludf.DUMMYFUNCTION("GOOGLETRANSLATE(D5349,""en"",""it"")"),"Mi piacciono gli animali domestici, ma non gli orsi.")</f>
        <v>Mi piacciono gli animali domestici, ma non gli orsi.</v>
      </c>
      <c r="G5349" s="6" t="str">
        <f>IFERROR(__xludf.DUMMYFUNCTION("GOOGLETRANSLATE(E5349,""fr"",""it"")"),"Amo gli animali domestici, ma non gli orsi.")</f>
        <v>Amo gli animali domestici, ma non gli orsi.</v>
      </c>
    </row>
    <row r="5350">
      <c r="A5350" s="4">
        <v>5348.0</v>
      </c>
      <c r="B5350" s="5" t="s">
        <v>16051</v>
      </c>
      <c r="C5350" s="4">
        <v>1.0</v>
      </c>
      <c r="D5350" s="5" t="s">
        <v>16052</v>
      </c>
      <c r="E5350" s="5" t="s">
        <v>16053</v>
      </c>
      <c r="F5350" s="6" t="str">
        <f>IFERROR(__xludf.DUMMYFUNCTION("GOOGLETRANSLATE(D5350,""en"",""it"")"),"Mi piacciono i gatti, ma non le meduse.")</f>
        <v>Mi piacciono i gatti, ma non le meduse.</v>
      </c>
      <c r="G5350" s="6" t="str">
        <f>IFERROR(__xludf.DUMMYFUNCTION("GOOGLETRANSLATE(E5350,""fr"",""it"")"),"Mi piacciono i gatti, ma non la medusa.")</f>
        <v>Mi piacciono i gatti, ma non la medusa.</v>
      </c>
    </row>
    <row r="5351">
      <c r="A5351" s="4">
        <v>5349.0</v>
      </c>
      <c r="B5351" s="5" t="s">
        <v>16054</v>
      </c>
      <c r="C5351" s="4">
        <v>1.0</v>
      </c>
      <c r="D5351" s="5" t="s">
        <v>16055</v>
      </c>
      <c r="E5351" s="5" t="s">
        <v>16056</v>
      </c>
      <c r="F5351" s="6" t="str">
        <f>IFERROR(__xludf.DUMMYFUNCTION("GOOGLETRANSLATE(D5351,""en"",""it"")"),"Mi piacciono le meduse, ma non i gatti.")</f>
        <v>Mi piacciono le meduse, ma non i gatti.</v>
      </c>
      <c r="G5351" s="6" t="str">
        <f>IFERROR(__xludf.DUMMYFUNCTION("GOOGLETRANSLATE(E5351,""fr"",""it"")"),"Adoro la medusa, ma non i gatti.")</f>
        <v>Adoro la medusa, ma non i gatti.</v>
      </c>
    </row>
    <row r="5352">
      <c r="A5352" s="4">
        <v>5350.0</v>
      </c>
      <c r="B5352" s="5" t="s">
        <v>16057</v>
      </c>
      <c r="C5352" s="4">
        <v>1.0</v>
      </c>
      <c r="D5352" s="5" t="s">
        <v>16058</v>
      </c>
      <c r="E5352" s="5" t="s">
        <v>16059</v>
      </c>
      <c r="F5352" s="6" t="str">
        <f>IFERROR(__xludf.DUMMYFUNCTION("GOOGLETRANSLATE(D5352,""en"",""it"")"),"Mi piacciono gli animali domestici, ma non meduse.")</f>
        <v>Mi piacciono gli animali domestici, ma non meduse.</v>
      </c>
      <c r="G5352" s="6" t="str">
        <f>IFERROR(__xludf.DUMMYFUNCTION("GOOGLETRANSLATE(E5352,""fr"",""it"")"),"Amo gli animali domestici, ma non la medusa.")</f>
        <v>Amo gli animali domestici, ma non la medusa.</v>
      </c>
    </row>
    <row r="5353">
      <c r="A5353" s="4">
        <v>5351.0</v>
      </c>
      <c r="B5353" s="5" t="s">
        <v>16060</v>
      </c>
      <c r="C5353" s="4">
        <v>1.0</v>
      </c>
      <c r="D5353" s="5" t="s">
        <v>16061</v>
      </c>
      <c r="E5353" s="5" t="s">
        <v>16062</v>
      </c>
      <c r="F5353" s="6" t="str">
        <f>IFERROR(__xludf.DUMMYFUNCTION("GOOGLETRANSLATE(D5353,""en"",""it"")"),"Mi piacciono i gatti, ma non le balene.")</f>
        <v>Mi piacciono i gatti, ma non le balene.</v>
      </c>
      <c r="G5353" s="6" t="str">
        <f>IFERROR(__xludf.DUMMYFUNCTION("GOOGLETRANSLATE(E5353,""fr"",""it"")"),"Mi piacciono i gatti, ma non le balene.")</f>
        <v>Mi piacciono i gatti, ma non le balene.</v>
      </c>
    </row>
    <row r="5354">
      <c r="A5354" s="4">
        <v>5352.0</v>
      </c>
      <c r="B5354" s="5" t="s">
        <v>16063</v>
      </c>
      <c r="C5354" s="4">
        <v>1.0</v>
      </c>
      <c r="D5354" s="5" t="s">
        <v>16064</v>
      </c>
      <c r="E5354" s="5" t="s">
        <v>16065</v>
      </c>
      <c r="F5354" s="6" t="str">
        <f>IFERROR(__xludf.DUMMYFUNCTION("GOOGLETRANSLATE(D5354,""en"",""it"")"),"Mi piacciono le balene, ma non i gatti.")</f>
        <v>Mi piacciono le balene, ma non i gatti.</v>
      </c>
      <c r="G5354" s="6" t="str">
        <f>IFERROR(__xludf.DUMMYFUNCTION("GOOGLETRANSLATE(E5354,""fr"",""it"")"),"Mi piacciono le balene, ma non i gatti.")</f>
        <v>Mi piacciono le balene, ma non i gatti.</v>
      </c>
    </row>
    <row r="5355">
      <c r="A5355" s="4">
        <v>5353.0</v>
      </c>
      <c r="B5355" s="5" t="s">
        <v>16066</v>
      </c>
      <c r="C5355" s="4">
        <v>0.0</v>
      </c>
      <c r="D5355" s="5" t="s">
        <v>16067</v>
      </c>
      <c r="E5355" s="5" t="s">
        <v>16068</v>
      </c>
      <c r="F5355" s="6" t="str">
        <f>IFERROR(__xludf.DUMMYFUNCTION("GOOGLETRANSLATE(D5355,""en"",""it"")"),"Mi piace Kawasakis, tranne le navi.")</f>
        <v>Mi piace Kawasakis, tranne le navi.</v>
      </c>
      <c r="G5355" s="6" t="str">
        <f>IFERROR(__xludf.DUMMYFUNCTION("GOOGLETRANSLATE(E5355,""fr"",""it"")"),"Mi piace Kawasakis, tranne le navi.")</f>
        <v>Mi piace Kawasakis, tranne le navi.</v>
      </c>
    </row>
    <row r="5356">
      <c r="A5356" s="4">
        <v>5354.0</v>
      </c>
      <c r="B5356" s="5" t="s">
        <v>16069</v>
      </c>
      <c r="C5356" s="4">
        <v>1.0</v>
      </c>
      <c r="D5356" s="5" t="s">
        <v>16070</v>
      </c>
      <c r="E5356" s="5" t="s">
        <v>16071</v>
      </c>
      <c r="F5356" s="6" t="str">
        <f>IFERROR(__xludf.DUMMYFUNCTION("GOOGLETRANSLATE(D5356,""en"",""it"")"),"Mi piacciono gli animali domestici, ma non le balene.")</f>
        <v>Mi piacciono gli animali domestici, ma non le balene.</v>
      </c>
      <c r="G5356" s="6" t="str">
        <f>IFERROR(__xludf.DUMMYFUNCTION("GOOGLETRANSLATE(E5356,""fr"",""it"")"),"Amo gli animali domestici, ma non le balene.")</f>
        <v>Amo gli animali domestici, ma non le balene.</v>
      </c>
    </row>
    <row r="5357">
      <c r="A5357" s="4">
        <v>5355.0</v>
      </c>
      <c r="B5357" s="5" t="s">
        <v>16072</v>
      </c>
      <c r="C5357" s="4">
        <v>1.0</v>
      </c>
      <c r="D5357" s="5" t="s">
        <v>16073</v>
      </c>
      <c r="E5357" s="5" t="s">
        <v>16074</v>
      </c>
      <c r="F5357" s="6" t="str">
        <f>IFERROR(__xludf.DUMMYFUNCTION("GOOGLETRANSLATE(D5357,""en"",""it"")"),"Mi piacciono i cani, ma non le giraffe.")</f>
        <v>Mi piacciono i cani, ma non le giraffe.</v>
      </c>
      <c r="G5357" s="6" t="str">
        <f>IFERROR(__xludf.DUMMYFUNCTION("GOOGLETRANSLATE(E5357,""fr"",""it"")"),"Amo i cani, ma non le giraffe.")</f>
        <v>Amo i cani, ma non le giraffe.</v>
      </c>
    </row>
    <row r="5358">
      <c r="A5358" s="4">
        <v>5356.0</v>
      </c>
      <c r="B5358" s="5" t="s">
        <v>16075</v>
      </c>
      <c r="C5358" s="4">
        <v>1.0</v>
      </c>
      <c r="D5358" s="5" t="s">
        <v>16076</v>
      </c>
      <c r="E5358" s="5" t="s">
        <v>16077</v>
      </c>
      <c r="F5358" s="6" t="str">
        <f>IFERROR(__xludf.DUMMYFUNCTION("GOOGLETRANSLATE(D5358,""en"",""it"")"),"Mi piacciono le giraffe, ma non i cani.")</f>
        <v>Mi piacciono le giraffe, ma non i cani.</v>
      </c>
      <c r="G5358" s="6" t="str">
        <f>IFERROR(__xludf.DUMMYFUNCTION("GOOGLETRANSLATE(E5358,""fr"",""it"")"),"Amo le giraffe, ma non i cani.")</f>
        <v>Amo le giraffe, ma non i cani.</v>
      </c>
    </row>
    <row r="5359">
      <c r="A5359" s="4">
        <v>5357.0</v>
      </c>
      <c r="B5359" s="5" t="s">
        <v>16078</v>
      </c>
      <c r="C5359" s="4">
        <v>0.0</v>
      </c>
      <c r="D5359" s="5" t="s">
        <v>16079</v>
      </c>
      <c r="E5359" s="5" t="s">
        <v>16080</v>
      </c>
      <c r="F5359" s="6" t="str">
        <f>IFERROR(__xludf.DUMMYFUNCTION("GOOGLETRANSLATE(D5359,""en"",""it"")"),"Mi piacciono i cani, ma non gli animali domestici.")</f>
        <v>Mi piacciono i cani, ma non gli animali domestici.</v>
      </c>
      <c r="G5359" s="6" t="str">
        <f>IFERROR(__xludf.DUMMYFUNCTION("GOOGLETRANSLATE(E5359,""fr"",""it"")"),"Mi piacciono i cani, ma non gli animali domestici.")</f>
        <v>Mi piacciono i cani, ma non gli animali domestici.</v>
      </c>
    </row>
    <row r="5360">
      <c r="A5360" s="4">
        <v>5358.0</v>
      </c>
      <c r="B5360" s="5" t="s">
        <v>16081</v>
      </c>
      <c r="C5360" s="4">
        <v>1.0</v>
      </c>
      <c r="D5360" s="5" t="s">
        <v>16082</v>
      </c>
      <c r="E5360" s="5" t="s">
        <v>16083</v>
      </c>
      <c r="F5360" s="6" t="str">
        <f>IFERROR(__xludf.DUMMYFUNCTION("GOOGLETRANSLATE(D5360,""en"",""it"")"),"Mi piacciono gli animali domestici, ma non i cani.")</f>
        <v>Mi piacciono gli animali domestici, ma non i cani.</v>
      </c>
      <c r="G5360" s="6" t="str">
        <f>IFERROR(__xludf.DUMMYFUNCTION("GOOGLETRANSLATE(E5360,""fr"",""it"")"),"Amo gli animali domestici, ma non cani.")</f>
        <v>Amo gli animali domestici, ma non cani.</v>
      </c>
    </row>
    <row r="5361">
      <c r="A5361" s="4">
        <v>5359.0</v>
      </c>
      <c r="B5361" s="5" t="s">
        <v>16084</v>
      </c>
      <c r="C5361" s="4">
        <v>1.0</v>
      </c>
      <c r="D5361" s="5" t="s">
        <v>16085</v>
      </c>
      <c r="E5361" s="5" t="s">
        <v>16086</v>
      </c>
      <c r="F5361" s="6" t="str">
        <f>IFERROR(__xludf.DUMMYFUNCTION("GOOGLETRANSLATE(D5361,""en"",""it"")"),"Mi piacciono i cani, ma non gli orsi.")</f>
        <v>Mi piacciono i cani, ma non gli orsi.</v>
      </c>
      <c r="G5361" s="6" t="str">
        <f>IFERROR(__xludf.DUMMYFUNCTION("GOOGLETRANSLATE(E5361,""fr"",""it"")"),"Mi piacciono i cani, ma non gli orsi.")</f>
        <v>Mi piacciono i cani, ma non gli orsi.</v>
      </c>
    </row>
    <row r="5362">
      <c r="A5362" s="4">
        <v>5360.0</v>
      </c>
      <c r="B5362" s="5" t="s">
        <v>16087</v>
      </c>
      <c r="C5362" s="4">
        <v>1.0</v>
      </c>
      <c r="D5362" s="5" t="s">
        <v>16088</v>
      </c>
      <c r="E5362" s="5" t="s">
        <v>16089</v>
      </c>
      <c r="F5362" s="6" t="str">
        <f>IFERROR(__xludf.DUMMYFUNCTION("GOOGLETRANSLATE(D5362,""en"",""it"")"),"Mi piacciono gli orsi, ma non i cani.")</f>
        <v>Mi piacciono gli orsi, ma non i cani.</v>
      </c>
      <c r="G5362" s="6" t="str">
        <f>IFERROR(__xludf.DUMMYFUNCTION("GOOGLETRANSLATE(E5362,""fr"",""it"")"),"Amo gli orsi, ma non i cani.")</f>
        <v>Amo gli orsi, ma non i cani.</v>
      </c>
    </row>
    <row r="5363">
      <c r="A5363" s="4">
        <v>5361.0</v>
      </c>
      <c r="B5363" s="5" t="s">
        <v>16090</v>
      </c>
      <c r="C5363" s="4">
        <v>0.0</v>
      </c>
      <c r="D5363" s="5" t="s">
        <v>16091</v>
      </c>
      <c r="E5363" s="5" t="s">
        <v>16092</v>
      </c>
      <c r="F5363" s="6" t="str">
        <f>IFERROR(__xludf.DUMMYFUNCTION("GOOGLETRANSLATE(D5363,""en"",""it"")"),"Mi piacciono le navi, tranne Kawasakis.")</f>
        <v>Mi piacciono le navi, tranne Kawasakis.</v>
      </c>
      <c r="G5363" s="6" t="str">
        <f>IFERROR(__xludf.DUMMYFUNCTION("GOOGLETRANSLATE(E5363,""fr"",""it"")"),"Mi piacciono le navi, tranne Kawasakis.")</f>
        <v>Mi piacciono le navi, tranne Kawasakis.</v>
      </c>
    </row>
    <row r="5364">
      <c r="A5364" s="4">
        <v>5362.0</v>
      </c>
      <c r="B5364" s="5" t="s">
        <v>16093</v>
      </c>
      <c r="C5364" s="4">
        <v>1.0</v>
      </c>
      <c r="D5364" s="5" t="s">
        <v>16094</v>
      </c>
      <c r="E5364" s="5" t="s">
        <v>16095</v>
      </c>
      <c r="F5364" s="6" t="str">
        <f>IFERROR(__xludf.DUMMYFUNCTION("GOOGLETRANSLATE(D5364,""en"",""it"")"),"Mi piacciono i cani, ma non le meduse.")</f>
        <v>Mi piacciono i cani, ma non le meduse.</v>
      </c>
      <c r="G5364" s="6" t="str">
        <f>IFERROR(__xludf.DUMMYFUNCTION("GOOGLETRANSLATE(E5364,""fr"",""it"")"),"Mi piacciono i cani, ma non la medusa.")</f>
        <v>Mi piacciono i cani, ma non la medusa.</v>
      </c>
    </row>
    <row r="5365">
      <c r="A5365" s="4">
        <v>5363.0</v>
      </c>
      <c r="B5365" s="5" t="s">
        <v>16096</v>
      </c>
      <c r="C5365" s="4">
        <v>1.0</v>
      </c>
      <c r="D5365" s="5" t="s">
        <v>16097</v>
      </c>
      <c r="E5365" s="5" t="s">
        <v>16098</v>
      </c>
      <c r="F5365" s="6" t="str">
        <f>IFERROR(__xludf.DUMMYFUNCTION("GOOGLETRANSLATE(D5365,""en"",""it"")"),"Mi piacciono le meduse, ma non i cani.")</f>
        <v>Mi piacciono le meduse, ma non i cani.</v>
      </c>
      <c r="G5365" s="6" t="str">
        <f>IFERROR(__xludf.DUMMYFUNCTION("GOOGLETRANSLATE(E5365,""fr"",""it"")"),"Amo medisce, ma non cani.")</f>
        <v>Amo medisce, ma non cani.</v>
      </c>
    </row>
    <row r="5366">
      <c r="A5366" s="4">
        <v>5364.0</v>
      </c>
      <c r="B5366" s="5" t="s">
        <v>16099</v>
      </c>
      <c r="C5366" s="4">
        <v>1.0</v>
      </c>
      <c r="D5366" s="5" t="s">
        <v>16100</v>
      </c>
      <c r="E5366" s="5" t="s">
        <v>16101</v>
      </c>
      <c r="F5366" s="6" t="str">
        <f>IFERROR(__xludf.DUMMYFUNCTION("GOOGLETRANSLATE(D5366,""en"",""it"")"),"Mi piacciono i cani, ma non le balene.")</f>
        <v>Mi piacciono i cani, ma non le balene.</v>
      </c>
      <c r="G5366" s="6" t="str">
        <f>IFERROR(__xludf.DUMMYFUNCTION("GOOGLETRANSLATE(E5366,""fr"",""it"")"),"Amo i cani, ma non le balene.")</f>
        <v>Amo i cani, ma non le balene.</v>
      </c>
    </row>
    <row r="5367">
      <c r="A5367" s="4">
        <v>5365.0</v>
      </c>
      <c r="B5367" s="5" t="s">
        <v>16102</v>
      </c>
      <c r="C5367" s="4">
        <v>1.0</v>
      </c>
      <c r="D5367" s="5" t="s">
        <v>16103</v>
      </c>
      <c r="E5367" s="5" t="s">
        <v>16104</v>
      </c>
      <c r="F5367" s="6" t="str">
        <f>IFERROR(__xludf.DUMMYFUNCTION("GOOGLETRANSLATE(D5367,""en"",""it"")"),"Mi piacciono le balene, ma non i cani.")</f>
        <v>Mi piacciono le balene, ma non i cani.</v>
      </c>
      <c r="G5367" s="6" t="str">
        <f>IFERROR(__xludf.DUMMYFUNCTION("GOOGLETRANSLATE(E5367,""fr"",""it"")"),"Amo le balene, ma non i cani.")</f>
        <v>Amo le balene, ma non i cani.</v>
      </c>
    </row>
    <row r="5368">
      <c r="A5368" s="4">
        <v>5366.0</v>
      </c>
      <c r="B5368" s="5" t="s">
        <v>16105</v>
      </c>
      <c r="C5368" s="4">
        <v>0.0</v>
      </c>
      <c r="D5368" s="5" t="s">
        <v>16106</v>
      </c>
      <c r="E5368" s="5" t="s">
        <v>16107</v>
      </c>
      <c r="F5368" s="6" t="str">
        <f>IFERROR(__xludf.DUMMYFUNCTION("GOOGLETRANSLATE(D5368,""en"",""it"")"),"Mi piace Kawasakis, tranne i motocicli.")</f>
        <v>Mi piace Kawasakis, tranne i motocicli.</v>
      </c>
      <c r="G5368" s="6" t="str">
        <f>IFERROR(__xludf.DUMMYFUNCTION("GOOGLETRANSLATE(E5368,""fr"",""it"")"),"Mi piace Kawasakis, tranne i motocicli.")</f>
        <v>Mi piace Kawasakis, tranne i motocicli.</v>
      </c>
    </row>
    <row r="5369">
      <c r="A5369" s="4">
        <v>5367.0</v>
      </c>
      <c r="B5369" s="5" t="s">
        <v>16108</v>
      </c>
      <c r="C5369" s="4">
        <v>1.0</v>
      </c>
      <c r="D5369" s="5" t="s">
        <v>16109</v>
      </c>
      <c r="E5369" s="5" t="s">
        <v>16110</v>
      </c>
      <c r="F5369" s="6" t="str">
        <f>IFERROR(__xludf.DUMMYFUNCTION("GOOGLETRANSLATE(D5369,""en"",""it"")"),"Mi piacciono i conigli, ma non le giraffe.")</f>
        <v>Mi piacciono i conigli, ma non le giraffe.</v>
      </c>
      <c r="G5369" s="6" t="str">
        <f>IFERROR(__xludf.DUMMYFUNCTION("GOOGLETRANSLATE(E5369,""fr"",""it"")"),"Amo i conigli, ma non le giraffe.")</f>
        <v>Amo i conigli, ma non le giraffe.</v>
      </c>
    </row>
    <row r="5370">
      <c r="A5370" s="4">
        <v>5368.0</v>
      </c>
      <c r="B5370" s="5" t="s">
        <v>16111</v>
      </c>
      <c r="C5370" s="4">
        <v>1.0</v>
      </c>
      <c r="D5370" s="5" t="s">
        <v>16112</v>
      </c>
      <c r="E5370" s="5" t="s">
        <v>16113</v>
      </c>
      <c r="F5370" s="6" t="str">
        <f>IFERROR(__xludf.DUMMYFUNCTION("GOOGLETRANSLATE(D5370,""en"",""it"")"),"Mi piacciono le giraffe, ma non i conigli.")</f>
        <v>Mi piacciono le giraffe, ma non i conigli.</v>
      </c>
      <c r="G5370" s="6" t="str">
        <f>IFERROR(__xludf.DUMMYFUNCTION("GOOGLETRANSLATE(E5370,""fr"",""it"")"),"Mi piacciono le giraffe, ma non i conigli.")</f>
        <v>Mi piacciono le giraffe, ma non i conigli.</v>
      </c>
    </row>
    <row r="5371">
      <c r="A5371" s="4">
        <v>5369.0</v>
      </c>
      <c r="B5371" s="5" t="s">
        <v>16114</v>
      </c>
      <c r="C5371" s="4">
        <v>0.0</v>
      </c>
      <c r="D5371" s="5" t="s">
        <v>16115</v>
      </c>
      <c r="E5371" s="5" t="s">
        <v>16116</v>
      </c>
      <c r="F5371" s="6" t="str">
        <f>IFERROR(__xludf.DUMMYFUNCTION("GOOGLETRANSLATE(D5371,""en"",""it"")"),"Mi piacciono i conigli, ma non gli animali domestici.")</f>
        <v>Mi piacciono i conigli, ma non gli animali domestici.</v>
      </c>
      <c r="G5371" s="6" t="str">
        <f>IFERROR(__xludf.DUMMYFUNCTION("GOOGLETRANSLATE(E5371,""fr"",""it"")"),"Amo i conigli, ma non gli animali domestici.")</f>
        <v>Amo i conigli, ma non gli animali domestici.</v>
      </c>
    </row>
    <row r="5372">
      <c r="A5372" s="4">
        <v>5370.0</v>
      </c>
      <c r="B5372" s="5" t="s">
        <v>16117</v>
      </c>
      <c r="C5372" s="4">
        <v>1.0</v>
      </c>
      <c r="D5372" s="5" t="s">
        <v>16118</v>
      </c>
      <c r="E5372" s="5" t="s">
        <v>16119</v>
      </c>
      <c r="F5372" s="6" t="str">
        <f>IFERROR(__xludf.DUMMYFUNCTION("GOOGLETRANSLATE(D5372,""en"",""it"")"),"Mi piacciono gli animali domestici, ma non i conigli.")</f>
        <v>Mi piacciono gli animali domestici, ma non i conigli.</v>
      </c>
      <c r="G5372" s="6" t="str">
        <f>IFERROR(__xludf.DUMMYFUNCTION("GOOGLETRANSLATE(E5372,""fr"",""it"")"),"Amo gli animali domestici, ma non conigli.")</f>
        <v>Amo gli animali domestici, ma non conigli.</v>
      </c>
    </row>
    <row r="5373">
      <c r="A5373" s="4">
        <v>5371.0</v>
      </c>
      <c r="B5373" s="5" t="s">
        <v>16120</v>
      </c>
      <c r="C5373" s="4">
        <v>1.0</v>
      </c>
      <c r="D5373" s="5" t="s">
        <v>16121</v>
      </c>
      <c r="E5373" s="5" t="s">
        <v>16122</v>
      </c>
      <c r="F5373" s="6" t="str">
        <f>IFERROR(__xludf.DUMMYFUNCTION("GOOGLETRANSLATE(D5373,""en"",""it"")"),"Mi piacciono i conigli, ma non gli orsi.")</f>
        <v>Mi piacciono i conigli, ma non gli orsi.</v>
      </c>
      <c r="G5373" s="6" t="str">
        <f>IFERROR(__xludf.DUMMYFUNCTION("GOOGLETRANSLATE(E5373,""fr"",""it"")"),"Amo i conigli, ma non gli orsi.")</f>
        <v>Amo i conigli, ma non gli orsi.</v>
      </c>
    </row>
    <row r="5374">
      <c r="A5374" s="4">
        <v>5372.0</v>
      </c>
      <c r="B5374" s="5" t="s">
        <v>16123</v>
      </c>
      <c r="C5374" s="4">
        <v>1.0</v>
      </c>
      <c r="D5374" s="5" t="s">
        <v>16124</v>
      </c>
      <c r="E5374" s="5" t="s">
        <v>16125</v>
      </c>
      <c r="F5374" s="6" t="str">
        <f>IFERROR(__xludf.DUMMYFUNCTION("GOOGLETRANSLATE(D5374,""en"",""it"")"),"Mi piacciono gli orsi, ma non i conigli.")</f>
        <v>Mi piacciono gli orsi, ma non i conigli.</v>
      </c>
      <c r="G5374" s="6" t="str">
        <f>IFERROR(__xludf.DUMMYFUNCTION("GOOGLETRANSLATE(E5374,""fr"",""it"")"),"Amo gli orsi, ma non i conigli.")</f>
        <v>Amo gli orsi, ma non i conigli.</v>
      </c>
    </row>
    <row r="5375">
      <c r="A5375" s="4">
        <v>5373.0</v>
      </c>
      <c r="B5375" s="5" t="s">
        <v>16126</v>
      </c>
      <c r="C5375" s="4">
        <v>1.0</v>
      </c>
      <c r="D5375" s="5" t="s">
        <v>16127</v>
      </c>
      <c r="E5375" s="5" t="s">
        <v>16128</v>
      </c>
      <c r="F5375" s="6" t="str">
        <f>IFERROR(__xludf.DUMMYFUNCTION("GOOGLETRANSLATE(D5375,""en"",""it"")"),"Mi piacciono i conigli, ma non le meduse.")</f>
        <v>Mi piacciono i conigli, ma non le meduse.</v>
      </c>
      <c r="G5375" s="6" t="str">
        <f>IFERROR(__xludf.DUMMYFUNCTION("GOOGLETRANSLATE(E5375,""fr"",""it"")"),"Amo i conigli, ma non la medusa.")</f>
        <v>Amo i conigli, ma non la medusa.</v>
      </c>
    </row>
    <row r="5376">
      <c r="A5376" s="4">
        <v>5374.0</v>
      </c>
      <c r="B5376" s="5" t="s">
        <v>16129</v>
      </c>
      <c r="C5376" s="4">
        <v>1.0</v>
      </c>
      <c r="D5376" s="5" t="s">
        <v>16130</v>
      </c>
      <c r="E5376" s="5" t="s">
        <v>16131</v>
      </c>
      <c r="F5376" s="6" t="str">
        <f>IFERROR(__xludf.DUMMYFUNCTION("GOOGLETRANSLATE(D5376,""en"",""it"")"),"Mi piacciono le meduse, ma non i conigli.")</f>
        <v>Mi piacciono le meduse, ma non i conigli.</v>
      </c>
      <c r="G5376" s="6" t="str">
        <f>IFERROR(__xludf.DUMMYFUNCTION("GOOGLETRANSLATE(E5376,""fr"",""it"")"),"Adoro meduse, ma non conigli.")</f>
        <v>Adoro meduse, ma non conigli.</v>
      </c>
    </row>
    <row r="5377">
      <c r="A5377" s="4">
        <v>5375.0</v>
      </c>
      <c r="B5377" s="5" t="s">
        <v>16132</v>
      </c>
      <c r="C5377" s="4">
        <v>1.0</v>
      </c>
      <c r="D5377" s="5" t="s">
        <v>16133</v>
      </c>
      <c r="E5377" s="5" t="s">
        <v>16134</v>
      </c>
      <c r="F5377" s="6" t="str">
        <f>IFERROR(__xludf.DUMMYFUNCTION("GOOGLETRANSLATE(D5377,""en"",""it"")"),"Mi piacciono i conigli, ma non le balene.")</f>
        <v>Mi piacciono i conigli, ma non le balene.</v>
      </c>
      <c r="G5377" s="6" t="str">
        <f>IFERROR(__xludf.DUMMYFUNCTION("GOOGLETRANSLATE(E5377,""fr"",""it"")"),"Amo i conigli, ma non le balene.")</f>
        <v>Amo i conigli, ma non le balene.</v>
      </c>
    </row>
    <row r="5378">
      <c r="A5378" s="4">
        <v>5376.0</v>
      </c>
      <c r="B5378" s="5" t="s">
        <v>16135</v>
      </c>
      <c r="C5378" s="4">
        <v>1.0</v>
      </c>
      <c r="D5378" s="5" t="s">
        <v>16136</v>
      </c>
      <c r="E5378" s="5" t="s">
        <v>16137</v>
      </c>
      <c r="F5378" s="6" t="str">
        <f>IFERROR(__xludf.DUMMYFUNCTION("GOOGLETRANSLATE(D5378,""en"",""it"")"),"Mi piacciono le balene, ma non i conigli.")</f>
        <v>Mi piacciono le balene, ma non i conigli.</v>
      </c>
      <c r="G5378" s="6" t="str">
        <f>IFERROR(__xludf.DUMMYFUNCTION("GOOGLETRANSLATE(E5378,""fr"",""it"")"),"Mi piacciono le balene, ma non i conigli.")</f>
        <v>Mi piacciono le balene, ma non i conigli.</v>
      </c>
    </row>
    <row r="5379">
      <c r="A5379" s="4">
        <v>5377.0</v>
      </c>
      <c r="B5379" s="5" t="s">
        <v>16138</v>
      </c>
      <c r="C5379" s="4">
        <v>1.0</v>
      </c>
      <c r="D5379" s="5" t="s">
        <v>16139</v>
      </c>
      <c r="E5379" s="5" t="s">
        <v>16140</v>
      </c>
      <c r="F5379" s="6" t="str">
        <f>IFERROR(__xludf.DUMMYFUNCTION("GOOGLETRANSLATE(D5379,""en"",""it"")"),"Mi piacciono i criceti, ma non le giraffe.")</f>
        <v>Mi piacciono i criceti, ma non le giraffe.</v>
      </c>
      <c r="G5379" s="6" t="str">
        <f>IFERROR(__xludf.DUMMYFUNCTION("GOOGLETRANSLATE(E5379,""fr"",""it"")"),"Amo i criceti, ma non le giraffe.")</f>
        <v>Amo i criceti, ma non le giraffe.</v>
      </c>
    </row>
    <row r="5380">
      <c r="A5380" s="4">
        <v>5378.0</v>
      </c>
      <c r="B5380" s="5" t="s">
        <v>16141</v>
      </c>
      <c r="C5380" s="4">
        <v>1.0</v>
      </c>
      <c r="D5380" s="5" t="s">
        <v>16142</v>
      </c>
      <c r="E5380" s="5" t="s">
        <v>16143</v>
      </c>
      <c r="F5380" s="6" t="str">
        <f>IFERROR(__xludf.DUMMYFUNCTION("GOOGLETRANSLATE(D5380,""en"",""it"")"),"Mi piacciono le giraffe, ma non i criceti.")</f>
        <v>Mi piacciono le giraffe, ma non i criceti.</v>
      </c>
      <c r="G5380" s="6" t="str">
        <f>IFERROR(__xludf.DUMMYFUNCTION("GOOGLETRANSLATE(E5380,""fr"",""it"")"),"Amo le giraffe, ma non i criceti.")</f>
        <v>Amo le giraffe, ma non i criceti.</v>
      </c>
    </row>
    <row r="5381">
      <c r="A5381" s="4">
        <v>5379.0</v>
      </c>
      <c r="B5381" s="5" t="s">
        <v>16144</v>
      </c>
      <c r="C5381" s="4">
        <v>0.0</v>
      </c>
      <c r="D5381" s="5" t="s">
        <v>16145</v>
      </c>
      <c r="E5381" s="5" t="s">
        <v>16146</v>
      </c>
      <c r="F5381" s="6" t="str">
        <f>IFERROR(__xludf.DUMMYFUNCTION("GOOGLETRANSLATE(D5381,""en"",""it"")"),"Mi piacciono i criceti, ma non gli animali domestici.")</f>
        <v>Mi piacciono i criceti, ma non gli animali domestici.</v>
      </c>
      <c r="G5381" s="6" t="str">
        <f>IFERROR(__xludf.DUMMYFUNCTION("GOOGLETRANSLATE(E5381,""fr"",""it"")"),"Amo i criceti, ma non gli animali domestici.")</f>
        <v>Amo i criceti, ma non gli animali domestici.</v>
      </c>
    </row>
    <row r="5382">
      <c r="A5382" s="4">
        <v>5380.0</v>
      </c>
      <c r="B5382" s="5" t="s">
        <v>16147</v>
      </c>
      <c r="C5382" s="4">
        <v>1.0</v>
      </c>
      <c r="D5382" s="5" t="s">
        <v>16148</v>
      </c>
      <c r="E5382" s="5" t="s">
        <v>16149</v>
      </c>
      <c r="F5382" s="6" t="str">
        <f>IFERROR(__xludf.DUMMYFUNCTION("GOOGLETRANSLATE(D5382,""en"",""it"")"),"Mi piacciono gli animali domestici, ma non i criceti.")</f>
        <v>Mi piacciono gli animali domestici, ma non i criceti.</v>
      </c>
      <c r="G5382" s="6" t="str">
        <f>IFERROR(__xludf.DUMMYFUNCTION("GOOGLETRANSLATE(E5382,""fr"",""it"")"),"Amo gli animali domestici, ma non i criceti.")</f>
        <v>Amo gli animali domestici, ma non i criceti.</v>
      </c>
    </row>
    <row r="5383">
      <c r="A5383" s="4">
        <v>5381.0</v>
      </c>
      <c r="B5383" s="5" t="s">
        <v>16150</v>
      </c>
      <c r="C5383" s="4">
        <v>1.0</v>
      </c>
      <c r="D5383" s="5" t="s">
        <v>16151</v>
      </c>
      <c r="E5383" s="5" t="s">
        <v>16152</v>
      </c>
      <c r="F5383" s="6" t="str">
        <f>IFERROR(__xludf.DUMMYFUNCTION("GOOGLETRANSLATE(D5383,""en"",""it"")"),"Mi piacciono i criceti, ma non gli orsi.")</f>
        <v>Mi piacciono i criceti, ma non gli orsi.</v>
      </c>
      <c r="G5383" s="6" t="str">
        <f>IFERROR(__xludf.DUMMYFUNCTION("GOOGLETRANSLATE(E5383,""fr"",""it"")"),"Amo i criceti, ma non gli orsi.")</f>
        <v>Amo i criceti, ma non gli orsi.</v>
      </c>
    </row>
    <row r="5384">
      <c r="A5384" s="4">
        <v>5382.0</v>
      </c>
      <c r="B5384" s="5" t="s">
        <v>16153</v>
      </c>
      <c r="C5384" s="4">
        <v>1.0</v>
      </c>
      <c r="D5384" s="5" t="s">
        <v>16154</v>
      </c>
      <c r="E5384" s="5" t="s">
        <v>16155</v>
      </c>
      <c r="F5384" s="6" t="str">
        <f>IFERROR(__xludf.DUMMYFUNCTION("GOOGLETRANSLATE(D5384,""en"",""it"")"),"Mi piacciono gli orsi, ma non i criceti.")</f>
        <v>Mi piacciono gli orsi, ma non i criceti.</v>
      </c>
      <c r="G5384" s="6" t="str">
        <f>IFERROR(__xludf.DUMMYFUNCTION("GOOGLETRANSLATE(E5384,""fr"",""it"")"),"Amo gli orsi, ma non i criceti.")</f>
        <v>Amo gli orsi, ma non i criceti.</v>
      </c>
    </row>
    <row r="5385">
      <c r="A5385" s="4">
        <v>5383.0</v>
      </c>
      <c r="B5385" s="5" t="s">
        <v>16156</v>
      </c>
      <c r="C5385" s="4">
        <v>0.0</v>
      </c>
      <c r="D5385" s="5" t="s">
        <v>16157</v>
      </c>
      <c r="E5385" s="5" t="s">
        <v>16158</v>
      </c>
      <c r="F5385" s="6" t="str">
        <f>IFERROR(__xludf.DUMMYFUNCTION("GOOGLETRANSLATE(D5385,""en"",""it"")"),"Mi piace Kawasakis, tranne le biciclette.")</f>
        <v>Mi piace Kawasakis, tranne le biciclette.</v>
      </c>
      <c r="G5385" s="6" t="str">
        <f>IFERROR(__xludf.DUMMYFUNCTION("GOOGLETRANSLATE(E5385,""fr"",""it"")"),"Amo Kawasakis, tranne le biciclette.")</f>
        <v>Amo Kawasakis, tranne le biciclette.</v>
      </c>
    </row>
    <row r="5386">
      <c r="A5386" s="4">
        <v>5384.0</v>
      </c>
      <c r="B5386" s="5" t="s">
        <v>16159</v>
      </c>
      <c r="C5386" s="4">
        <v>1.0</v>
      </c>
      <c r="D5386" s="5" t="s">
        <v>16160</v>
      </c>
      <c r="E5386" s="5" t="s">
        <v>16161</v>
      </c>
      <c r="F5386" s="6" t="str">
        <f>IFERROR(__xludf.DUMMYFUNCTION("GOOGLETRANSLATE(D5386,""en"",""it"")"),"Mi piacciono i criceti, ma non la medusa.")</f>
        <v>Mi piacciono i criceti, ma non la medusa.</v>
      </c>
      <c r="G5386" s="6" t="str">
        <f>IFERROR(__xludf.DUMMYFUNCTION("GOOGLETRANSLATE(E5386,""fr"",""it"")"),"Amo i criceti, ma non la medusa.")</f>
        <v>Amo i criceti, ma non la medusa.</v>
      </c>
    </row>
    <row r="5387">
      <c r="A5387" s="4">
        <v>5385.0</v>
      </c>
      <c r="B5387" s="5" t="s">
        <v>16162</v>
      </c>
      <c r="C5387" s="4">
        <v>1.0</v>
      </c>
      <c r="D5387" s="5" t="s">
        <v>16163</v>
      </c>
      <c r="E5387" s="5" t="s">
        <v>16164</v>
      </c>
      <c r="F5387" s="6" t="str">
        <f>IFERROR(__xludf.DUMMYFUNCTION("GOOGLETRANSLATE(D5387,""en"",""it"")"),"Mi piacciono le meduse, ma non i criceti.")</f>
        <v>Mi piacciono le meduse, ma non i criceti.</v>
      </c>
      <c r="G5387" s="6" t="str">
        <f>IFERROR(__xludf.DUMMYFUNCTION("GOOGLETRANSLATE(E5387,""fr"",""it"")"),"Adoro meduse, ma non criceti.")</f>
        <v>Adoro meduse, ma non criceti.</v>
      </c>
    </row>
    <row r="5388">
      <c r="A5388" s="4">
        <v>5386.0</v>
      </c>
      <c r="B5388" s="5" t="s">
        <v>16165</v>
      </c>
      <c r="C5388" s="4">
        <v>1.0</v>
      </c>
      <c r="D5388" s="5" t="s">
        <v>16166</v>
      </c>
      <c r="E5388" s="5" t="s">
        <v>16167</v>
      </c>
      <c r="F5388" s="6" t="str">
        <f>IFERROR(__xludf.DUMMYFUNCTION("GOOGLETRANSLATE(D5388,""en"",""it"")"),"Mi piacciono i criceti, ma non le balene.")</f>
        <v>Mi piacciono i criceti, ma non le balene.</v>
      </c>
      <c r="G5388" s="6" t="str">
        <f>IFERROR(__xludf.DUMMYFUNCTION("GOOGLETRANSLATE(E5388,""fr"",""it"")"),"Mi piacciono i criceti, ma non le balene.")</f>
        <v>Mi piacciono i criceti, ma non le balene.</v>
      </c>
    </row>
    <row r="5389">
      <c r="A5389" s="4">
        <v>5387.0</v>
      </c>
      <c r="B5389" s="5" t="s">
        <v>16168</v>
      </c>
      <c r="C5389" s="4">
        <v>1.0</v>
      </c>
      <c r="D5389" s="5" t="s">
        <v>16169</v>
      </c>
      <c r="E5389" s="5" t="s">
        <v>16170</v>
      </c>
      <c r="F5389" s="6" t="str">
        <f>IFERROR(__xludf.DUMMYFUNCTION("GOOGLETRANSLATE(D5389,""en"",""it"")"),"Mi piacciono le balene, ma non i criceti.")</f>
        <v>Mi piacciono le balene, ma non i criceti.</v>
      </c>
      <c r="G5389" s="6" t="str">
        <f>IFERROR(__xludf.DUMMYFUNCTION("GOOGLETRANSLATE(E5389,""fr"",""it"")"),"Mi piacciono le balene, ma non i criceti.")</f>
        <v>Mi piacciono le balene, ma non i criceti.</v>
      </c>
    </row>
    <row r="5390">
      <c r="A5390" s="4">
        <v>5388.0</v>
      </c>
      <c r="B5390" s="5" t="s">
        <v>16171</v>
      </c>
      <c r="C5390" s="4">
        <v>0.0</v>
      </c>
      <c r="D5390" s="5" t="s">
        <v>16172</v>
      </c>
      <c r="E5390" s="5" t="s">
        <v>16173</v>
      </c>
      <c r="F5390" s="6" t="str">
        <f>IFERROR(__xludf.DUMMYFUNCTION("GOOGLETRANSLATE(D5390,""en"",""it"")"),"Mi piacciono le biciclette, ad eccezione di Kawasakis.")</f>
        <v>Mi piacciono le biciclette, ad eccezione di Kawasakis.</v>
      </c>
      <c r="G5390" s="6" t="str">
        <f>IFERROR(__xludf.DUMMYFUNCTION("GOOGLETRANSLATE(E5390,""fr"",""it"")"),"Amo le biciclette tranne Kawasakis.")</f>
        <v>Amo le biciclette tranne Kawasakis.</v>
      </c>
    </row>
    <row r="5391">
      <c r="A5391" s="4">
        <v>5389.0</v>
      </c>
      <c r="B5391" s="5" t="s">
        <v>16174</v>
      </c>
      <c r="C5391" s="4">
        <v>0.0</v>
      </c>
      <c r="D5391" s="5" t="s">
        <v>16175</v>
      </c>
      <c r="E5391" s="5" t="s">
        <v>16176</v>
      </c>
      <c r="F5391" s="6" t="str">
        <f>IFERROR(__xludf.DUMMYFUNCTION("GOOGLETRANSLATE(D5391,""en"",""it"")"),"Mi piacciono Kawasakis, tranne i treni.")</f>
        <v>Mi piacciono Kawasakis, tranne i treni.</v>
      </c>
      <c r="G5391" s="6" t="str">
        <f>IFERROR(__xludf.DUMMYFUNCTION("GOOGLETRANSLATE(E5391,""fr"",""it"")"),"Mi piacciono Kawasakis, tranne i treni.")</f>
        <v>Mi piacciono Kawasakis, tranne i treni.</v>
      </c>
    </row>
    <row r="5392">
      <c r="A5392" s="4">
        <v>5390.0</v>
      </c>
      <c r="B5392" s="5" t="s">
        <v>16177</v>
      </c>
      <c r="C5392" s="4">
        <v>0.0</v>
      </c>
      <c r="D5392" s="5" t="s">
        <v>16178</v>
      </c>
      <c r="E5392" s="5" t="s">
        <v>16179</v>
      </c>
      <c r="F5392" s="6" t="str">
        <f>IFERROR(__xludf.DUMMYFUNCTION("GOOGLETRANSLATE(D5392,""en"",""it"")"),"Mi piacciono i treni, tranne Kawasakis.")</f>
        <v>Mi piacciono i treni, tranne Kawasakis.</v>
      </c>
      <c r="G5392" s="6" t="str">
        <f>IFERROR(__xludf.DUMMYFUNCTION("GOOGLETRANSLATE(E5392,""fr"",""it"")"),"Mi piacciono i treni, tranne Kawasakis.")</f>
        <v>Mi piacciono i treni, tranne Kawasakis.</v>
      </c>
    </row>
    <row r="5393">
      <c r="A5393" s="4">
        <v>5391.0</v>
      </c>
      <c r="B5393" s="5" t="s">
        <v>16180</v>
      </c>
      <c r="C5393" s="4">
        <v>0.0</v>
      </c>
      <c r="D5393" s="5" t="s">
        <v>16181</v>
      </c>
      <c r="E5393" s="5" t="s">
        <v>16182</v>
      </c>
      <c r="F5393" s="6" t="str">
        <f>IFERROR(__xludf.DUMMYFUNCTION("GOOGLETRANSLATE(D5393,""en"",""it"")"),"Mi piace Kawasakis, tranne gli aeroplani.")</f>
        <v>Mi piace Kawasakis, tranne gli aeroplani.</v>
      </c>
      <c r="G5393" s="6" t="str">
        <f>IFERROR(__xludf.DUMMYFUNCTION("GOOGLETRANSLATE(E5393,""fr"",""it"")"),"Mi piace Kawasakis, tranne gli aerei.")</f>
        <v>Mi piace Kawasakis, tranne gli aerei.</v>
      </c>
    </row>
    <row r="5394">
      <c r="A5394" s="4">
        <v>5392.0</v>
      </c>
      <c r="B5394" s="5" t="s">
        <v>16183</v>
      </c>
      <c r="C5394" s="4">
        <v>0.0</v>
      </c>
      <c r="D5394" s="5" t="s">
        <v>16184</v>
      </c>
      <c r="E5394" s="5" t="s">
        <v>16185</v>
      </c>
      <c r="F5394" s="6" t="str">
        <f>IFERROR(__xludf.DUMMYFUNCTION("GOOGLETRANSLATE(D5394,""en"",""it"")"),"Mi piacciono gli aerei, ad eccezione di Kawasakis.")</f>
        <v>Mi piacciono gli aerei, ad eccezione di Kawasakis.</v>
      </c>
      <c r="G5394" s="6" t="str">
        <f>IFERROR(__xludf.DUMMYFUNCTION("GOOGLETRANSLATE(E5394,""fr"",""it"")"),"Mi piacciono gli aerei, ad eccezione di Kawasakis.")</f>
        <v>Mi piacciono gli aerei, ad eccezione di Kawasakis.</v>
      </c>
    </row>
    <row r="5395">
      <c r="A5395" s="4">
        <v>5393.0</v>
      </c>
      <c r="B5395" s="5" t="s">
        <v>16186</v>
      </c>
      <c r="C5395" s="4">
        <v>1.0</v>
      </c>
      <c r="D5395" s="5" t="s">
        <v>16187</v>
      </c>
      <c r="E5395" s="5" t="s">
        <v>16188</v>
      </c>
      <c r="F5395" s="6" t="str">
        <f>IFERROR(__xludf.DUMMYFUNCTION("GOOGLETRANSLATE(D5395,""en"",""it"")"),"Si fida della sua vista, ma non delle voci.")</f>
        <v>Si fida della sua vista, ma non delle voci.</v>
      </c>
      <c r="G5395" s="6" t="str">
        <f>IFERROR(__xludf.DUMMYFUNCTION("GOOGLETRANSLATE(E5395,""fr"",""it"")"),"Si fida della sua visione, ma non delle voci.")</f>
        <v>Si fida della sua visione, ma non delle voci.</v>
      </c>
    </row>
    <row r="5396">
      <c r="A5396" s="4">
        <v>5394.0</v>
      </c>
      <c r="B5396" s="5" t="s">
        <v>16189</v>
      </c>
      <c r="C5396" s="4">
        <v>1.0</v>
      </c>
      <c r="D5396" s="5" t="s">
        <v>16190</v>
      </c>
      <c r="E5396" s="5" t="s">
        <v>16191</v>
      </c>
      <c r="F5396" s="6" t="str">
        <f>IFERROR(__xludf.DUMMYFUNCTION("GOOGLETRANSLATE(D5396,""en"",""it"")"),"Si fida di voci, ma non è la sua vista.")</f>
        <v>Si fida di voci, ma non è la sua vista.</v>
      </c>
      <c r="G5396" s="6" t="str">
        <f>IFERROR(__xludf.DUMMYFUNCTION("GOOGLETRANSLATE(E5396,""fr"",""it"")"),"Si fida di voci, ma non è la sua visione.")</f>
        <v>Si fida di voci, ma non è la sua visione.</v>
      </c>
    </row>
    <row r="5397">
      <c r="A5397" s="4">
        <v>5395.0</v>
      </c>
      <c r="B5397" s="5" t="s">
        <v>16192</v>
      </c>
      <c r="C5397" s="4">
        <v>0.0</v>
      </c>
      <c r="D5397" s="5" t="s">
        <v>16193</v>
      </c>
      <c r="E5397" s="5" t="s">
        <v>16194</v>
      </c>
      <c r="F5397" s="6" t="str">
        <f>IFERROR(__xludf.DUMMYFUNCTION("GOOGLETRANSLATE(D5397,""en"",""it"")"),"Si fida della sua vista, ma non i suoi sensi.")</f>
        <v>Si fida della sua vista, ma non i suoi sensi.</v>
      </c>
      <c r="G5397" s="6" t="str">
        <f>IFERROR(__xludf.DUMMYFUNCTION("GOOGLETRANSLATE(E5397,""fr"",""it"")"),"Si fida della sua visione, ma non dei suoi sensi.")</f>
        <v>Si fida della sua visione, ma non dei suoi sensi.</v>
      </c>
    </row>
    <row r="5398">
      <c r="A5398" s="4">
        <v>5396.0</v>
      </c>
      <c r="B5398" s="5" t="s">
        <v>16195</v>
      </c>
      <c r="C5398" s="4">
        <v>1.0</v>
      </c>
      <c r="D5398" s="5" t="s">
        <v>16196</v>
      </c>
      <c r="E5398" s="5" t="s">
        <v>16197</v>
      </c>
      <c r="F5398" s="6" t="str">
        <f>IFERROR(__xludf.DUMMYFUNCTION("GOOGLETRANSLATE(D5398,""en"",""it"")"),"Si fida dei suoi sensi, ma non è la sua vista.")</f>
        <v>Si fida dei suoi sensi, ma non è la sua vista.</v>
      </c>
      <c r="G5398" s="6" t="str">
        <f>IFERROR(__xludf.DUMMYFUNCTION("GOOGLETRANSLATE(E5398,""fr"",""it"")"),"Si fida dei suoi sensi, ma non della sua visione.")</f>
        <v>Si fida dei suoi sensi, ma non della sua visione.</v>
      </c>
    </row>
    <row r="5399">
      <c r="A5399" s="4">
        <v>5397.0</v>
      </c>
      <c r="B5399" s="5" t="s">
        <v>16198</v>
      </c>
      <c r="C5399" s="4">
        <v>1.0</v>
      </c>
      <c r="D5399" s="5" t="s">
        <v>16199</v>
      </c>
      <c r="E5399" s="5" t="s">
        <v>16200</v>
      </c>
      <c r="F5399" s="6" t="str">
        <f>IFERROR(__xludf.DUMMYFUNCTION("GOOGLETRANSLATE(D5399,""en"",""it"")"),"Si fida dei suoi sensi, ma non delle voci.")</f>
        <v>Si fida dei suoi sensi, ma non delle voci.</v>
      </c>
      <c r="G5399" s="6" t="str">
        <f>IFERROR(__xludf.DUMMYFUNCTION("GOOGLETRANSLATE(E5399,""fr"",""it"")"),"Si fida dei suoi sensi, ma non delle voci.")</f>
        <v>Si fida dei suoi sensi, ma non delle voci.</v>
      </c>
    </row>
    <row r="5400">
      <c r="A5400" s="4">
        <v>5398.0</v>
      </c>
      <c r="B5400" s="5" t="s">
        <v>16201</v>
      </c>
      <c r="C5400" s="4">
        <v>1.0</v>
      </c>
      <c r="D5400" s="5" t="s">
        <v>16202</v>
      </c>
      <c r="E5400" s="5" t="s">
        <v>16203</v>
      </c>
      <c r="F5400" s="6" t="str">
        <f>IFERROR(__xludf.DUMMYFUNCTION("GOOGLETRANSLATE(D5400,""en"",""it"")"),"Si fida della sua vista, ma non dei rapporti.")</f>
        <v>Si fida della sua vista, ma non dei rapporti.</v>
      </c>
      <c r="G5400" s="6" t="str">
        <f>IFERROR(__xludf.DUMMYFUNCTION("GOOGLETRANSLATE(E5400,""fr"",""it"")"),"Si fida della sua visione, ma non dei rapporti.")</f>
        <v>Si fida della sua visione, ma non dei rapporti.</v>
      </c>
    </row>
    <row r="5401">
      <c r="A5401" s="4">
        <v>5399.0</v>
      </c>
      <c r="B5401" s="5" t="s">
        <v>16204</v>
      </c>
      <c r="C5401" s="4">
        <v>1.0</v>
      </c>
      <c r="D5401" s="5" t="s">
        <v>16205</v>
      </c>
      <c r="E5401" s="5" t="s">
        <v>16206</v>
      </c>
      <c r="F5401" s="6" t="str">
        <f>IFERROR(__xludf.DUMMYFUNCTION("GOOGLETRANSLATE(D5401,""en"",""it"")"),"Si fida dei rapporti, ma non la sua vista.")</f>
        <v>Si fida dei rapporti, ma non la sua vista.</v>
      </c>
      <c r="G5401" s="6" t="str">
        <f>IFERROR(__xludf.DUMMYFUNCTION("GOOGLETRANSLATE(E5401,""fr"",""it"")"),"Si fida dei rapporti, ma non della sua visione.")</f>
        <v>Si fida dei rapporti, ma non della sua visione.</v>
      </c>
    </row>
    <row r="5402">
      <c r="A5402" s="4">
        <v>5400.0</v>
      </c>
      <c r="B5402" s="5" t="s">
        <v>16207</v>
      </c>
      <c r="C5402" s="4">
        <v>1.0</v>
      </c>
      <c r="D5402" s="5" t="s">
        <v>16208</v>
      </c>
      <c r="E5402" s="5" t="s">
        <v>16209</v>
      </c>
      <c r="F5402" s="6" t="str">
        <f>IFERROR(__xludf.DUMMYFUNCTION("GOOGLETRANSLATE(D5402,""en"",""it"")"),"Si fida dei suoi sensi, ma non dei rapporti.")</f>
        <v>Si fida dei suoi sensi, ma non dei rapporti.</v>
      </c>
      <c r="G5402" s="6" t="str">
        <f>IFERROR(__xludf.DUMMYFUNCTION("GOOGLETRANSLATE(E5402,""fr"",""it"")"),"Si fida dei suoi sensi, ma non dei rapporti.")</f>
        <v>Si fida dei suoi sensi, ma non dei rapporti.</v>
      </c>
    </row>
    <row r="5403">
      <c r="A5403" s="4">
        <v>5401.0</v>
      </c>
      <c r="B5403" s="5" t="s">
        <v>16210</v>
      </c>
      <c r="C5403" s="4">
        <v>1.0</v>
      </c>
      <c r="D5403" s="5" t="s">
        <v>16211</v>
      </c>
      <c r="E5403" s="5" t="s">
        <v>16212</v>
      </c>
      <c r="F5403" s="6" t="str">
        <f>IFERROR(__xludf.DUMMYFUNCTION("GOOGLETRANSLATE(D5403,""en"",""it"")"),"Si fida della sua vista, ma non delle ricostruzioni.")</f>
        <v>Si fida della sua vista, ma non delle ricostruzioni.</v>
      </c>
      <c r="G5403" s="6" t="str">
        <f>IFERROR(__xludf.DUMMYFUNCTION("GOOGLETRANSLATE(E5403,""fr"",""it"")"),"Si fida della sua visione, ma non delle ricostruzioni.")</f>
        <v>Si fida della sua visione, ma non delle ricostruzioni.</v>
      </c>
    </row>
    <row r="5404">
      <c r="A5404" s="4">
        <v>5402.0</v>
      </c>
      <c r="B5404" s="5" t="s">
        <v>16213</v>
      </c>
      <c r="C5404" s="4">
        <v>1.0</v>
      </c>
      <c r="D5404" s="5" t="s">
        <v>16214</v>
      </c>
      <c r="E5404" s="5" t="s">
        <v>16215</v>
      </c>
      <c r="F5404" s="6" t="str">
        <f>IFERROR(__xludf.DUMMYFUNCTION("GOOGLETRANSLATE(D5404,""en"",""it"")"),"Si fida di ricostruzioni, ma non alla sua vista.")</f>
        <v>Si fida di ricostruzioni, ma non alla sua vista.</v>
      </c>
      <c r="G5404" s="6" t="str">
        <f>IFERROR(__xludf.DUMMYFUNCTION("GOOGLETRANSLATE(E5404,""fr"",""it"")"),"Si fida di ricostruzioni, ma non della sua visione.")</f>
        <v>Si fida di ricostruzioni, ma non della sua visione.</v>
      </c>
    </row>
    <row r="5405">
      <c r="A5405" s="4">
        <v>5403.0</v>
      </c>
      <c r="B5405" s="5" t="s">
        <v>16216</v>
      </c>
      <c r="C5405" s="4">
        <v>1.0</v>
      </c>
      <c r="D5405" s="5" t="s">
        <v>16217</v>
      </c>
      <c r="E5405" s="5" t="s">
        <v>16218</v>
      </c>
      <c r="F5405" s="6" t="str">
        <f>IFERROR(__xludf.DUMMYFUNCTION("GOOGLETRANSLATE(D5405,""en"",""it"")"),"Si fida dei suoi sensi, ma non di ricostruzioni.")</f>
        <v>Si fida dei suoi sensi, ma non di ricostruzioni.</v>
      </c>
      <c r="G5405" s="6" t="str">
        <f>IFERROR(__xludf.DUMMYFUNCTION("GOOGLETRANSLATE(E5405,""fr"",""it"")"),"Si fida dei suoi sensi, ma non alle ricostruzioni.")</f>
        <v>Si fida dei suoi sensi, ma non alle ricostruzioni.</v>
      </c>
    </row>
    <row r="5406">
      <c r="A5406" s="4">
        <v>5404.0</v>
      </c>
      <c r="B5406" s="5" t="s">
        <v>16219</v>
      </c>
      <c r="C5406" s="4">
        <v>1.0</v>
      </c>
      <c r="D5406" s="5" t="s">
        <v>16220</v>
      </c>
      <c r="E5406" s="5" t="s">
        <v>16221</v>
      </c>
      <c r="F5406" s="6" t="str">
        <f>IFERROR(__xludf.DUMMYFUNCTION("GOOGLETRANSLATE(D5406,""en"",""it"")"),"Si fida della sua vista, ma non indovina.")</f>
        <v>Si fida della sua vista, ma non indovina.</v>
      </c>
      <c r="G5406" s="6" t="str">
        <f>IFERROR(__xludf.DUMMYFUNCTION("GOOGLETRANSLATE(E5406,""fr"",""it"")"),"Si fida della sua visione, ma non sulle ipotesi.")</f>
        <v>Si fida della sua visione, ma non sulle ipotesi.</v>
      </c>
    </row>
    <row r="5407">
      <c r="A5407" s="4">
        <v>5405.0</v>
      </c>
      <c r="B5407" s="5" t="s">
        <v>16222</v>
      </c>
      <c r="C5407" s="4">
        <v>1.0</v>
      </c>
      <c r="D5407" s="5" t="s">
        <v>16223</v>
      </c>
      <c r="E5407" s="5" t="s">
        <v>16224</v>
      </c>
      <c r="F5407" s="6" t="str">
        <f>IFERROR(__xludf.DUMMYFUNCTION("GOOGLETRANSLATE(D5407,""en"",""it"")"),"Si fida indovina, ma non la sua vista.")</f>
        <v>Si fida indovina, ma non la sua vista.</v>
      </c>
      <c r="G5407" s="6" t="str">
        <f>IFERROR(__xludf.DUMMYFUNCTION("GOOGLETRANSLATE(E5407,""fr"",""it"")"),"Si fida deipotesi, ma non della sua visione.")</f>
        <v>Si fida deipotesi, ma non della sua visione.</v>
      </c>
    </row>
    <row r="5408">
      <c r="A5408" s="4">
        <v>5406.0</v>
      </c>
      <c r="B5408" s="5" t="s">
        <v>16225</v>
      </c>
      <c r="C5408" s="4">
        <v>1.0</v>
      </c>
      <c r="D5408" s="5" t="s">
        <v>16226</v>
      </c>
      <c r="E5408" s="5" t="s">
        <v>16227</v>
      </c>
      <c r="F5408" s="6" t="str">
        <f>IFERROR(__xludf.DUMMYFUNCTION("GOOGLETRANSLATE(D5408,""en"",""it"")"),"Si fida dei suoi sensi, ma non indovina.")</f>
        <v>Si fida dei suoi sensi, ma non indovina.</v>
      </c>
      <c r="G5408" s="6" t="str">
        <f>IFERROR(__xludf.DUMMYFUNCTION("GOOGLETRANSLATE(E5408,""fr"",""it"")"),"Si fida dei suoi sensi, ma non sulle ipotesi.")</f>
        <v>Si fida dei suoi sensi, ma non sulle ipotesi.</v>
      </c>
    </row>
    <row r="5409">
      <c r="A5409" s="4">
        <v>5407.0</v>
      </c>
      <c r="B5409" s="5" t="s">
        <v>16228</v>
      </c>
      <c r="C5409" s="4">
        <v>1.0</v>
      </c>
      <c r="D5409" s="5" t="s">
        <v>16229</v>
      </c>
      <c r="E5409" s="5" t="s">
        <v>16230</v>
      </c>
      <c r="F5409" s="6" t="str">
        <f>IFERROR(__xludf.DUMMYFUNCTION("GOOGLETRANSLATE(D5409,""en"",""it"")"),"Si fida della sua udito, ma non delle voci.")</f>
        <v>Si fida della sua udito, ma non delle voci.</v>
      </c>
      <c r="G5409" s="6" t="str">
        <f>IFERROR(__xludf.DUMMYFUNCTION("GOOGLETRANSLATE(E5409,""fr"",""it"")"),"Si fida del suo odore, ma non delle voci.")</f>
        <v>Si fida del suo odore, ma non delle voci.</v>
      </c>
    </row>
    <row r="5410">
      <c r="A5410" s="4">
        <v>5408.0</v>
      </c>
      <c r="B5410" s="5" t="s">
        <v>16231</v>
      </c>
      <c r="C5410" s="4">
        <v>1.0</v>
      </c>
      <c r="D5410" s="5" t="s">
        <v>16232</v>
      </c>
      <c r="E5410" s="5" t="s">
        <v>16233</v>
      </c>
      <c r="F5410" s="6" t="str">
        <f>IFERROR(__xludf.DUMMYFUNCTION("GOOGLETRANSLATE(D5410,""en"",""it"")"),"Si fida delle voci, ma non il suo udito.")</f>
        <v>Si fida delle voci, ma non il suo udito.</v>
      </c>
      <c r="G5410" s="6" t="str">
        <f>IFERROR(__xludf.DUMMYFUNCTION("GOOGLETRANSLATE(E5410,""fr"",""it"")"),"Si fida delle voci, ma non il suo odore.")</f>
        <v>Si fida delle voci, ma non il suo odore.</v>
      </c>
    </row>
    <row r="5411">
      <c r="A5411" s="4">
        <v>5409.0</v>
      </c>
      <c r="B5411" s="5" t="s">
        <v>16234</v>
      </c>
      <c r="C5411" s="4">
        <v>0.0</v>
      </c>
      <c r="D5411" s="5" t="s">
        <v>16235</v>
      </c>
      <c r="E5411" s="5" t="s">
        <v>16236</v>
      </c>
      <c r="F5411" s="6" t="str">
        <f>IFERROR(__xludf.DUMMYFUNCTION("GOOGLETRANSLATE(D5411,""en"",""it"")"),"Si fida del suo udito, ma non dei suoi sensi.")</f>
        <v>Si fida del suo udito, ma non dei suoi sensi.</v>
      </c>
      <c r="G5411" s="6" t="str">
        <f>IFERROR(__xludf.DUMMYFUNCTION("GOOGLETRANSLATE(E5411,""fr"",""it"")"),"Si fida del suo odore, ma non dei suoi sensi.")</f>
        <v>Si fida del suo odore, ma non dei suoi sensi.</v>
      </c>
    </row>
    <row r="5412">
      <c r="A5412" s="4">
        <v>5410.0</v>
      </c>
      <c r="B5412" s="5" t="s">
        <v>16237</v>
      </c>
      <c r="C5412" s="4">
        <v>1.0</v>
      </c>
      <c r="D5412" s="5" t="s">
        <v>16238</v>
      </c>
      <c r="E5412" s="5" t="s">
        <v>16239</v>
      </c>
      <c r="F5412" s="6" t="str">
        <f>IFERROR(__xludf.DUMMYFUNCTION("GOOGLETRANSLATE(D5412,""en"",""it"")"),"Si fida dei suoi sensi, ma non è il suo udito.")</f>
        <v>Si fida dei suoi sensi, ma non è il suo udito.</v>
      </c>
      <c r="G5412" s="6" t="str">
        <f>IFERROR(__xludf.DUMMYFUNCTION("GOOGLETRANSLATE(E5412,""fr"",""it"")"),"Si fida dei suoi sensi, ma non il suo odore.")</f>
        <v>Si fida dei suoi sensi, ma non il suo odore.</v>
      </c>
    </row>
    <row r="5413">
      <c r="A5413" s="4">
        <v>5411.0</v>
      </c>
      <c r="B5413" s="5" t="s">
        <v>16240</v>
      </c>
      <c r="C5413" s="4">
        <v>1.0</v>
      </c>
      <c r="D5413" s="5" t="s">
        <v>16241</v>
      </c>
      <c r="E5413" s="5" t="s">
        <v>16242</v>
      </c>
      <c r="F5413" s="6" t="str">
        <f>IFERROR(__xludf.DUMMYFUNCTION("GOOGLETRANSLATE(D5413,""en"",""it"")"),"Si fida del suo udito, ma non dei rapporti.")</f>
        <v>Si fida del suo udito, ma non dei rapporti.</v>
      </c>
      <c r="G5413" s="6" t="str">
        <f>IFERROR(__xludf.DUMMYFUNCTION("GOOGLETRANSLATE(E5413,""fr"",""it"")"),"Si fida del suo odore, ma non dei rapporti.")</f>
        <v>Si fida del suo odore, ma non dei rapporti.</v>
      </c>
    </row>
    <row r="5414">
      <c r="A5414" s="4">
        <v>5412.0</v>
      </c>
      <c r="B5414" s="5" t="s">
        <v>16243</v>
      </c>
      <c r="C5414" s="4">
        <v>1.0</v>
      </c>
      <c r="D5414" s="5" t="s">
        <v>16244</v>
      </c>
      <c r="E5414" s="5" t="s">
        <v>16245</v>
      </c>
      <c r="F5414" s="6" t="str">
        <f>IFERROR(__xludf.DUMMYFUNCTION("GOOGLETRANSLATE(D5414,""en"",""it"")"),"Si fida dei rapporti, ma non il suo udito.")</f>
        <v>Si fida dei rapporti, ma non il suo udito.</v>
      </c>
      <c r="G5414" s="6" t="str">
        <f>IFERROR(__xludf.DUMMYFUNCTION("GOOGLETRANSLATE(E5414,""fr"",""it"")"),"Si fida dei rapporti, ma non il suo odororato.")</f>
        <v>Si fida dei rapporti, ma non il suo odororato.</v>
      </c>
    </row>
    <row r="5415">
      <c r="A5415" s="4">
        <v>5413.0</v>
      </c>
      <c r="B5415" s="5" t="s">
        <v>16246</v>
      </c>
      <c r="C5415" s="4">
        <v>1.0</v>
      </c>
      <c r="D5415" s="5" t="s">
        <v>16247</v>
      </c>
      <c r="E5415" s="5" t="s">
        <v>16248</v>
      </c>
      <c r="F5415" s="6" t="str">
        <f>IFERROR(__xludf.DUMMYFUNCTION("GOOGLETRANSLATE(D5415,""en"",""it"")"),"Si fida della sua udito, ma non delle ricostruzioni.")</f>
        <v>Si fida della sua udito, ma non delle ricostruzioni.</v>
      </c>
      <c r="G5415" s="6" t="str">
        <f>IFERROR(__xludf.DUMMYFUNCTION("GOOGLETRANSLATE(E5415,""fr"",""it"")"),"Si fida del suo odore, ma non delle ricostruzioni.")</f>
        <v>Si fida del suo odore, ma non delle ricostruzioni.</v>
      </c>
    </row>
    <row r="5416">
      <c r="A5416" s="4">
        <v>5414.0</v>
      </c>
      <c r="B5416" s="5" t="s">
        <v>16249</v>
      </c>
      <c r="C5416" s="4">
        <v>1.0</v>
      </c>
      <c r="D5416" s="5" t="s">
        <v>16250</v>
      </c>
      <c r="E5416" s="5" t="s">
        <v>16251</v>
      </c>
      <c r="F5416" s="6" t="str">
        <f>IFERROR(__xludf.DUMMYFUNCTION("GOOGLETRANSLATE(D5416,""en"",""it"")"),"Si fida di ricostruzioni, ma non è il suo udito.")</f>
        <v>Si fida di ricostruzioni, ma non è il suo udito.</v>
      </c>
      <c r="G5416" s="6" t="str">
        <f>IFERROR(__xludf.DUMMYFUNCTION("GOOGLETRANSLATE(E5416,""fr"",""it"")"),"Si fida di ricostruzioni, ma non il suo odore.")</f>
        <v>Si fida di ricostruzioni, ma non il suo odore.</v>
      </c>
    </row>
    <row r="5417">
      <c r="A5417" s="4">
        <v>5415.0</v>
      </c>
      <c r="B5417" s="5" t="s">
        <v>16252</v>
      </c>
      <c r="C5417" s="4">
        <v>1.0</v>
      </c>
      <c r="D5417" s="5" t="s">
        <v>16253</v>
      </c>
      <c r="E5417" s="5" t="s">
        <v>16254</v>
      </c>
      <c r="F5417" s="6" t="str">
        <f>IFERROR(__xludf.DUMMYFUNCTION("GOOGLETRANSLATE(D5417,""en"",""it"")"),"Si fida della sua udito, ma non indovina.")</f>
        <v>Si fida della sua udito, ma non indovina.</v>
      </c>
      <c r="G5417" s="6" t="str">
        <f>IFERROR(__xludf.DUMMYFUNCTION("GOOGLETRANSLATE(E5417,""fr"",""it"")"),"Si fida del suo odore, ma non sulle ipotesi.")</f>
        <v>Si fida del suo odore, ma non sulle ipotesi.</v>
      </c>
    </row>
    <row r="5418">
      <c r="A5418" s="4">
        <v>5416.0</v>
      </c>
      <c r="B5418" s="5" t="s">
        <v>16255</v>
      </c>
      <c r="C5418" s="4">
        <v>1.0</v>
      </c>
      <c r="D5418" s="5" t="s">
        <v>16256</v>
      </c>
      <c r="E5418" s="5" t="s">
        <v>16257</v>
      </c>
      <c r="F5418" s="6" t="str">
        <f>IFERROR(__xludf.DUMMYFUNCTION("GOOGLETRANSLATE(D5418,""en"",""it"")"),"Si fida indovina, ma non il suo udito.")</f>
        <v>Si fida indovina, ma non il suo udito.</v>
      </c>
      <c r="G5418" s="6" t="str">
        <f>IFERROR(__xludf.DUMMYFUNCTION("GOOGLETRANSLATE(E5418,""fr"",""it"")"),"Si fida di ipotesi, ma non il suo odore.")</f>
        <v>Si fida di ipotesi, ma non il suo odore.</v>
      </c>
    </row>
    <row r="5419">
      <c r="A5419" s="4">
        <v>5417.0</v>
      </c>
      <c r="B5419" s="5" t="s">
        <v>16258</v>
      </c>
      <c r="C5419" s="4">
        <v>1.0</v>
      </c>
      <c r="D5419" s="5" t="s">
        <v>16259</v>
      </c>
      <c r="E5419" s="5" t="s">
        <v>16260</v>
      </c>
      <c r="F5419" s="6" t="str">
        <f>IFERROR(__xludf.DUMMYFUNCTION("GOOGLETRANSLATE(D5419,""en"",""it"")"),"Si fida del suo tocco, ma non delle voci.")</f>
        <v>Si fida del suo tocco, ma non delle voci.</v>
      </c>
      <c r="G5419" s="6" t="str">
        <f>IFERROR(__xludf.DUMMYFUNCTION("GOOGLETRANSLATE(E5419,""fr"",""it"")"),"Si fida del suo senso del tatto, ma non delle voci.")</f>
        <v>Si fida del suo senso del tatto, ma non delle voci.</v>
      </c>
    </row>
    <row r="5420">
      <c r="A5420" s="4">
        <v>5418.0</v>
      </c>
      <c r="B5420" s="5" t="s">
        <v>16261</v>
      </c>
      <c r="C5420" s="4">
        <v>1.0</v>
      </c>
      <c r="D5420" s="5" t="s">
        <v>16262</v>
      </c>
      <c r="E5420" s="5" t="s">
        <v>16263</v>
      </c>
      <c r="F5420" s="6" t="str">
        <f>IFERROR(__xludf.DUMMYFUNCTION("GOOGLETRANSLATE(D5420,""en"",""it"")"),"Si fida di voci, ma non il suo tocco.")</f>
        <v>Si fida di voci, ma non il suo tocco.</v>
      </c>
      <c r="G5420" s="6" t="str">
        <f>IFERROR(__xludf.DUMMYFUNCTION("GOOGLETRANSLATE(E5420,""fr"",""it"")"),"Si fida di voci, ma non il suo senso del tatto.")</f>
        <v>Si fida di voci, ma non il suo senso del tatto.</v>
      </c>
    </row>
    <row r="5421">
      <c r="A5421" s="4">
        <v>5419.0</v>
      </c>
      <c r="B5421" s="5" t="s">
        <v>16264</v>
      </c>
      <c r="C5421" s="4">
        <v>0.0</v>
      </c>
      <c r="D5421" s="5" t="s">
        <v>16265</v>
      </c>
      <c r="E5421" s="5" t="s">
        <v>16266</v>
      </c>
      <c r="F5421" s="6" t="str">
        <f>IFERROR(__xludf.DUMMYFUNCTION("GOOGLETRANSLATE(D5421,""en"",""it"")"),"Si fida del suo tocco, ma non i suoi sensi.")</f>
        <v>Si fida del suo tocco, ma non i suoi sensi.</v>
      </c>
      <c r="G5421" s="6" t="str">
        <f>IFERROR(__xludf.DUMMYFUNCTION("GOOGLETRANSLATE(E5421,""fr"",""it"")"),"Si fida del suo senso del tatto, ma non dei suoi sensi.")</f>
        <v>Si fida del suo senso del tatto, ma non dei suoi sensi.</v>
      </c>
    </row>
    <row r="5422">
      <c r="A5422" s="4">
        <v>5420.0</v>
      </c>
      <c r="B5422" s="5" t="s">
        <v>16267</v>
      </c>
      <c r="C5422" s="4">
        <v>1.0</v>
      </c>
      <c r="D5422" s="5" t="s">
        <v>16268</v>
      </c>
      <c r="E5422" s="5" t="s">
        <v>16269</v>
      </c>
      <c r="F5422" s="6" t="str">
        <f>IFERROR(__xludf.DUMMYFUNCTION("GOOGLETRANSLATE(D5422,""en"",""it"")"),"Si fida dei suoi sensi, ma non del suo tocco.")</f>
        <v>Si fida dei suoi sensi, ma non del suo tocco.</v>
      </c>
      <c r="G5422" s="6" t="str">
        <f>IFERROR(__xludf.DUMMYFUNCTION("GOOGLETRANSLATE(E5422,""fr"",""it"")"),"Si fida dei suoi sensi, ma non il suo senso del tatto.")</f>
        <v>Si fida dei suoi sensi, ma non il suo senso del tatto.</v>
      </c>
    </row>
    <row r="5423">
      <c r="A5423" s="4">
        <v>5421.0</v>
      </c>
      <c r="B5423" s="5" t="s">
        <v>16270</v>
      </c>
      <c r="C5423" s="4">
        <v>1.0</v>
      </c>
      <c r="D5423" s="5" t="s">
        <v>16271</v>
      </c>
      <c r="E5423" s="5" t="s">
        <v>16272</v>
      </c>
      <c r="F5423" s="6" t="str">
        <f>IFERROR(__xludf.DUMMYFUNCTION("GOOGLETRANSLATE(D5423,""en"",""it"")"),"Si fida del suo tocco, ma non dei rapporti.")</f>
        <v>Si fida del suo tocco, ma non dei rapporti.</v>
      </c>
      <c r="G5423" s="6" t="str">
        <f>IFERROR(__xludf.DUMMYFUNCTION("GOOGLETRANSLATE(E5423,""fr"",""it"")"),"Si fida del suo senso del tatto, ma non dei rapporti.")</f>
        <v>Si fida del suo senso del tatto, ma non dei rapporti.</v>
      </c>
    </row>
    <row r="5424">
      <c r="A5424" s="4">
        <v>5422.0</v>
      </c>
      <c r="B5424" s="5" t="s">
        <v>16273</v>
      </c>
      <c r="C5424" s="4">
        <v>1.0</v>
      </c>
      <c r="D5424" s="5" t="s">
        <v>16274</v>
      </c>
      <c r="E5424" s="5" t="s">
        <v>16275</v>
      </c>
      <c r="F5424" s="6" t="str">
        <f>IFERROR(__xludf.DUMMYFUNCTION("GOOGLETRANSLATE(D5424,""en"",""it"")"),"Si fida dei rapporti, ma non il suo tocco.")</f>
        <v>Si fida dei rapporti, ma non il suo tocco.</v>
      </c>
      <c r="G5424" s="6" t="str">
        <f>IFERROR(__xludf.DUMMYFUNCTION("GOOGLETRANSLATE(E5424,""fr"",""it"")"),"Si fida dei rapporti, ma non il suo senso del tatto.")</f>
        <v>Si fida dei rapporti, ma non il suo senso del tatto.</v>
      </c>
    </row>
    <row r="5425">
      <c r="A5425" s="4">
        <v>5423.0</v>
      </c>
      <c r="B5425" s="5" t="s">
        <v>16276</v>
      </c>
      <c r="C5425" s="4">
        <v>1.0</v>
      </c>
      <c r="D5425" s="5" t="s">
        <v>16277</v>
      </c>
      <c r="E5425" s="5" t="s">
        <v>16278</v>
      </c>
      <c r="F5425" s="6" t="str">
        <f>IFERROR(__xludf.DUMMYFUNCTION("GOOGLETRANSLATE(D5425,""en"",""it"")"),"Si fida del suo tocco, ma non di ricostruzioni.")</f>
        <v>Si fida del suo tocco, ma non di ricostruzioni.</v>
      </c>
      <c r="G5425" s="6" t="str">
        <f>IFERROR(__xludf.DUMMYFUNCTION("GOOGLETRANSLATE(E5425,""fr"",""it"")"),"Si fida del suo senso del tatto, ma non delle ricostruzioni.")</f>
        <v>Si fida del suo senso del tatto, ma non delle ricostruzioni.</v>
      </c>
    </row>
    <row r="5426">
      <c r="A5426" s="4">
        <v>5424.0</v>
      </c>
      <c r="B5426" s="5" t="s">
        <v>16279</v>
      </c>
      <c r="C5426" s="4">
        <v>1.0</v>
      </c>
      <c r="D5426" s="5" t="s">
        <v>16280</v>
      </c>
      <c r="E5426" s="5" t="s">
        <v>16281</v>
      </c>
      <c r="F5426" s="6" t="str">
        <f>IFERROR(__xludf.DUMMYFUNCTION("GOOGLETRANSLATE(D5426,""en"",""it"")"),"Si fida di ricostruzioni, ma non del suo tocco.")</f>
        <v>Si fida di ricostruzioni, ma non del suo tocco.</v>
      </c>
      <c r="G5426" s="6" t="str">
        <f>IFERROR(__xludf.DUMMYFUNCTION("GOOGLETRANSLATE(E5426,""fr"",""it"")"),"Si fida di ricostruzioni, ma non il suo senso del tatto.")</f>
        <v>Si fida di ricostruzioni, ma non il suo senso del tatto.</v>
      </c>
    </row>
    <row r="5427">
      <c r="A5427" s="4">
        <v>5425.0</v>
      </c>
      <c r="B5427" s="5" t="s">
        <v>16282</v>
      </c>
      <c r="C5427" s="4">
        <v>1.0</v>
      </c>
      <c r="D5427" s="5" t="s">
        <v>16283</v>
      </c>
      <c r="E5427" s="5" t="s">
        <v>16284</v>
      </c>
      <c r="F5427" s="6" t="str">
        <f>IFERROR(__xludf.DUMMYFUNCTION("GOOGLETRANSLATE(D5427,""en"",""it"")"),"Si fida del suo tocco, ma non indovina.")</f>
        <v>Si fida del suo tocco, ma non indovina.</v>
      </c>
      <c r="G5427" s="6" t="str">
        <f>IFERROR(__xludf.DUMMYFUNCTION("GOOGLETRANSLATE(E5427,""fr"",""it"")"),"Si fida del suo senso del tatto, ma non sulle ipotesi.")</f>
        <v>Si fida del suo senso del tatto, ma non sulle ipotesi.</v>
      </c>
    </row>
    <row r="5428">
      <c r="A5428" s="4">
        <v>5426.0</v>
      </c>
      <c r="B5428" s="5" t="s">
        <v>16285</v>
      </c>
      <c r="C5428" s="4">
        <v>1.0</v>
      </c>
      <c r="D5428" s="5" t="s">
        <v>16286</v>
      </c>
      <c r="E5428" s="5" t="s">
        <v>16287</v>
      </c>
      <c r="F5428" s="6" t="str">
        <f>IFERROR(__xludf.DUMMYFUNCTION("GOOGLETRANSLATE(D5428,""en"",""it"")"),"Si fida indovina, ma non il suo tocco.")</f>
        <v>Si fida indovina, ma non il suo tocco.</v>
      </c>
      <c r="G5428" s="6" t="str">
        <f>IFERROR(__xludf.DUMMYFUNCTION("GOOGLETRANSLATE(E5428,""fr"",""it"")"),"Si fida deipotesi, ma non il suo senso del tatto.")</f>
        <v>Si fida deipotesi, ma non il suo senso del tatto.</v>
      </c>
    </row>
    <row r="5429">
      <c r="A5429" s="4">
        <v>5427.0</v>
      </c>
      <c r="B5429" s="5" t="s">
        <v>16288</v>
      </c>
      <c r="C5429" s="4">
        <v>1.0</v>
      </c>
      <c r="D5429" s="5" t="s">
        <v>16289</v>
      </c>
      <c r="E5429" s="5" t="s">
        <v>16290</v>
      </c>
      <c r="F5429" s="6" t="str">
        <f>IFERROR(__xludf.DUMMYFUNCTION("GOOGLETRANSLATE(D5429,""en"",""it"")"),"Si fida del suo gusto, ma non delle voci.")</f>
        <v>Si fida del suo gusto, ma non delle voci.</v>
      </c>
      <c r="G5429" s="6" t="str">
        <f>IFERROR(__xludf.DUMMYFUNCTION("GOOGLETRANSLATE(E5429,""fr"",""it"")"),"Si fida del suo senso del gusto, ma non delle voci.")</f>
        <v>Si fida del suo senso del gusto, ma non delle voci.</v>
      </c>
    </row>
    <row r="5430">
      <c r="A5430" s="4">
        <v>5428.0</v>
      </c>
      <c r="B5430" s="5" t="s">
        <v>16291</v>
      </c>
      <c r="C5430" s="4">
        <v>1.0</v>
      </c>
      <c r="D5430" s="5" t="s">
        <v>16292</v>
      </c>
      <c r="E5430" s="5" t="s">
        <v>16293</v>
      </c>
      <c r="F5430" s="6" t="str">
        <f>IFERROR(__xludf.DUMMYFUNCTION("GOOGLETRANSLATE(D5430,""en"",""it"")"),"Si fida di voci, ma non i suoi gusti.")</f>
        <v>Si fida di voci, ma non i suoi gusti.</v>
      </c>
      <c r="G5430" s="6" t="str">
        <f>IFERROR(__xludf.DUMMYFUNCTION("GOOGLETRANSLATE(E5430,""fr"",""it"")"),"Si fida delle voci, ma non è il suo senso del gusto.")</f>
        <v>Si fida delle voci, ma non è il suo senso del gusto.</v>
      </c>
    </row>
    <row r="5431">
      <c r="A5431" s="4">
        <v>5429.0</v>
      </c>
      <c r="B5431" s="5" t="s">
        <v>16294</v>
      </c>
      <c r="C5431" s="4">
        <v>0.0</v>
      </c>
      <c r="D5431" s="5" t="s">
        <v>16295</v>
      </c>
      <c r="E5431" s="5" t="s">
        <v>16296</v>
      </c>
      <c r="F5431" s="6" t="str">
        <f>IFERROR(__xludf.DUMMYFUNCTION("GOOGLETRANSLATE(D5431,""en"",""it"")"),"Si fida dei suoi gusti, ma non i suoi sensi.")</f>
        <v>Si fida dei suoi gusti, ma non i suoi sensi.</v>
      </c>
      <c r="G5431" s="6" t="str">
        <f>IFERROR(__xludf.DUMMYFUNCTION("GOOGLETRANSLATE(E5431,""fr"",""it"")"),"Si fida del suo senso del gusto, ma non dei suoi sensi.")</f>
        <v>Si fida del suo senso del gusto, ma non dei suoi sensi.</v>
      </c>
    </row>
    <row r="5432">
      <c r="A5432" s="4">
        <v>5430.0</v>
      </c>
      <c r="B5432" s="5" t="s">
        <v>16297</v>
      </c>
      <c r="C5432" s="4">
        <v>1.0</v>
      </c>
      <c r="D5432" s="5" t="s">
        <v>16298</v>
      </c>
      <c r="E5432" s="5" t="s">
        <v>16299</v>
      </c>
      <c r="F5432" s="6" t="str">
        <f>IFERROR(__xludf.DUMMYFUNCTION("GOOGLETRANSLATE(D5432,""en"",""it"")"),"Si fida dei suoi sensi, ma non è il suo gusto.")</f>
        <v>Si fida dei suoi sensi, ma non è il suo gusto.</v>
      </c>
      <c r="G5432" s="6" t="str">
        <f>IFERROR(__xludf.DUMMYFUNCTION("GOOGLETRANSLATE(E5432,""fr"",""it"")"),"Si fida dei suoi sensi, ma non il suo senso del gusto.")</f>
        <v>Si fida dei suoi sensi, ma non il suo senso del gusto.</v>
      </c>
    </row>
    <row r="5433">
      <c r="A5433" s="4">
        <v>5431.0</v>
      </c>
      <c r="B5433" s="5" t="s">
        <v>16300</v>
      </c>
      <c r="C5433" s="4">
        <v>1.0</v>
      </c>
      <c r="D5433" s="5" t="s">
        <v>16301</v>
      </c>
      <c r="E5433" s="5" t="s">
        <v>16302</v>
      </c>
      <c r="F5433" s="6" t="str">
        <f>IFERROR(__xludf.DUMMYFUNCTION("GOOGLETRANSLATE(D5433,""en"",""it"")"),"Si fida del suo gusto, ma non dei rapporti.")</f>
        <v>Si fida del suo gusto, ma non dei rapporti.</v>
      </c>
      <c r="G5433" s="6" t="str">
        <f>IFERROR(__xludf.DUMMYFUNCTION("GOOGLETRANSLATE(E5433,""fr"",""it"")"),"Si fida del suo senso del gusto, ma non dei rapporti.")</f>
        <v>Si fida del suo senso del gusto, ma non dei rapporti.</v>
      </c>
    </row>
    <row r="5434">
      <c r="A5434" s="4">
        <v>5432.0</v>
      </c>
      <c r="B5434" s="5" t="s">
        <v>16303</v>
      </c>
      <c r="C5434" s="4">
        <v>1.0</v>
      </c>
      <c r="D5434" s="5" t="s">
        <v>16304</v>
      </c>
      <c r="E5434" s="5" t="s">
        <v>16305</v>
      </c>
      <c r="F5434" s="6" t="str">
        <f>IFERROR(__xludf.DUMMYFUNCTION("GOOGLETRANSLATE(D5434,""en"",""it"")"),"Si fida dei rapporti, ma non il suo gusto.")</f>
        <v>Si fida dei rapporti, ma non il suo gusto.</v>
      </c>
      <c r="G5434" s="6" t="str">
        <f>IFERROR(__xludf.DUMMYFUNCTION("GOOGLETRANSLATE(E5434,""fr"",""it"")"),"Si fida dei rapporti, ma non è il suo senso del gusto.")</f>
        <v>Si fida dei rapporti, ma non è il suo senso del gusto.</v>
      </c>
    </row>
    <row r="5435">
      <c r="A5435" s="4">
        <v>5433.0</v>
      </c>
      <c r="B5435" s="5" t="s">
        <v>16306</v>
      </c>
      <c r="C5435" s="4">
        <v>1.0</v>
      </c>
      <c r="D5435" s="5" t="s">
        <v>16307</v>
      </c>
      <c r="E5435" s="5" t="s">
        <v>16308</v>
      </c>
      <c r="F5435" s="6" t="str">
        <f>IFERROR(__xludf.DUMMYFUNCTION("GOOGLETRANSLATE(D5435,""en"",""it"")"),"Si fida del suo gusto, ma non delle ricostruzioni.")</f>
        <v>Si fida del suo gusto, ma non delle ricostruzioni.</v>
      </c>
      <c r="G5435" s="6" t="str">
        <f>IFERROR(__xludf.DUMMYFUNCTION("GOOGLETRANSLATE(E5435,""fr"",""it"")"),"Si fida del suo senso del gusto, ma non delle ricostruzioni.")</f>
        <v>Si fida del suo senso del gusto, ma non delle ricostruzioni.</v>
      </c>
    </row>
    <row r="5436">
      <c r="A5436" s="4">
        <v>5434.0</v>
      </c>
      <c r="B5436" s="5" t="s">
        <v>16309</v>
      </c>
      <c r="C5436" s="4">
        <v>1.0</v>
      </c>
      <c r="D5436" s="5" t="s">
        <v>16310</v>
      </c>
      <c r="E5436" s="5" t="s">
        <v>16311</v>
      </c>
      <c r="F5436" s="6" t="str">
        <f>IFERROR(__xludf.DUMMYFUNCTION("GOOGLETRANSLATE(D5436,""en"",""it"")"),"Si fida di ricostruzioni, ma non i suoi gusti.")</f>
        <v>Si fida di ricostruzioni, ma non i suoi gusti.</v>
      </c>
      <c r="G5436" s="6" t="str">
        <f>IFERROR(__xludf.DUMMYFUNCTION("GOOGLETRANSLATE(E5436,""fr"",""it"")"),"Si fida di ricostruzioni, ma non il suo senso del gusto.")</f>
        <v>Si fida di ricostruzioni, ma non il suo senso del gusto.</v>
      </c>
    </row>
    <row r="5437">
      <c r="A5437" s="4">
        <v>5435.0</v>
      </c>
      <c r="B5437" s="5" t="s">
        <v>16312</v>
      </c>
      <c r="C5437" s="4">
        <v>1.0</v>
      </c>
      <c r="D5437" s="5" t="s">
        <v>16313</v>
      </c>
      <c r="E5437" s="5" t="s">
        <v>16314</v>
      </c>
      <c r="F5437" s="6" t="str">
        <f>IFERROR(__xludf.DUMMYFUNCTION("GOOGLETRANSLATE(D5437,""en"",""it"")"),"Si fida del suo gusto, ma non indovina.")</f>
        <v>Si fida del suo gusto, ma non indovina.</v>
      </c>
      <c r="G5437" s="6" t="str">
        <f>IFERROR(__xludf.DUMMYFUNCTION("GOOGLETRANSLATE(E5437,""fr"",""it"")"),"Si fida del suo senso del gusto, ma non sulle ipotesi.")</f>
        <v>Si fida del suo senso del gusto, ma non sulle ipotesi.</v>
      </c>
    </row>
    <row r="5438">
      <c r="A5438" s="4">
        <v>5436.0</v>
      </c>
      <c r="B5438" s="5" t="s">
        <v>16315</v>
      </c>
      <c r="C5438" s="4">
        <v>1.0</v>
      </c>
      <c r="D5438" s="5" t="s">
        <v>16316</v>
      </c>
      <c r="E5438" s="5" t="s">
        <v>16317</v>
      </c>
      <c r="F5438" s="6" t="str">
        <f>IFERROR(__xludf.DUMMYFUNCTION("GOOGLETRANSLATE(D5438,""en"",""it"")"),"Si fida indovina, ma non i suoi gusti.")</f>
        <v>Si fida indovina, ma non i suoi gusti.</v>
      </c>
      <c r="G5438" s="6" t="str">
        <f>IFERROR(__xludf.DUMMYFUNCTION("GOOGLETRANSLATE(E5438,""fr"",""it"")"),"Si fida deipotesi, ma non il suo senso del gusto.")</f>
        <v>Si fida deipotesi, ma non il suo senso del gusto.</v>
      </c>
    </row>
    <row r="5439">
      <c r="A5439" s="4">
        <v>5437.0</v>
      </c>
      <c r="B5439" s="5" t="s">
        <v>16318</v>
      </c>
      <c r="C5439" s="4">
        <v>1.0</v>
      </c>
      <c r="D5439" s="5" t="s">
        <v>16319</v>
      </c>
      <c r="E5439" s="5" t="s">
        <v>16320</v>
      </c>
      <c r="F5439" s="6" t="str">
        <f>IFERROR(__xludf.DUMMYFUNCTION("GOOGLETRANSLATE(D5439,""en"",""it"")"),"A lui piace la gioia, ma non la saggezza.")</f>
        <v>A lui piace la gioia, ma non la saggezza.</v>
      </c>
      <c r="G5439" s="6" t="str">
        <f>IFERROR(__xludf.DUMMYFUNCTION("GOOGLETRANSLATE(E5439,""fr"",""it"")"),"Posso capire la gioia, ma non la saggezza.")</f>
        <v>Posso capire la gioia, ma non la saggezza.</v>
      </c>
    </row>
    <row r="5440">
      <c r="A5440" s="4">
        <v>5438.0</v>
      </c>
      <c r="B5440" s="5" t="s">
        <v>16321</v>
      </c>
      <c r="C5440" s="4">
        <v>1.0</v>
      </c>
      <c r="D5440" s="5" t="s">
        <v>16322</v>
      </c>
      <c r="E5440" s="5" t="s">
        <v>16323</v>
      </c>
      <c r="F5440" s="6" t="str">
        <f>IFERROR(__xludf.DUMMYFUNCTION("GOOGLETRANSLATE(D5440,""en"",""it"")"),"A lui piace la saggezza, ma non la gioia.")</f>
        <v>A lui piace la saggezza, ma non la gioia.</v>
      </c>
      <c r="G5440" s="6" t="str">
        <f>IFERROR(__xludf.DUMMYFUNCTION("GOOGLETRANSLATE(E5440,""fr"",""it"")"),"Posso capire la saggezza, ma non la gioia.")</f>
        <v>Posso capire la saggezza, ma non la gioia.</v>
      </c>
    </row>
    <row r="5441">
      <c r="A5441" s="4">
        <v>5439.0</v>
      </c>
      <c r="B5441" s="5" t="s">
        <v>16324</v>
      </c>
      <c r="C5441" s="4">
        <v>0.0</v>
      </c>
      <c r="D5441" s="5" t="s">
        <v>16325</v>
      </c>
      <c r="E5441" s="5" t="s">
        <v>16326</v>
      </c>
      <c r="F5441" s="6" t="str">
        <f>IFERROR(__xludf.DUMMYFUNCTION("GOOGLETRANSLATE(D5441,""en"",""it"")"),"A lui piace la gioia, ma non le emozioni.")</f>
        <v>A lui piace la gioia, ma non le emozioni.</v>
      </c>
      <c r="G5441" s="6" t="str">
        <f>IFERROR(__xludf.DUMMYFUNCTION("GOOGLETRANSLATE(E5441,""fr"",""it"")"),"Posso capire la gioia, ma non le emozioni.")</f>
        <v>Posso capire la gioia, ma non le emozioni.</v>
      </c>
    </row>
    <row r="5442">
      <c r="A5442" s="4">
        <v>5440.0</v>
      </c>
      <c r="B5442" s="5" t="s">
        <v>16327</v>
      </c>
      <c r="C5442" s="4">
        <v>1.0</v>
      </c>
      <c r="D5442" s="5" t="s">
        <v>16328</v>
      </c>
      <c r="E5442" s="5" t="s">
        <v>16329</v>
      </c>
      <c r="F5442" s="6" t="str">
        <f>IFERROR(__xludf.DUMMYFUNCTION("GOOGLETRANSLATE(D5442,""en"",""it"")"),"Gli piace le emozioni, ma non la gioia.")</f>
        <v>Gli piace le emozioni, ma non la gioia.</v>
      </c>
      <c r="G5442" s="6" t="str">
        <f>IFERROR(__xludf.DUMMYFUNCTION("GOOGLETRANSLATE(E5442,""fr"",""it"")"),"Posso capire le emozioni, ma non la gioia.")</f>
        <v>Posso capire le emozioni, ma non la gioia.</v>
      </c>
    </row>
    <row r="5443">
      <c r="A5443" s="4">
        <v>5441.0</v>
      </c>
      <c r="B5443" s="5" t="s">
        <v>16330</v>
      </c>
      <c r="C5443" s="4">
        <v>1.0</v>
      </c>
      <c r="D5443" s="5" t="s">
        <v>16331</v>
      </c>
      <c r="E5443" s="5" t="s">
        <v>16332</v>
      </c>
      <c r="F5443" s="6" t="str">
        <f>IFERROR(__xludf.DUMMYFUNCTION("GOOGLETRANSLATE(D5443,""en"",""it"")"),"Gli piace le emozioni, ma non la saggezza.")</f>
        <v>Gli piace le emozioni, ma non la saggezza.</v>
      </c>
      <c r="G5443" s="6" t="str">
        <f>IFERROR(__xludf.DUMMYFUNCTION("GOOGLETRANSLATE(E5443,""fr"",""it"")"),"Posso capire le emozioni, ma non la saggezza.")</f>
        <v>Posso capire le emozioni, ma non la saggezza.</v>
      </c>
    </row>
    <row r="5444">
      <c r="A5444" s="4">
        <v>5442.0</v>
      </c>
      <c r="B5444" s="5" t="s">
        <v>16333</v>
      </c>
      <c r="C5444" s="4">
        <v>1.0</v>
      </c>
      <c r="D5444" s="5" t="s">
        <v>16334</v>
      </c>
      <c r="E5444" s="5" t="s">
        <v>16335</v>
      </c>
      <c r="F5444" s="6" t="str">
        <f>IFERROR(__xludf.DUMMYFUNCTION("GOOGLETRANSLATE(D5444,""en"",""it"")"),"A lui piace la gioia, ma non la stupidità.")</f>
        <v>A lui piace la gioia, ma non la stupidità.</v>
      </c>
      <c r="G5444" s="6" t="str">
        <f>IFERROR(__xludf.DUMMYFUNCTION("GOOGLETRANSLATE(E5444,""fr"",""it"")"),"Posso capire la gioia, ma non la stupidità.")</f>
        <v>Posso capire la gioia, ma non la stupidità.</v>
      </c>
    </row>
    <row r="5445">
      <c r="A5445" s="4">
        <v>5443.0</v>
      </c>
      <c r="B5445" s="5" t="s">
        <v>16336</v>
      </c>
      <c r="C5445" s="4">
        <v>1.0</v>
      </c>
      <c r="D5445" s="5" t="s">
        <v>16337</v>
      </c>
      <c r="E5445" s="5" t="s">
        <v>16338</v>
      </c>
      <c r="F5445" s="6" t="str">
        <f>IFERROR(__xludf.DUMMYFUNCTION("GOOGLETRANSLATE(D5445,""en"",""it"")"),"A lui piace la stupidità, ma non la gioia.")</f>
        <v>A lui piace la stupidità, ma non la gioia.</v>
      </c>
      <c r="G5445" s="6" t="str">
        <f>IFERROR(__xludf.DUMMYFUNCTION("GOOGLETRANSLATE(E5445,""fr"",""it"")"),"Posso capire la stupidità, ma non la gioia.")</f>
        <v>Posso capire la stupidità, ma non la gioia.</v>
      </c>
    </row>
    <row r="5446">
      <c r="A5446" s="4">
        <v>5444.0</v>
      </c>
      <c r="B5446" s="5" t="s">
        <v>16339</v>
      </c>
      <c r="C5446" s="4">
        <v>1.0</v>
      </c>
      <c r="D5446" s="5" t="s">
        <v>16340</v>
      </c>
      <c r="E5446" s="5" t="s">
        <v>16341</v>
      </c>
      <c r="F5446" s="6" t="str">
        <f>IFERROR(__xludf.DUMMYFUNCTION("GOOGLETRANSLATE(D5446,""en"",""it"")"),"Gli piace le emozioni, ma non la stupidità.")</f>
        <v>Gli piace le emozioni, ma non la stupidità.</v>
      </c>
      <c r="G5446" s="6" t="str">
        <f>IFERROR(__xludf.DUMMYFUNCTION("GOOGLETRANSLATE(E5446,""fr"",""it"")"),"Posso capire le emozioni, ma non la stupidità.")</f>
        <v>Posso capire le emozioni, ma non la stupidità.</v>
      </c>
    </row>
    <row r="5447">
      <c r="A5447" s="4">
        <v>5445.0</v>
      </c>
      <c r="B5447" s="5" t="s">
        <v>16342</v>
      </c>
      <c r="C5447" s="4">
        <v>1.0</v>
      </c>
      <c r="D5447" s="5" t="s">
        <v>16343</v>
      </c>
      <c r="E5447" s="5" t="s">
        <v>16344</v>
      </c>
      <c r="F5447" s="6" t="str">
        <f>IFERROR(__xludf.DUMMYFUNCTION("GOOGLETRANSLATE(D5447,""en"",""it"")"),"A lui piace la gioia, ma non la logica.")</f>
        <v>A lui piace la gioia, ma non la logica.</v>
      </c>
      <c r="G5447" s="6" t="str">
        <f>IFERROR(__xludf.DUMMYFUNCTION("GOOGLETRANSLATE(E5447,""fr"",""it"")"),"Posso capire la gioia, ma non la logica.")</f>
        <v>Posso capire la gioia, ma non la logica.</v>
      </c>
    </row>
    <row r="5448">
      <c r="A5448" s="4">
        <v>5446.0</v>
      </c>
      <c r="B5448" s="5" t="s">
        <v>16345</v>
      </c>
      <c r="C5448" s="4">
        <v>1.0</v>
      </c>
      <c r="D5448" s="5" t="s">
        <v>16346</v>
      </c>
      <c r="E5448" s="5" t="s">
        <v>16347</v>
      </c>
      <c r="F5448" s="6" t="str">
        <f>IFERROR(__xludf.DUMMYFUNCTION("GOOGLETRANSLATE(D5448,""en"",""it"")"),"Gli piace la logica, ma non la gioia.")</f>
        <v>Gli piace la logica, ma non la gioia.</v>
      </c>
      <c r="G5448" s="6" t="str">
        <f>IFERROR(__xludf.DUMMYFUNCTION("GOOGLETRANSLATE(E5448,""fr"",""it"")"),"Posso capire la logica, ma non la gioia.")</f>
        <v>Posso capire la logica, ma non la gioia.</v>
      </c>
    </row>
    <row r="5449">
      <c r="A5449" s="4">
        <v>5447.0</v>
      </c>
      <c r="B5449" s="5" t="s">
        <v>16348</v>
      </c>
      <c r="C5449" s="4">
        <v>1.0</v>
      </c>
      <c r="D5449" s="5" t="s">
        <v>16349</v>
      </c>
      <c r="E5449" s="5" t="s">
        <v>16350</v>
      </c>
      <c r="F5449" s="6" t="str">
        <f>IFERROR(__xludf.DUMMYFUNCTION("GOOGLETRANSLATE(D5449,""en"",""it"")"),"Gli piace le emozioni, ma non la logica.")</f>
        <v>Gli piace le emozioni, ma non la logica.</v>
      </c>
      <c r="G5449" s="6" t="str">
        <f>IFERROR(__xludf.DUMMYFUNCTION("GOOGLETRANSLATE(E5449,""fr"",""it"")"),"Posso capire le emozioni, ma non la logica.")</f>
        <v>Posso capire le emozioni, ma non la logica.</v>
      </c>
    </row>
    <row r="5450">
      <c r="A5450" s="4">
        <v>5448.0</v>
      </c>
      <c r="B5450" s="5" t="s">
        <v>16351</v>
      </c>
      <c r="C5450" s="4">
        <v>1.0</v>
      </c>
      <c r="D5450" s="5" t="s">
        <v>16352</v>
      </c>
      <c r="E5450" s="5" t="s">
        <v>16353</v>
      </c>
      <c r="F5450" s="6" t="str">
        <f>IFERROR(__xludf.DUMMYFUNCTION("GOOGLETRANSLATE(D5450,""en"",""it"")"),"A lui piace la gioia, ma non calcoli.")</f>
        <v>A lui piace la gioia, ma non calcoli.</v>
      </c>
      <c r="G5450" s="6" t="str">
        <f>IFERROR(__xludf.DUMMYFUNCTION("GOOGLETRANSLATE(E5450,""fr"",""it"")"),"Posso capire la gioia, ma non i calcoli.")</f>
        <v>Posso capire la gioia, ma non i calcoli.</v>
      </c>
    </row>
    <row r="5451">
      <c r="A5451" s="4">
        <v>5449.0</v>
      </c>
      <c r="B5451" s="5" t="s">
        <v>16354</v>
      </c>
      <c r="C5451" s="4">
        <v>1.0</v>
      </c>
      <c r="D5451" s="5" t="s">
        <v>16355</v>
      </c>
      <c r="E5451" s="5" t="s">
        <v>16356</v>
      </c>
      <c r="F5451" s="6" t="str">
        <f>IFERROR(__xludf.DUMMYFUNCTION("GOOGLETRANSLATE(D5451,""en"",""it"")"),"Gli piacciono i calcoli, ma non la gioia.")</f>
        <v>Gli piacciono i calcoli, ma non la gioia.</v>
      </c>
      <c r="G5451" s="6" t="str">
        <f>IFERROR(__xludf.DUMMYFUNCTION("GOOGLETRANSLATE(E5451,""fr"",""it"")"),"Posso capire i calcoli, ma non la gioia.")</f>
        <v>Posso capire i calcoli, ma non la gioia.</v>
      </c>
    </row>
    <row r="5452">
      <c r="A5452" s="4">
        <v>5450.0</v>
      </c>
      <c r="B5452" s="5" t="s">
        <v>16357</v>
      </c>
      <c r="C5452" s="4">
        <v>1.0</v>
      </c>
      <c r="D5452" s="5" t="s">
        <v>16358</v>
      </c>
      <c r="E5452" s="5" t="s">
        <v>16359</v>
      </c>
      <c r="F5452" s="6" t="str">
        <f>IFERROR(__xludf.DUMMYFUNCTION("GOOGLETRANSLATE(D5452,""en"",""it"")"),"Gli piace le emozioni, ma non i calcoli.")</f>
        <v>Gli piace le emozioni, ma non i calcoli.</v>
      </c>
      <c r="G5452" s="6" t="str">
        <f>IFERROR(__xludf.DUMMYFUNCTION("GOOGLETRANSLATE(E5452,""fr"",""it"")"),"Posso capire le emozioni, ma non i calcoli.")</f>
        <v>Posso capire le emozioni, ma non i calcoli.</v>
      </c>
    </row>
    <row r="5453">
      <c r="A5453" s="4">
        <v>5451.0</v>
      </c>
      <c r="B5453" s="5" t="s">
        <v>16360</v>
      </c>
      <c r="C5453" s="4">
        <v>1.0</v>
      </c>
      <c r="D5453" s="5" t="s">
        <v>16361</v>
      </c>
      <c r="E5453" s="5" t="s">
        <v>16362</v>
      </c>
      <c r="F5453" s="6" t="str">
        <f>IFERROR(__xludf.DUMMYFUNCTION("GOOGLETRANSLATE(D5453,""en"",""it"")"),"Gli piace la paura, ma non la saggezza.")</f>
        <v>Gli piace la paura, ma non la saggezza.</v>
      </c>
      <c r="G5453" s="6" t="str">
        <f>IFERROR(__xludf.DUMMYFUNCTION("GOOGLETRANSLATE(E5453,""fr"",""it"")"),"Posso capire la paura, ma non la saggezza.")</f>
        <v>Posso capire la paura, ma non la saggezza.</v>
      </c>
    </row>
    <row r="5454">
      <c r="A5454" s="4">
        <v>5452.0</v>
      </c>
      <c r="B5454" s="5" t="s">
        <v>16363</v>
      </c>
      <c r="C5454" s="4">
        <v>1.0</v>
      </c>
      <c r="D5454" s="5" t="s">
        <v>16364</v>
      </c>
      <c r="E5454" s="5" t="s">
        <v>16365</v>
      </c>
      <c r="F5454" s="6" t="str">
        <f>IFERROR(__xludf.DUMMYFUNCTION("GOOGLETRANSLATE(D5454,""en"",""it"")"),"A lui piace la saggezza, ma non la paura.")</f>
        <v>A lui piace la saggezza, ma non la paura.</v>
      </c>
      <c r="G5454" s="6" t="str">
        <f>IFERROR(__xludf.DUMMYFUNCTION("GOOGLETRANSLATE(E5454,""fr"",""it"")"),"Posso capire la saggezza, ma non la paura.")</f>
        <v>Posso capire la saggezza, ma non la paura.</v>
      </c>
    </row>
    <row r="5455">
      <c r="A5455" s="4">
        <v>5453.0</v>
      </c>
      <c r="B5455" s="5" t="s">
        <v>16366</v>
      </c>
      <c r="C5455" s="4">
        <v>0.0</v>
      </c>
      <c r="D5455" s="5" t="s">
        <v>16367</v>
      </c>
      <c r="E5455" s="5" t="s">
        <v>16368</v>
      </c>
      <c r="F5455" s="6" t="str">
        <f>IFERROR(__xludf.DUMMYFUNCTION("GOOGLETRANSLATE(D5455,""en"",""it"")"),"Gli piace la paura, ma non le emozioni.")</f>
        <v>Gli piace la paura, ma non le emozioni.</v>
      </c>
      <c r="G5455" s="6" t="str">
        <f>IFERROR(__xludf.DUMMYFUNCTION("GOOGLETRANSLATE(E5455,""fr"",""it"")"),"Posso capire la paura, ma non le emozioni.")</f>
        <v>Posso capire la paura, ma non le emozioni.</v>
      </c>
    </row>
    <row r="5456">
      <c r="A5456" s="4">
        <v>5454.0</v>
      </c>
      <c r="B5456" s="5" t="s">
        <v>16369</v>
      </c>
      <c r="C5456" s="4">
        <v>1.0</v>
      </c>
      <c r="D5456" s="5" t="s">
        <v>16370</v>
      </c>
      <c r="E5456" s="5" t="s">
        <v>16371</v>
      </c>
      <c r="F5456" s="6" t="str">
        <f>IFERROR(__xludf.DUMMYFUNCTION("GOOGLETRANSLATE(D5456,""en"",""it"")"),"Gli piace le emozioni, ma non la paura.")</f>
        <v>Gli piace le emozioni, ma non la paura.</v>
      </c>
      <c r="G5456" s="6" t="str">
        <f>IFERROR(__xludf.DUMMYFUNCTION("GOOGLETRANSLATE(E5456,""fr"",""it"")"),"Posso capire le emozioni, ma non la paura.")</f>
        <v>Posso capire le emozioni, ma non la paura.</v>
      </c>
    </row>
    <row r="5457">
      <c r="A5457" s="4">
        <v>5455.0</v>
      </c>
      <c r="B5457" s="5" t="s">
        <v>16372</v>
      </c>
      <c r="C5457" s="4">
        <v>1.0</v>
      </c>
      <c r="D5457" s="5" t="s">
        <v>16373</v>
      </c>
      <c r="E5457" s="5" t="s">
        <v>16374</v>
      </c>
      <c r="F5457" s="6" t="str">
        <f>IFERROR(__xludf.DUMMYFUNCTION("GOOGLETRANSLATE(D5457,""en"",""it"")"),"Gli piace la paura, ma non la stupidità.")</f>
        <v>Gli piace la paura, ma non la stupidità.</v>
      </c>
      <c r="G5457" s="6" t="str">
        <f>IFERROR(__xludf.DUMMYFUNCTION("GOOGLETRANSLATE(E5457,""fr"",""it"")"),"Posso capire la paura, ma non la stupidità.")</f>
        <v>Posso capire la paura, ma non la stupidità.</v>
      </c>
    </row>
    <row r="5458">
      <c r="A5458" s="4">
        <v>5456.0</v>
      </c>
      <c r="B5458" s="5" t="s">
        <v>16375</v>
      </c>
      <c r="C5458" s="4">
        <v>1.0</v>
      </c>
      <c r="D5458" s="5" t="s">
        <v>16376</v>
      </c>
      <c r="E5458" s="5" t="s">
        <v>16377</v>
      </c>
      <c r="F5458" s="6" t="str">
        <f>IFERROR(__xludf.DUMMYFUNCTION("GOOGLETRANSLATE(D5458,""en"",""it"")"),"A lui piace la stupidità, ma non la paura.")</f>
        <v>A lui piace la stupidità, ma non la paura.</v>
      </c>
      <c r="G5458" s="6" t="str">
        <f>IFERROR(__xludf.DUMMYFUNCTION("GOOGLETRANSLATE(E5458,""fr"",""it"")"),"Posso capire la stupidità, ma non la paura.")</f>
        <v>Posso capire la stupidità, ma non la paura.</v>
      </c>
    </row>
    <row r="5459">
      <c r="A5459" s="4">
        <v>5457.0</v>
      </c>
      <c r="B5459" s="5" t="s">
        <v>16378</v>
      </c>
      <c r="C5459" s="4">
        <v>1.0</v>
      </c>
      <c r="D5459" s="5" t="s">
        <v>16379</v>
      </c>
      <c r="E5459" s="5" t="s">
        <v>16380</v>
      </c>
      <c r="F5459" s="6" t="str">
        <f>IFERROR(__xludf.DUMMYFUNCTION("GOOGLETRANSLATE(D5459,""en"",""it"")"),"Gli piace la paura, ma non la logica.")</f>
        <v>Gli piace la paura, ma non la logica.</v>
      </c>
      <c r="G5459" s="6" t="str">
        <f>IFERROR(__xludf.DUMMYFUNCTION("GOOGLETRANSLATE(E5459,""fr"",""it"")"),"Posso capire la paura, ma non la logica.")</f>
        <v>Posso capire la paura, ma non la logica.</v>
      </c>
    </row>
    <row r="5460">
      <c r="A5460" s="4">
        <v>5458.0</v>
      </c>
      <c r="B5460" s="5" t="s">
        <v>16381</v>
      </c>
      <c r="C5460" s="4">
        <v>1.0</v>
      </c>
      <c r="D5460" s="5" t="s">
        <v>16382</v>
      </c>
      <c r="E5460" s="5" t="s">
        <v>16383</v>
      </c>
      <c r="F5460" s="6" t="str">
        <f>IFERROR(__xludf.DUMMYFUNCTION("GOOGLETRANSLATE(D5460,""en"",""it"")"),"Gli piace la logica, ma non la paura.")</f>
        <v>Gli piace la logica, ma non la paura.</v>
      </c>
      <c r="G5460" s="6" t="str">
        <f>IFERROR(__xludf.DUMMYFUNCTION("GOOGLETRANSLATE(E5460,""fr"",""it"")"),"Posso capire la logica, ma non la paura.")</f>
        <v>Posso capire la logica, ma non la paura.</v>
      </c>
    </row>
    <row r="5461">
      <c r="A5461" s="4">
        <v>5459.0</v>
      </c>
      <c r="B5461" s="5" t="s">
        <v>16384</v>
      </c>
      <c r="C5461" s="4">
        <v>1.0</v>
      </c>
      <c r="D5461" s="5" t="s">
        <v>16385</v>
      </c>
      <c r="E5461" s="5" t="s">
        <v>16386</v>
      </c>
      <c r="F5461" s="6" t="str">
        <f>IFERROR(__xludf.DUMMYFUNCTION("GOOGLETRANSLATE(D5461,""en"",""it"")"),"Gli piace la paura, ma non i calcoli.")</f>
        <v>Gli piace la paura, ma non i calcoli.</v>
      </c>
      <c r="G5461" s="6" t="str">
        <f>IFERROR(__xludf.DUMMYFUNCTION("GOOGLETRANSLATE(E5461,""fr"",""it"")"),"Posso capire la paura, ma non i calcoli.")</f>
        <v>Posso capire la paura, ma non i calcoli.</v>
      </c>
    </row>
    <row r="5462">
      <c r="A5462" s="4">
        <v>5460.0</v>
      </c>
      <c r="B5462" s="5" t="s">
        <v>16387</v>
      </c>
      <c r="C5462" s="4">
        <v>1.0</v>
      </c>
      <c r="D5462" s="5" t="s">
        <v>16388</v>
      </c>
      <c r="E5462" s="5" t="s">
        <v>16389</v>
      </c>
      <c r="F5462" s="6" t="str">
        <f>IFERROR(__xludf.DUMMYFUNCTION("GOOGLETRANSLATE(D5462,""en"",""it"")"),"Gli piacciono i calcoli, ma non la paura.")</f>
        <v>Gli piacciono i calcoli, ma non la paura.</v>
      </c>
      <c r="G5462" s="6" t="str">
        <f>IFERROR(__xludf.DUMMYFUNCTION("GOOGLETRANSLATE(E5462,""fr"",""it"")"),"Posso capire i calcoli, ma non la paura.")</f>
        <v>Posso capire i calcoli, ma non la paura.</v>
      </c>
    </row>
    <row r="5463">
      <c r="A5463" s="4">
        <v>5461.0</v>
      </c>
      <c r="B5463" s="5" t="s">
        <v>16390</v>
      </c>
      <c r="C5463" s="4">
        <v>1.0</v>
      </c>
      <c r="D5463" s="5" t="s">
        <v>16391</v>
      </c>
      <c r="E5463" s="5" t="s">
        <v>16392</v>
      </c>
      <c r="F5463" s="6" t="str">
        <f>IFERROR(__xludf.DUMMYFUNCTION("GOOGLETRANSLATE(D5463,""en"",""it"")"),"Gli piace l'amore, ma non la saggezza.")</f>
        <v>Gli piace l'amore, ma non la saggezza.</v>
      </c>
      <c r="G5463" s="6" t="str">
        <f>IFERROR(__xludf.DUMMYFUNCTION("GOOGLETRANSLATE(E5463,""fr"",""it"")"),"Posso capire l'amore, ma non la saggezza.")</f>
        <v>Posso capire l'amore, ma non la saggezza.</v>
      </c>
    </row>
    <row r="5464">
      <c r="A5464" s="4">
        <v>5462.0</v>
      </c>
      <c r="B5464" s="5" t="s">
        <v>16393</v>
      </c>
      <c r="C5464" s="4">
        <v>1.0</v>
      </c>
      <c r="D5464" s="5" t="s">
        <v>16394</v>
      </c>
      <c r="E5464" s="5" t="s">
        <v>16395</v>
      </c>
      <c r="F5464" s="6" t="str">
        <f>IFERROR(__xludf.DUMMYFUNCTION("GOOGLETRANSLATE(D5464,""en"",""it"")"),"A lui piace la saggezza, ma non l'amore.")</f>
        <v>A lui piace la saggezza, ma non l'amore.</v>
      </c>
      <c r="G5464" s="6" t="str">
        <f>IFERROR(__xludf.DUMMYFUNCTION("GOOGLETRANSLATE(E5464,""fr"",""it"")"),"Posso capire la saggezza, ma non l'amore.")</f>
        <v>Posso capire la saggezza, ma non l'amore.</v>
      </c>
    </row>
    <row r="5465">
      <c r="A5465" s="4">
        <v>5463.0</v>
      </c>
      <c r="B5465" s="5" t="s">
        <v>16396</v>
      </c>
      <c r="C5465" s="4">
        <v>0.0</v>
      </c>
      <c r="D5465" s="5" t="s">
        <v>16397</v>
      </c>
      <c r="E5465" s="5" t="s">
        <v>16398</v>
      </c>
      <c r="F5465" s="6" t="str">
        <f>IFERROR(__xludf.DUMMYFUNCTION("GOOGLETRANSLATE(D5465,""en"",""it"")"),"Gli piace l'amore, ma non le emozioni.")</f>
        <v>Gli piace l'amore, ma non le emozioni.</v>
      </c>
      <c r="G5465" s="6" t="str">
        <f>IFERROR(__xludf.DUMMYFUNCTION("GOOGLETRANSLATE(E5465,""fr"",""it"")"),"Posso capire l'amore, ma non le emozioni.")</f>
        <v>Posso capire l'amore, ma non le emozioni.</v>
      </c>
    </row>
    <row r="5466">
      <c r="A5466" s="4">
        <v>5464.0</v>
      </c>
      <c r="B5466" s="5" t="s">
        <v>16399</v>
      </c>
      <c r="C5466" s="4">
        <v>1.0</v>
      </c>
      <c r="D5466" s="5" t="s">
        <v>16400</v>
      </c>
      <c r="E5466" s="5" t="s">
        <v>16401</v>
      </c>
      <c r="F5466" s="6" t="str">
        <f>IFERROR(__xludf.DUMMYFUNCTION("GOOGLETRANSLATE(D5466,""en"",""it"")"),"Gli piace le emozioni, ma non l'amore.")</f>
        <v>Gli piace le emozioni, ma non l'amore.</v>
      </c>
      <c r="G5466" s="6" t="str">
        <f>IFERROR(__xludf.DUMMYFUNCTION("GOOGLETRANSLATE(E5466,""fr"",""it"")"),"Posso capire le emozioni, ma non l'amore.")</f>
        <v>Posso capire le emozioni, ma non l'amore.</v>
      </c>
    </row>
    <row r="5467">
      <c r="A5467" s="4">
        <v>5465.0</v>
      </c>
      <c r="B5467" s="5" t="s">
        <v>16402</v>
      </c>
      <c r="C5467" s="4">
        <v>1.0</v>
      </c>
      <c r="D5467" s="5" t="s">
        <v>16403</v>
      </c>
      <c r="E5467" s="5" t="s">
        <v>16404</v>
      </c>
      <c r="F5467" s="6" t="str">
        <f>IFERROR(__xludf.DUMMYFUNCTION("GOOGLETRANSLATE(D5467,""en"",""it"")"),"Gli piace l'amore, ma non la stupidità.")</f>
        <v>Gli piace l'amore, ma non la stupidità.</v>
      </c>
      <c r="G5467" s="6" t="str">
        <f>IFERROR(__xludf.DUMMYFUNCTION("GOOGLETRANSLATE(E5467,""fr"",""it"")"),"Posso capire l'amore, ma non la stupidità.")</f>
        <v>Posso capire l'amore, ma non la stupidità.</v>
      </c>
    </row>
    <row r="5468">
      <c r="A5468" s="4">
        <v>5466.0</v>
      </c>
      <c r="B5468" s="5" t="s">
        <v>16405</v>
      </c>
      <c r="C5468" s="4">
        <v>1.0</v>
      </c>
      <c r="D5468" s="5" t="s">
        <v>16406</v>
      </c>
      <c r="E5468" s="5" t="s">
        <v>16407</v>
      </c>
      <c r="F5468" s="6" t="str">
        <f>IFERROR(__xludf.DUMMYFUNCTION("GOOGLETRANSLATE(D5468,""en"",""it"")"),"A lui piace la stupidità, ma non l'amore.")</f>
        <v>A lui piace la stupidità, ma non l'amore.</v>
      </c>
      <c r="G5468" s="6" t="str">
        <f>IFERROR(__xludf.DUMMYFUNCTION("GOOGLETRANSLATE(E5468,""fr"",""it"")"),"Posso capire la stupidità, ma non l'amore.")</f>
        <v>Posso capire la stupidità, ma non l'amore.</v>
      </c>
    </row>
    <row r="5469">
      <c r="A5469" s="4">
        <v>5467.0</v>
      </c>
      <c r="B5469" s="5" t="s">
        <v>16408</v>
      </c>
      <c r="C5469" s="4">
        <v>1.0</v>
      </c>
      <c r="D5469" s="5" t="s">
        <v>16409</v>
      </c>
      <c r="E5469" s="5" t="s">
        <v>16410</v>
      </c>
      <c r="F5469" s="6" t="str">
        <f>IFERROR(__xludf.DUMMYFUNCTION("GOOGLETRANSLATE(D5469,""en"",""it"")"),"Gli piace l'amore, ma non la logica.")</f>
        <v>Gli piace l'amore, ma non la logica.</v>
      </c>
      <c r="G5469" s="6" t="str">
        <f>IFERROR(__xludf.DUMMYFUNCTION("GOOGLETRANSLATE(E5469,""fr"",""it"")"),"Posso capire l'amore, ma non la logica.")</f>
        <v>Posso capire l'amore, ma non la logica.</v>
      </c>
    </row>
    <row r="5470">
      <c r="A5470" s="4">
        <v>5468.0</v>
      </c>
      <c r="B5470" s="5" t="s">
        <v>16411</v>
      </c>
      <c r="C5470" s="4">
        <v>1.0</v>
      </c>
      <c r="D5470" s="5" t="s">
        <v>16412</v>
      </c>
      <c r="E5470" s="5" t="s">
        <v>16413</v>
      </c>
      <c r="F5470" s="6" t="str">
        <f>IFERROR(__xludf.DUMMYFUNCTION("GOOGLETRANSLATE(D5470,""en"",""it"")"),"Gli piace la logica, ma non l'amore.")</f>
        <v>Gli piace la logica, ma non l'amore.</v>
      </c>
      <c r="G5470" s="6" t="str">
        <f>IFERROR(__xludf.DUMMYFUNCTION("GOOGLETRANSLATE(E5470,""fr"",""it"")"),"Posso capire la logica, ma non l'amore.")</f>
        <v>Posso capire la logica, ma non l'amore.</v>
      </c>
    </row>
    <row r="5471">
      <c r="A5471" s="4">
        <v>5469.0</v>
      </c>
      <c r="B5471" s="5" t="s">
        <v>16414</v>
      </c>
      <c r="C5471" s="4">
        <v>1.0</v>
      </c>
      <c r="D5471" s="5" t="s">
        <v>16415</v>
      </c>
      <c r="E5471" s="5" t="s">
        <v>16416</v>
      </c>
      <c r="F5471" s="6" t="str">
        <f>IFERROR(__xludf.DUMMYFUNCTION("GOOGLETRANSLATE(D5471,""en"",""it"")"),"Gli piace l'amore, ma non i calcoli.")</f>
        <v>Gli piace l'amore, ma non i calcoli.</v>
      </c>
      <c r="G5471" s="6" t="str">
        <f>IFERROR(__xludf.DUMMYFUNCTION("GOOGLETRANSLATE(E5471,""fr"",""it"")"),"Posso capire l'amore, ma non i calcoli.")</f>
        <v>Posso capire l'amore, ma non i calcoli.</v>
      </c>
    </row>
    <row r="5472">
      <c r="A5472" s="4">
        <v>5470.0</v>
      </c>
      <c r="B5472" s="5" t="s">
        <v>16417</v>
      </c>
      <c r="C5472" s="4">
        <v>1.0</v>
      </c>
      <c r="D5472" s="5" t="s">
        <v>16418</v>
      </c>
      <c r="E5472" s="5" t="s">
        <v>16419</v>
      </c>
      <c r="F5472" s="6" t="str">
        <f>IFERROR(__xludf.DUMMYFUNCTION("GOOGLETRANSLATE(D5472,""en"",""it"")"),"Gli piace i calcoli, ma non l'amore.")</f>
        <v>Gli piace i calcoli, ma non l'amore.</v>
      </c>
      <c r="G5472" s="6" t="str">
        <f>IFERROR(__xludf.DUMMYFUNCTION("GOOGLETRANSLATE(E5472,""fr"",""it"")"),"Posso capire i calcoli, ma non amare.")</f>
        <v>Posso capire i calcoli, ma non amare.</v>
      </c>
    </row>
    <row r="5473">
      <c r="A5473" s="4">
        <v>5471.0</v>
      </c>
      <c r="B5473" s="5" t="s">
        <v>16420</v>
      </c>
      <c r="C5473" s="4">
        <v>1.0</v>
      </c>
      <c r="D5473" s="5" t="s">
        <v>16421</v>
      </c>
      <c r="E5473" s="5" t="s">
        <v>16422</v>
      </c>
      <c r="F5473" s="6" t="str">
        <f>IFERROR(__xludf.DUMMYFUNCTION("GOOGLETRANSLATE(D5473,""en"",""it"")"),"A lui piace la tristezza, ma non la saggezza.")</f>
        <v>A lui piace la tristezza, ma non la saggezza.</v>
      </c>
      <c r="G5473" s="6" t="str">
        <f>IFERROR(__xludf.DUMMYFUNCTION("GOOGLETRANSLATE(E5473,""fr"",""it"")"),"Posso capire la tristezza, ma non la saggezza.")</f>
        <v>Posso capire la tristezza, ma non la saggezza.</v>
      </c>
    </row>
    <row r="5474">
      <c r="A5474" s="4">
        <v>5472.0</v>
      </c>
      <c r="B5474" s="5" t="s">
        <v>16423</v>
      </c>
      <c r="C5474" s="4">
        <v>1.0</v>
      </c>
      <c r="D5474" s="5" t="s">
        <v>16424</v>
      </c>
      <c r="E5474" s="5" t="s">
        <v>16425</v>
      </c>
      <c r="F5474" s="6" t="str">
        <f>IFERROR(__xludf.DUMMYFUNCTION("GOOGLETRANSLATE(D5474,""en"",""it"")"),"A lui piace la saggezza, ma non la tristezza.")</f>
        <v>A lui piace la saggezza, ma non la tristezza.</v>
      </c>
      <c r="G5474" s="6" t="str">
        <f>IFERROR(__xludf.DUMMYFUNCTION("GOOGLETRANSLATE(E5474,""fr"",""it"")"),"Posso capire la saggezza, ma non la tristezza.")</f>
        <v>Posso capire la saggezza, ma non la tristezza.</v>
      </c>
    </row>
    <row r="5475">
      <c r="A5475" s="4">
        <v>5473.0</v>
      </c>
      <c r="B5475" s="5" t="s">
        <v>16426</v>
      </c>
      <c r="C5475" s="4">
        <v>0.0</v>
      </c>
      <c r="D5475" s="5" t="s">
        <v>16427</v>
      </c>
      <c r="E5475" s="5" t="s">
        <v>16428</v>
      </c>
      <c r="F5475" s="6" t="str">
        <f>IFERROR(__xludf.DUMMYFUNCTION("GOOGLETRANSLATE(D5475,""en"",""it"")"),"A lui piace la tristezza, ma non le emozioni.")</f>
        <v>A lui piace la tristezza, ma non le emozioni.</v>
      </c>
      <c r="G5475" s="6" t="str">
        <f>IFERROR(__xludf.DUMMYFUNCTION("GOOGLETRANSLATE(E5475,""fr"",""it"")"),"Posso capire la tristezza, ma non le emozioni.")</f>
        <v>Posso capire la tristezza, ma non le emozioni.</v>
      </c>
    </row>
    <row r="5476">
      <c r="A5476" s="4">
        <v>5474.0</v>
      </c>
      <c r="B5476" s="5" t="s">
        <v>16429</v>
      </c>
      <c r="C5476" s="4">
        <v>1.0</v>
      </c>
      <c r="D5476" s="5" t="s">
        <v>16430</v>
      </c>
      <c r="E5476" s="5" t="s">
        <v>16431</v>
      </c>
      <c r="F5476" s="6" t="str">
        <f>IFERROR(__xludf.DUMMYFUNCTION("GOOGLETRANSLATE(D5476,""en"",""it"")"),"Gli piace le emozioni, ma non la tristezza.")</f>
        <v>Gli piace le emozioni, ma non la tristezza.</v>
      </c>
      <c r="G5476" s="6" t="str">
        <f>IFERROR(__xludf.DUMMYFUNCTION("GOOGLETRANSLATE(E5476,""fr"",""it"")"),"Posso capire le emozioni, ma non la tristezza.")</f>
        <v>Posso capire le emozioni, ma non la tristezza.</v>
      </c>
    </row>
    <row r="5477">
      <c r="A5477" s="4">
        <v>5475.0</v>
      </c>
      <c r="B5477" s="5" t="s">
        <v>16432</v>
      </c>
      <c r="C5477" s="4">
        <v>1.0</v>
      </c>
      <c r="D5477" s="5" t="s">
        <v>16433</v>
      </c>
      <c r="E5477" s="5" t="s">
        <v>16434</v>
      </c>
      <c r="F5477" s="6" t="str">
        <f>IFERROR(__xludf.DUMMYFUNCTION("GOOGLETRANSLATE(D5477,""en"",""it"")"),"A lui piace la tristezza, ma non la stupidità.")</f>
        <v>A lui piace la tristezza, ma non la stupidità.</v>
      </c>
      <c r="G5477" s="6" t="str">
        <f>IFERROR(__xludf.DUMMYFUNCTION("GOOGLETRANSLATE(E5477,""fr"",""it"")"),"Posso capire la tristezza, ma non la stupidità.")</f>
        <v>Posso capire la tristezza, ma non la stupidità.</v>
      </c>
    </row>
    <row r="5478">
      <c r="A5478" s="4">
        <v>5476.0</v>
      </c>
      <c r="B5478" s="5" t="s">
        <v>16435</v>
      </c>
      <c r="C5478" s="4">
        <v>1.0</v>
      </c>
      <c r="D5478" s="5" t="s">
        <v>16436</v>
      </c>
      <c r="E5478" s="5" t="s">
        <v>16437</v>
      </c>
      <c r="F5478" s="6" t="str">
        <f>IFERROR(__xludf.DUMMYFUNCTION("GOOGLETRANSLATE(D5478,""en"",""it"")"),"A lui piace la stupidità, ma non la tristezza.")</f>
        <v>A lui piace la stupidità, ma non la tristezza.</v>
      </c>
      <c r="G5478" s="6" t="str">
        <f>IFERROR(__xludf.DUMMYFUNCTION("GOOGLETRANSLATE(E5478,""fr"",""it"")"),"Posso capire la stupidità, ma non la tristezza.")</f>
        <v>Posso capire la stupidità, ma non la tristezza.</v>
      </c>
    </row>
    <row r="5479">
      <c r="A5479" s="4">
        <v>5477.0</v>
      </c>
      <c r="B5479" s="5" t="s">
        <v>16438</v>
      </c>
      <c r="C5479" s="4">
        <v>1.0</v>
      </c>
      <c r="D5479" s="5" t="s">
        <v>16439</v>
      </c>
      <c r="E5479" s="5" t="s">
        <v>16440</v>
      </c>
      <c r="F5479" s="6" t="str">
        <f>IFERROR(__xludf.DUMMYFUNCTION("GOOGLETRANSLATE(D5479,""en"",""it"")"),"A lui piace la tristezza, ma non la logica.")</f>
        <v>A lui piace la tristezza, ma non la logica.</v>
      </c>
      <c r="G5479" s="6" t="str">
        <f>IFERROR(__xludf.DUMMYFUNCTION("GOOGLETRANSLATE(E5479,""fr"",""it"")"),"Posso capire la tristezza, ma non la logica.")</f>
        <v>Posso capire la tristezza, ma non la logica.</v>
      </c>
    </row>
    <row r="5480">
      <c r="A5480" s="4">
        <v>5478.0</v>
      </c>
      <c r="B5480" s="5" t="s">
        <v>16441</v>
      </c>
      <c r="C5480" s="4">
        <v>1.0</v>
      </c>
      <c r="D5480" s="5" t="s">
        <v>16442</v>
      </c>
      <c r="E5480" s="5" t="s">
        <v>16443</v>
      </c>
      <c r="F5480" s="6" t="str">
        <f>IFERROR(__xludf.DUMMYFUNCTION("GOOGLETRANSLATE(D5480,""en"",""it"")"),"Gli piace la logica, ma non la tristezza.")</f>
        <v>Gli piace la logica, ma non la tristezza.</v>
      </c>
      <c r="G5480" s="6" t="str">
        <f>IFERROR(__xludf.DUMMYFUNCTION("GOOGLETRANSLATE(E5480,""fr"",""it"")"),"Posso capire la logica, ma non la tristezza.")</f>
        <v>Posso capire la logica, ma non la tristezza.</v>
      </c>
    </row>
    <row r="5481">
      <c r="A5481" s="4">
        <v>5479.0</v>
      </c>
      <c r="B5481" s="5" t="s">
        <v>16444</v>
      </c>
      <c r="C5481" s="4">
        <v>1.0</v>
      </c>
      <c r="D5481" s="5" t="s">
        <v>16445</v>
      </c>
      <c r="E5481" s="5" t="s">
        <v>16446</v>
      </c>
      <c r="F5481" s="6" t="str">
        <f>IFERROR(__xludf.DUMMYFUNCTION("GOOGLETRANSLATE(D5481,""en"",""it"")"),"A lui piace la tristezza, ma non calcoli.")</f>
        <v>A lui piace la tristezza, ma non calcoli.</v>
      </c>
      <c r="G5481" s="6" t="str">
        <f>IFERROR(__xludf.DUMMYFUNCTION("GOOGLETRANSLATE(E5481,""fr"",""it"")"),"Posso capire la tristezza, ma non i calcoli.")</f>
        <v>Posso capire la tristezza, ma non i calcoli.</v>
      </c>
    </row>
    <row r="5482">
      <c r="A5482" s="4">
        <v>5480.0</v>
      </c>
      <c r="B5482" s="5" t="s">
        <v>16447</v>
      </c>
      <c r="C5482" s="4">
        <v>1.0</v>
      </c>
      <c r="D5482" s="5" t="s">
        <v>16448</v>
      </c>
      <c r="E5482" s="5" t="s">
        <v>16449</v>
      </c>
      <c r="F5482" s="6" t="str">
        <f>IFERROR(__xludf.DUMMYFUNCTION("GOOGLETRANSLATE(D5482,""en"",""it"")"),"Gli piacciono i calcoli, ma non la tristezza.")</f>
        <v>Gli piacciono i calcoli, ma non la tristezza.</v>
      </c>
      <c r="G5482" s="6" t="str">
        <f>IFERROR(__xludf.DUMMYFUNCTION("GOOGLETRANSLATE(E5482,""fr"",""it"")"),"Posso capire i calcoli, ma non la tristezza.")</f>
        <v>Posso capire i calcoli, ma non la tristezza.</v>
      </c>
    </row>
    <row r="5483">
      <c r="A5483" s="4">
        <v>5481.0</v>
      </c>
      <c r="B5483" s="5" t="s">
        <v>16450</v>
      </c>
      <c r="C5483" s="4">
        <v>0.0</v>
      </c>
      <c r="D5483" s="5" t="s">
        <v>16451</v>
      </c>
      <c r="E5483" s="5" t="s">
        <v>16452</v>
      </c>
      <c r="F5483" s="6" t="str">
        <f>IFERROR(__xludf.DUMMYFUNCTION("GOOGLETRANSLATE(D5483,""en"",""it"")"),"Mi piacciono i criceti, tranne i husky.")</f>
        <v>Mi piacciono i criceti, tranne i husky.</v>
      </c>
      <c r="G5483" s="6" t="str">
        <f>IFERROR(__xludf.DUMMYFUNCTION("GOOGLETRANSLATE(E5483,""fr"",""it"")"),"Mi piacciono i criceti, tranne i husky.")</f>
        <v>Mi piacciono i criceti, tranne i husky.</v>
      </c>
    </row>
    <row r="5484">
      <c r="A5484" s="4">
        <v>5482.0</v>
      </c>
      <c r="B5484" s="5" t="s">
        <v>16453</v>
      </c>
      <c r="C5484" s="4">
        <v>1.0</v>
      </c>
      <c r="D5484" s="5" t="s">
        <v>16454</v>
      </c>
      <c r="E5484" s="5" t="s">
        <v>16455</v>
      </c>
      <c r="F5484" s="6" t="str">
        <f>IFERROR(__xludf.DUMMYFUNCTION("GOOGLETRANSLATE(D5484,""en"",""it"")"),"Mi piacciono i libri di testo, ma non la musica.")</f>
        <v>Mi piacciono i libri di testo, ma non la musica.</v>
      </c>
      <c r="G5484" s="6" t="str">
        <f>IFERROR(__xludf.DUMMYFUNCTION("GOOGLETRANSLATE(E5484,""fr"",""it"")"),"Mi piacciono i libri di testo scolastici, ma non la musica.")</f>
        <v>Mi piacciono i libri di testo scolastici, ma non la musica.</v>
      </c>
    </row>
    <row r="5485">
      <c r="A5485" s="4">
        <v>5483.0</v>
      </c>
      <c r="B5485" s="5" t="s">
        <v>16456</v>
      </c>
      <c r="C5485" s="4">
        <v>1.0</v>
      </c>
      <c r="D5485" s="5" t="s">
        <v>16457</v>
      </c>
      <c r="E5485" s="5" t="s">
        <v>16458</v>
      </c>
      <c r="F5485" s="6" t="str">
        <f>IFERROR(__xludf.DUMMYFUNCTION("GOOGLETRANSLATE(D5485,""en"",""it"")"),"Mi piace la musica, ma non i libri di testo.")</f>
        <v>Mi piace la musica, ma non i libri di testo.</v>
      </c>
      <c r="G5485" s="6" t="str">
        <f>IFERROR(__xludf.DUMMYFUNCTION("GOOGLETRANSLATE(E5485,""fr"",""it"")"),"Mi piace la musica, ma non i libri di testo.")</f>
        <v>Mi piace la musica, ma non i libri di testo.</v>
      </c>
    </row>
    <row r="5486">
      <c r="A5486" s="4">
        <v>5484.0</v>
      </c>
      <c r="B5486" s="5" t="s">
        <v>16459</v>
      </c>
      <c r="C5486" s="4">
        <v>0.0</v>
      </c>
      <c r="D5486" s="5" t="s">
        <v>16460</v>
      </c>
      <c r="E5486" s="5" t="s">
        <v>16461</v>
      </c>
      <c r="F5486" s="6" t="str">
        <f>IFERROR(__xludf.DUMMYFUNCTION("GOOGLETRANSLATE(D5486,""en"",""it"")"),"Mi piacciono i libri di testo, ma non i libri.")</f>
        <v>Mi piacciono i libri di testo, ma non i libri.</v>
      </c>
      <c r="G5486" s="6" t="str">
        <f>IFERROR(__xludf.DUMMYFUNCTION("GOOGLETRANSLATE(E5486,""fr"",""it"")"),"Mi piacciono i libri di testo, ma non i libri.")</f>
        <v>Mi piacciono i libri di testo, ma non i libri.</v>
      </c>
    </row>
    <row r="5487">
      <c r="A5487" s="4">
        <v>5485.0</v>
      </c>
      <c r="B5487" s="5" t="s">
        <v>16462</v>
      </c>
      <c r="C5487" s="4">
        <v>1.0</v>
      </c>
      <c r="D5487" s="5" t="s">
        <v>16463</v>
      </c>
      <c r="E5487" s="5" t="s">
        <v>16464</v>
      </c>
      <c r="F5487" s="6" t="str">
        <f>IFERROR(__xludf.DUMMYFUNCTION("GOOGLETRANSLATE(D5487,""en"",""it"")"),"Mi piacciono i libri, ma non i libri di testo.")</f>
        <v>Mi piacciono i libri, ma non i libri di testo.</v>
      </c>
      <c r="G5487" s="6" t="str">
        <f>IFERROR(__xludf.DUMMYFUNCTION("GOOGLETRANSLATE(E5487,""fr"",""it"")"),"Mi piacciono i libri, ma non i libri di testo.")</f>
        <v>Mi piacciono i libri, ma non i libri di testo.</v>
      </c>
    </row>
    <row r="5488">
      <c r="A5488" s="4">
        <v>5486.0</v>
      </c>
      <c r="B5488" s="5" t="s">
        <v>16465</v>
      </c>
      <c r="C5488" s="4">
        <v>1.0</v>
      </c>
      <c r="D5488" s="5" t="s">
        <v>16466</v>
      </c>
      <c r="E5488" s="5" t="s">
        <v>16467</v>
      </c>
      <c r="F5488" s="6" t="str">
        <f>IFERROR(__xludf.DUMMYFUNCTION("GOOGLETRANSLATE(D5488,""en"",""it"")"),"Mi piacciono i libri, ma non la musica.")</f>
        <v>Mi piacciono i libri, ma non la musica.</v>
      </c>
      <c r="G5488" s="6" t="str">
        <f>IFERROR(__xludf.DUMMYFUNCTION("GOOGLETRANSLATE(E5488,""fr"",""it"")"),"Mi piacciono i libri, ma non la musica.")</f>
        <v>Mi piacciono i libri, ma non la musica.</v>
      </c>
    </row>
    <row r="5489">
      <c r="A5489" s="4">
        <v>5487.0</v>
      </c>
      <c r="B5489" s="5" t="s">
        <v>16468</v>
      </c>
      <c r="C5489" s="4">
        <v>1.0</v>
      </c>
      <c r="D5489" s="5" t="s">
        <v>16469</v>
      </c>
      <c r="E5489" s="5" t="s">
        <v>16470</v>
      </c>
      <c r="F5489" s="6" t="str">
        <f>IFERROR(__xludf.DUMMYFUNCTION("GOOGLETRANSLATE(D5489,""en"",""it"")"),"Mi piacciono i libri di testo, ma non i film.")</f>
        <v>Mi piacciono i libri di testo, ma non i film.</v>
      </c>
      <c r="G5489" s="6" t="str">
        <f>IFERROR(__xludf.DUMMYFUNCTION("GOOGLETRANSLATE(E5489,""fr"",""it"")"),"Mi piacciono i libri di testo scolastici, ma non il cinema.")</f>
        <v>Mi piacciono i libri di testo scolastici, ma non il cinema.</v>
      </c>
    </row>
    <row r="5490">
      <c r="A5490" s="4">
        <v>5488.0</v>
      </c>
      <c r="B5490" s="5" t="s">
        <v>16471</v>
      </c>
      <c r="C5490" s="4">
        <v>1.0</v>
      </c>
      <c r="D5490" s="5" t="s">
        <v>16472</v>
      </c>
      <c r="E5490" s="5" t="s">
        <v>16473</v>
      </c>
      <c r="F5490" s="6" t="str">
        <f>IFERROR(__xludf.DUMMYFUNCTION("GOOGLETRANSLATE(D5490,""en"",""it"")"),"Mi piacciono i film, ma non i libri di testo.")</f>
        <v>Mi piacciono i film, ma non i libri di testo.</v>
      </c>
      <c r="G5490" s="6" t="str">
        <f>IFERROR(__xludf.DUMMYFUNCTION("GOOGLETRANSLATE(E5490,""fr"",""it"")"),"Amo il cinema, ma non i libri di testo.")</f>
        <v>Amo il cinema, ma non i libri di testo.</v>
      </c>
    </row>
    <row r="5491">
      <c r="A5491" s="4">
        <v>5489.0</v>
      </c>
      <c r="B5491" s="5" t="s">
        <v>16474</v>
      </c>
      <c r="C5491" s="4">
        <v>1.0</v>
      </c>
      <c r="D5491" s="5" t="s">
        <v>16475</v>
      </c>
      <c r="E5491" s="5" t="s">
        <v>16476</v>
      </c>
      <c r="F5491" s="6" t="str">
        <f>IFERROR(__xludf.DUMMYFUNCTION("GOOGLETRANSLATE(D5491,""en"",""it"")"),"Mi piacciono i libri, ma non i film.")</f>
        <v>Mi piacciono i libri, ma non i film.</v>
      </c>
      <c r="G5491" s="6" t="str">
        <f>IFERROR(__xludf.DUMMYFUNCTION("GOOGLETRANSLATE(E5491,""fr"",""it"")"),"Mi piacciono i libri, ma non il cinema.")</f>
        <v>Mi piacciono i libri, ma non il cinema.</v>
      </c>
    </row>
    <row r="5492">
      <c r="A5492" s="4">
        <v>5490.0</v>
      </c>
      <c r="B5492" s="5" t="s">
        <v>16477</v>
      </c>
      <c r="C5492" s="4">
        <v>1.0</v>
      </c>
      <c r="D5492" s="5" t="s">
        <v>16478</v>
      </c>
      <c r="E5492" s="5" t="s">
        <v>16479</v>
      </c>
      <c r="F5492" s="6" t="str">
        <f>IFERROR(__xludf.DUMMYFUNCTION("GOOGLETRANSLATE(D5492,""en"",""it"")"),"Mi piacciono i libri di testo, ma non i cartoni animati.")</f>
        <v>Mi piacciono i libri di testo, ma non i cartoni animati.</v>
      </c>
      <c r="G5492" s="6" t="str">
        <f>IFERROR(__xludf.DUMMYFUNCTION("GOOGLETRANSLATE(E5492,""fr"",""it"")"),"Mi piacciono i libri di testo, ma non i cartoni animati.")</f>
        <v>Mi piacciono i libri di testo, ma non i cartoni animati.</v>
      </c>
    </row>
    <row r="5493">
      <c r="A5493" s="4">
        <v>5491.0</v>
      </c>
      <c r="B5493" s="5" t="s">
        <v>16480</v>
      </c>
      <c r="C5493" s="4">
        <v>1.0</v>
      </c>
      <c r="D5493" s="5" t="s">
        <v>16481</v>
      </c>
      <c r="E5493" s="5" t="s">
        <v>16482</v>
      </c>
      <c r="F5493" s="6" t="str">
        <f>IFERROR(__xludf.DUMMYFUNCTION("GOOGLETRANSLATE(D5493,""en"",""it"")"),"Mi piacciono i cartoni animati, ma non i libri di testo.")</f>
        <v>Mi piacciono i cartoni animati, ma non i libri di testo.</v>
      </c>
      <c r="G5493" s="6" t="str">
        <f>IFERROR(__xludf.DUMMYFUNCTION("GOOGLETRANSLATE(E5493,""fr"",""it"")"),"Mi piacciono i cartoni animati, ma non i libri di testo.")</f>
        <v>Mi piacciono i cartoni animati, ma non i libri di testo.</v>
      </c>
    </row>
    <row r="5494">
      <c r="A5494" s="4">
        <v>5492.0</v>
      </c>
      <c r="B5494" s="5" t="s">
        <v>16483</v>
      </c>
      <c r="C5494" s="4">
        <v>1.0</v>
      </c>
      <c r="D5494" s="5" t="s">
        <v>16484</v>
      </c>
      <c r="E5494" s="5" t="s">
        <v>16485</v>
      </c>
      <c r="F5494" s="6" t="str">
        <f>IFERROR(__xludf.DUMMYFUNCTION("GOOGLETRANSLATE(D5494,""en"",""it"")"),"Mi piacciono i libri, ma non i cartoni animati.")</f>
        <v>Mi piacciono i libri, ma non i cartoni animati.</v>
      </c>
      <c r="G5494" s="6" t="str">
        <f>IFERROR(__xludf.DUMMYFUNCTION("GOOGLETRANSLATE(E5494,""fr"",""it"")"),"Mi piacciono i libri, ma non i cartoni animati.")</f>
        <v>Mi piacciono i libri, ma non i cartoni animati.</v>
      </c>
    </row>
    <row r="5495">
      <c r="A5495" s="4">
        <v>5493.0</v>
      </c>
      <c r="B5495" s="5" t="s">
        <v>16486</v>
      </c>
      <c r="C5495" s="4">
        <v>1.0</v>
      </c>
      <c r="D5495" s="5" t="s">
        <v>16487</v>
      </c>
      <c r="E5495" s="5" t="s">
        <v>16488</v>
      </c>
      <c r="F5495" s="6" t="str">
        <f>IFERROR(__xludf.DUMMYFUNCTION("GOOGLETRANSLATE(D5495,""en"",""it"")"),"Mi piacciono i libri di testo, ma non i dipinti.")</f>
        <v>Mi piacciono i libri di testo, ma non i dipinti.</v>
      </c>
      <c r="G5495" s="6" t="str">
        <f>IFERROR(__xludf.DUMMYFUNCTION("GOOGLETRANSLATE(E5495,""fr"",""it"")"),"Mi piacciono i libri di testo scolastici, ma non dipinti.")</f>
        <v>Mi piacciono i libri di testo scolastici, ma non dipinti.</v>
      </c>
    </row>
    <row r="5496">
      <c r="A5496" s="4">
        <v>5494.0</v>
      </c>
      <c r="B5496" s="5" t="s">
        <v>16489</v>
      </c>
      <c r="C5496" s="4">
        <v>1.0</v>
      </c>
      <c r="D5496" s="5" t="s">
        <v>16490</v>
      </c>
      <c r="E5496" s="5" t="s">
        <v>16491</v>
      </c>
      <c r="F5496" s="6" t="str">
        <f>IFERROR(__xludf.DUMMYFUNCTION("GOOGLETRANSLATE(D5496,""en"",""it"")"),"Mi piacciono i dipinti, ma non i libri di testo.")</f>
        <v>Mi piacciono i dipinti, ma non i libri di testo.</v>
      </c>
      <c r="G5496" s="6" t="str">
        <f>IFERROR(__xludf.DUMMYFUNCTION("GOOGLETRANSLATE(E5496,""fr"",""it"")"),"Amo i dipinti, ma non i libri di testo.")</f>
        <v>Amo i dipinti, ma non i libri di testo.</v>
      </c>
    </row>
    <row r="5497">
      <c r="A5497" s="4">
        <v>5495.0</v>
      </c>
      <c r="B5497" s="5" t="s">
        <v>16492</v>
      </c>
      <c r="C5497" s="4">
        <v>1.0</v>
      </c>
      <c r="D5497" s="5" t="s">
        <v>16493</v>
      </c>
      <c r="E5497" s="5" t="s">
        <v>16494</v>
      </c>
      <c r="F5497" s="6" t="str">
        <f>IFERROR(__xludf.DUMMYFUNCTION("GOOGLETRANSLATE(D5497,""en"",""it"")"),"Mi piacciono i libri, ma non i dipinti.")</f>
        <v>Mi piacciono i libri, ma non i dipinti.</v>
      </c>
      <c r="G5497" s="6" t="str">
        <f>IFERROR(__xludf.DUMMYFUNCTION("GOOGLETRANSLATE(E5497,""fr"",""it"")"),"Mi piacciono i libri, ma non i dipinti.")</f>
        <v>Mi piacciono i libri, ma non i dipinti.</v>
      </c>
    </row>
    <row r="5498">
      <c r="A5498" s="4">
        <v>5496.0</v>
      </c>
      <c r="B5498" s="5" t="s">
        <v>16495</v>
      </c>
      <c r="C5498" s="4">
        <v>1.0</v>
      </c>
      <c r="D5498" s="5" t="s">
        <v>16496</v>
      </c>
      <c r="E5498" s="5" t="s">
        <v>16497</v>
      </c>
      <c r="F5498" s="6" t="str">
        <f>IFERROR(__xludf.DUMMYFUNCTION("GOOGLETRANSLATE(D5498,""en"",""it"")"),"Mi piacciono i saggi, ma non la musica.")</f>
        <v>Mi piacciono i saggi, ma non la musica.</v>
      </c>
      <c r="G5498" s="6" t="str">
        <f>IFERROR(__xludf.DUMMYFUNCTION("GOOGLETRANSLATE(E5498,""fr"",""it"")"),"Amo provare, ma non musica.")</f>
        <v>Amo provare, ma non musica.</v>
      </c>
    </row>
    <row r="5499">
      <c r="A5499" s="4">
        <v>5497.0</v>
      </c>
      <c r="B5499" s="5" t="s">
        <v>16498</v>
      </c>
      <c r="C5499" s="4">
        <v>1.0</v>
      </c>
      <c r="D5499" s="5" t="s">
        <v>16499</v>
      </c>
      <c r="E5499" s="5" t="s">
        <v>16500</v>
      </c>
      <c r="F5499" s="6" t="str">
        <f>IFERROR(__xludf.DUMMYFUNCTION("GOOGLETRANSLATE(D5499,""en"",""it"")"),"Mi piace la musica, ma non i saggi.")</f>
        <v>Mi piace la musica, ma non i saggi.</v>
      </c>
      <c r="G5499" s="6" t="str">
        <f>IFERROR(__xludf.DUMMYFUNCTION("GOOGLETRANSLATE(E5499,""fr"",""it"")"),"Mi piace la musica, ma non i test.")</f>
        <v>Mi piace la musica, ma non i test.</v>
      </c>
    </row>
    <row r="5500">
      <c r="A5500" s="4">
        <v>5498.0</v>
      </c>
      <c r="B5500" s="5" t="s">
        <v>16501</v>
      </c>
      <c r="C5500" s="4">
        <v>0.0</v>
      </c>
      <c r="D5500" s="5" t="s">
        <v>16502</v>
      </c>
      <c r="E5500" s="5" t="s">
        <v>16503</v>
      </c>
      <c r="F5500" s="6" t="str">
        <f>IFERROR(__xludf.DUMMYFUNCTION("GOOGLETRANSLATE(D5500,""en"",""it"")"),"Mi piacciono i saggi, ma non i libri.")</f>
        <v>Mi piacciono i saggi, ma non i libri.</v>
      </c>
      <c r="G5500" s="6" t="str">
        <f>IFERROR(__xludf.DUMMYFUNCTION("GOOGLETRANSLATE(E5500,""fr"",""it"")"),"Mi piacciono i test, ma non i libri.")</f>
        <v>Mi piacciono i test, ma non i libri.</v>
      </c>
    </row>
    <row r="5501">
      <c r="A5501" s="4">
        <v>5499.0</v>
      </c>
      <c r="B5501" s="5" t="s">
        <v>16504</v>
      </c>
      <c r="C5501" s="4">
        <v>1.0</v>
      </c>
      <c r="D5501" s="5" t="s">
        <v>16505</v>
      </c>
      <c r="E5501" s="5" t="s">
        <v>16506</v>
      </c>
      <c r="F5501" s="6" t="str">
        <f>IFERROR(__xludf.DUMMYFUNCTION("GOOGLETRANSLATE(D5501,""en"",""it"")"),"Mi piacciono i libri, ma non i saggi.")</f>
        <v>Mi piacciono i libri, ma non i saggi.</v>
      </c>
      <c r="G5501" s="6" t="str">
        <f>IFERROR(__xludf.DUMMYFUNCTION("GOOGLETRANSLATE(E5501,""fr"",""it"")"),"Mi piacciono i libri, ma non i test.")</f>
        <v>Mi piacciono i libri, ma non i test.</v>
      </c>
    </row>
    <row r="5502">
      <c r="A5502" s="4">
        <v>5500.0</v>
      </c>
      <c r="B5502" s="5" t="s">
        <v>16507</v>
      </c>
      <c r="C5502" s="4">
        <v>1.0</v>
      </c>
      <c r="D5502" s="5" t="s">
        <v>16508</v>
      </c>
      <c r="E5502" s="5" t="s">
        <v>16509</v>
      </c>
      <c r="F5502" s="6" t="str">
        <f>IFERROR(__xludf.DUMMYFUNCTION("GOOGLETRANSLATE(D5502,""en"",""it"")"),"Mi piacciono i saggi, ma non i film.")</f>
        <v>Mi piacciono i saggi, ma non i film.</v>
      </c>
      <c r="G5502" s="6" t="str">
        <f>IFERROR(__xludf.DUMMYFUNCTION("GOOGLETRANSLATE(E5502,""fr"",""it"")"),"Mi piacciono i test, ma non il cinema.")</f>
        <v>Mi piacciono i test, ma non il cinema.</v>
      </c>
    </row>
    <row r="5503">
      <c r="A5503" s="4">
        <v>5501.0</v>
      </c>
      <c r="B5503" s="5" t="s">
        <v>16510</v>
      </c>
      <c r="C5503" s="4">
        <v>1.0</v>
      </c>
      <c r="D5503" s="5" t="s">
        <v>16511</v>
      </c>
      <c r="E5503" s="5" t="s">
        <v>16512</v>
      </c>
      <c r="F5503" s="6" t="str">
        <f>IFERROR(__xludf.DUMMYFUNCTION("GOOGLETRANSLATE(D5503,""en"",""it"")"),"Mi piacciono i film, ma non i saggi.")</f>
        <v>Mi piacciono i film, ma non i saggi.</v>
      </c>
      <c r="G5503" s="6" t="str">
        <f>IFERROR(__xludf.DUMMYFUNCTION("GOOGLETRANSLATE(E5503,""fr"",""it"")"),"Amo il cinema, ma non i test.")</f>
        <v>Amo il cinema, ma non i test.</v>
      </c>
    </row>
    <row r="5504">
      <c r="A5504" s="4">
        <v>5502.0</v>
      </c>
      <c r="B5504" s="5" t="s">
        <v>16513</v>
      </c>
      <c r="C5504" s="4">
        <v>1.0</v>
      </c>
      <c r="D5504" s="5" t="s">
        <v>16514</v>
      </c>
      <c r="E5504" s="5" t="s">
        <v>16515</v>
      </c>
      <c r="F5504" s="6" t="str">
        <f>IFERROR(__xludf.DUMMYFUNCTION("GOOGLETRANSLATE(D5504,""en"",""it"")"),"Mi piacciono i saggi, ma non i cartoni animati.")</f>
        <v>Mi piacciono i saggi, ma non i cartoni animati.</v>
      </c>
      <c r="G5504" s="6" t="str">
        <f>IFERROR(__xludf.DUMMYFUNCTION("GOOGLETRANSLATE(E5504,""fr"",""it"")"),"Mi piacciono i test, ma non i cartoni animati.")</f>
        <v>Mi piacciono i test, ma non i cartoni animati.</v>
      </c>
    </row>
    <row r="5505">
      <c r="A5505" s="4">
        <v>5503.0</v>
      </c>
      <c r="B5505" s="5" t="s">
        <v>16516</v>
      </c>
      <c r="C5505" s="4">
        <v>1.0</v>
      </c>
      <c r="D5505" s="5" t="s">
        <v>16517</v>
      </c>
      <c r="E5505" s="5" t="s">
        <v>16518</v>
      </c>
      <c r="F5505" s="6" t="str">
        <f>IFERROR(__xludf.DUMMYFUNCTION("GOOGLETRANSLATE(D5505,""en"",""it"")"),"Mi piacciono i cartoni animati, ma non i saggi.")</f>
        <v>Mi piacciono i cartoni animati, ma non i saggi.</v>
      </c>
      <c r="G5505" s="6" t="str">
        <f>IFERROR(__xludf.DUMMYFUNCTION("GOOGLETRANSLATE(E5505,""fr"",""it"")"),"Mi piacciono i cartoni animati, ma non i test.")</f>
        <v>Mi piacciono i cartoni animati, ma non i test.</v>
      </c>
    </row>
    <row r="5506">
      <c r="A5506" s="4">
        <v>5504.0</v>
      </c>
      <c r="B5506" s="5" t="s">
        <v>16519</v>
      </c>
      <c r="C5506" s="4">
        <v>1.0</v>
      </c>
      <c r="D5506" s="5" t="s">
        <v>16520</v>
      </c>
      <c r="E5506" s="5" t="s">
        <v>16521</v>
      </c>
      <c r="F5506" s="6" t="str">
        <f>IFERROR(__xludf.DUMMYFUNCTION("GOOGLETRANSLATE(D5506,""en"",""it"")"),"Mi piacciono i saggi, ma non i dipinti.")</f>
        <v>Mi piacciono i saggi, ma non i dipinti.</v>
      </c>
      <c r="G5506" s="6" t="str">
        <f>IFERROR(__xludf.DUMMYFUNCTION("GOOGLETRANSLATE(E5506,""fr"",""it"")"),"Mi piacciono i test, ma non i dipinti.")</f>
        <v>Mi piacciono i test, ma non i dipinti.</v>
      </c>
    </row>
    <row r="5507">
      <c r="A5507" s="4">
        <v>5505.0</v>
      </c>
      <c r="B5507" s="5" t="s">
        <v>16522</v>
      </c>
      <c r="C5507" s="4">
        <v>1.0</v>
      </c>
      <c r="D5507" s="5" t="s">
        <v>16523</v>
      </c>
      <c r="E5507" s="5" t="s">
        <v>16524</v>
      </c>
      <c r="F5507" s="6" t="str">
        <f>IFERROR(__xludf.DUMMYFUNCTION("GOOGLETRANSLATE(D5507,""en"",""it"")"),"Mi piacciono i dipinti, ma non i saggi.")</f>
        <v>Mi piacciono i dipinti, ma non i saggi.</v>
      </c>
      <c r="G5507" s="6" t="str">
        <f>IFERROR(__xludf.DUMMYFUNCTION("GOOGLETRANSLATE(E5507,""fr"",""it"")"),"Amo i dipinti, ma non i test.")</f>
        <v>Amo i dipinti, ma non i test.</v>
      </c>
    </row>
    <row r="5508">
      <c r="A5508" s="4">
        <v>5506.0</v>
      </c>
      <c r="B5508" s="5" t="s">
        <v>16525</v>
      </c>
      <c r="C5508" s="4">
        <v>1.0</v>
      </c>
      <c r="D5508" s="5" t="s">
        <v>16526</v>
      </c>
      <c r="E5508" s="5" t="s">
        <v>16527</v>
      </c>
      <c r="F5508" s="6" t="str">
        <f>IFERROR(__xludf.DUMMYFUNCTION("GOOGLETRANSLATE(D5508,""en"",""it"")"),"Mi piacciono i romanzi, ma non la musica.")</f>
        <v>Mi piacciono i romanzi, ma non la musica.</v>
      </c>
      <c r="G5508" s="6" t="str">
        <f>IFERROR(__xludf.DUMMYFUNCTION("GOOGLETRANSLATE(E5508,""fr"",""it"")"),"Amo i romanzi, ma non la musica.")</f>
        <v>Amo i romanzi, ma non la musica.</v>
      </c>
    </row>
    <row r="5509">
      <c r="A5509" s="4">
        <v>5507.0</v>
      </c>
      <c r="B5509" s="5" t="s">
        <v>16528</v>
      </c>
      <c r="C5509" s="4">
        <v>1.0</v>
      </c>
      <c r="D5509" s="5" t="s">
        <v>16529</v>
      </c>
      <c r="E5509" s="5" t="s">
        <v>16530</v>
      </c>
      <c r="F5509" s="6" t="str">
        <f>IFERROR(__xludf.DUMMYFUNCTION("GOOGLETRANSLATE(D5509,""en"",""it"")"),"Mi piace la musica, ma non i romanzi.")</f>
        <v>Mi piace la musica, ma non i romanzi.</v>
      </c>
      <c r="G5509" s="6" t="str">
        <f>IFERROR(__xludf.DUMMYFUNCTION("GOOGLETRANSLATE(E5509,""fr"",""it"")"),"Amo la musica, ma non i romanzi.")</f>
        <v>Amo la musica, ma non i romanzi.</v>
      </c>
    </row>
    <row r="5510">
      <c r="A5510" s="4">
        <v>5508.0</v>
      </c>
      <c r="B5510" s="5" t="s">
        <v>16531</v>
      </c>
      <c r="C5510" s="4">
        <v>0.0</v>
      </c>
      <c r="D5510" s="5" t="s">
        <v>16532</v>
      </c>
      <c r="E5510" s="5" t="s">
        <v>16533</v>
      </c>
      <c r="F5510" s="6" t="str">
        <f>IFERROR(__xludf.DUMMYFUNCTION("GOOGLETRANSLATE(D5510,""en"",""it"")"),"Mi piacciono i romanzi, ma non i libri.")</f>
        <v>Mi piacciono i romanzi, ma non i libri.</v>
      </c>
      <c r="G5510" s="6" t="str">
        <f>IFERROR(__xludf.DUMMYFUNCTION("GOOGLETRANSLATE(E5510,""fr"",""it"")"),"Amo i romanzi, ma non i libri.")</f>
        <v>Amo i romanzi, ma non i libri.</v>
      </c>
    </row>
    <row r="5511">
      <c r="A5511" s="4">
        <v>5509.0</v>
      </c>
      <c r="B5511" s="5" t="s">
        <v>16534</v>
      </c>
      <c r="C5511" s="4">
        <v>1.0</v>
      </c>
      <c r="D5511" s="5" t="s">
        <v>16535</v>
      </c>
      <c r="E5511" s="5" t="s">
        <v>16536</v>
      </c>
      <c r="F5511" s="6" t="str">
        <f>IFERROR(__xludf.DUMMYFUNCTION("GOOGLETRANSLATE(D5511,""en"",""it"")"),"Mi piacciono i libri, ma non i romanzi.")</f>
        <v>Mi piacciono i libri, ma non i romanzi.</v>
      </c>
      <c r="G5511" s="6" t="str">
        <f>IFERROR(__xludf.DUMMYFUNCTION("GOOGLETRANSLATE(E5511,""fr"",""it"")"),"Mi piacciono i libri, ma non i romanzi.")</f>
        <v>Mi piacciono i libri, ma non i romanzi.</v>
      </c>
    </row>
    <row r="5512">
      <c r="A5512" s="4">
        <v>5510.0</v>
      </c>
      <c r="B5512" s="5" t="s">
        <v>16537</v>
      </c>
      <c r="C5512" s="4">
        <v>1.0</v>
      </c>
      <c r="D5512" s="5" t="s">
        <v>16538</v>
      </c>
      <c r="E5512" s="5" t="s">
        <v>16539</v>
      </c>
      <c r="F5512" s="6" t="str">
        <f>IFERROR(__xludf.DUMMYFUNCTION("GOOGLETRANSLATE(D5512,""en"",""it"")"),"Mi piacciono i romanzi, ma non i film.")</f>
        <v>Mi piacciono i romanzi, ma non i film.</v>
      </c>
      <c r="G5512" s="6" t="str">
        <f>IFERROR(__xludf.DUMMYFUNCTION("GOOGLETRANSLATE(E5512,""fr"",""it"")"),"Amo i romanzi, ma non il cinema.")</f>
        <v>Amo i romanzi, ma non il cinema.</v>
      </c>
    </row>
    <row r="5513">
      <c r="A5513" s="4">
        <v>5511.0</v>
      </c>
      <c r="B5513" s="5" t="s">
        <v>16540</v>
      </c>
      <c r="C5513" s="4">
        <v>1.0</v>
      </c>
      <c r="D5513" s="5" t="s">
        <v>16541</v>
      </c>
      <c r="E5513" s="5" t="s">
        <v>16542</v>
      </c>
      <c r="F5513" s="6" t="str">
        <f>IFERROR(__xludf.DUMMYFUNCTION("GOOGLETRANSLATE(D5513,""en"",""it"")"),"Mi piacciono i film, ma non i romanzi.")</f>
        <v>Mi piacciono i film, ma non i romanzi.</v>
      </c>
      <c r="G5513" s="6" t="str">
        <f>IFERROR(__xludf.DUMMYFUNCTION("GOOGLETRANSLATE(E5513,""fr"",""it"")"),"Amo il cinema, ma non i romanzi.")</f>
        <v>Amo il cinema, ma non i romanzi.</v>
      </c>
    </row>
    <row r="5514">
      <c r="A5514" s="4">
        <v>5512.0</v>
      </c>
      <c r="B5514" s="5" t="s">
        <v>16543</v>
      </c>
      <c r="C5514" s="4">
        <v>1.0</v>
      </c>
      <c r="D5514" s="5" t="s">
        <v>16544</v>
      </c>
      <c r="E5514" s="5" t="s">
        <v>16545</v>
      </c>
      <c r="F5514" s="6" t="str">
        <f>IFERROR(__xludf.DUMMYFUNCTION("GOOGLETRANSLATE(D5514,""en"",""it"")"),"Mi piacciono i romanzi, ma non i cartoni animati.")</f>
        <v>Mi piacciono i romanzi, ma non i cartoni animati.</v>
      </c>
      <c r="G5514" s="6" t="str">
        <f>IFERROR(__xludf.DUMMYFUNCTION("GOOGLETRANSLATE(E5514,""fr"",""it"")"),"Amo i romanzi, ma non i cartoni animati.")</f>
        <v>Amo i romanzi, ma non i cartoni animati.</v>
      </c>
    </row>
    <row r="5515">
      <c r="A5515" s="4">
        <v>5513.0</v>
      </c>
      <c r="B5515" s="5" t="s">
        <v>16546</v>
      </c>
      <c r="C5515" s="4">
        <v>1.0</v>
      </c>
      <c r="D5515" s="5" t="s">
        <v>16547</v>
      </c>
      <c r="E5515" s="5" t="s">
        <v>16548</v>
      </c>
      <c r="F5515" s="6" t="str">
        <f>IFERROR(__xludf.DUMMYFUNCTION("GOOGLETRANSLATE(D5515,""en"",""it"")"),"Mi piacciono i cartoni animati, ma non i romanzi.")</f>
        <v>Mi piacciono i cartoni animati, ma non i romanzi.</v>
      </c>
      <c r="G5515" s="6" t="str">
        <f>IFERROR(__xludf.DUMMYFUNCTION("GOOGLETRANSLATE(E5515,""fr"",""it"")"),"Mi piacciono i cartoni animati, ma non i romanzi.")</f>
        <v>Mi piacciono i cartoni animati, ma non i romanzi.</v>
      </c>
    </row>
    <row r="5516">
      <c r="A5516" s="4">
        <v>5514.0</v>
      </c>
      <c r="B5516" s="5" t="s">
        <v>16549</v>
      </c>
      <c r="C5516" s="4">
        <v>1.0</v>
      </c>
      <c r="D5516" s="5" t="s">
        <v>16550</v>
      </c>
      <c r="E5516" s="5" t="s">
        <v>16551</v>
      </c>
      <c r="F5516" s="6" t="str">
        <f>IFERROR(__xludf.DUMMYFUNCTION("GOOGLETRANSLATE(D5516,""en"",""it"")"),"Mi piacciono i romanzi, ma non i dipinti.")</f>
        <v>Mi piacciono i romanzi, ma non i dipinti.</v>
      </c>
      <c r="G5516" s="6" t="str">
        <f>IFERROR(__xludf.DUMMYFUNCTION("GOOGLETRANSLATE(E5516,""fr"",""it"")"),"Amo i romanzi, ma non i dipinti.")</f>
        <v>Amo i romanzi, ma non i dipinti.</v>
      </c>
    </row>
    <row r="5517">
      <c r="A5517" s="4">
        <v>5515.0</v>
      </c>
      <c r="B5517" s="5" t="s">
        <v>16552</v>
      </c>
      <c r="C5517" s="4">
        <v>1.0</v>
      </c>
      <c r="D5517" s="5" t="s">
        <v>16553</v>
      </c>
      <c r="E5517" s="5" t="s">
        <v>16554</v>
      </c>
      <c r="F5517" s="6" t="str">
        <f>IFERROR(__xludf.DUMMYFUNCTION("GOOGLETRANSLATE(D5517,""en"",""it"")"),"Mi piacciono i dipinti, ma non i romanzi.")</f>
        <v>Mi piacciono i dipinti, ma non i romanzi.</v>
      </c>
      <c r="G5517" s="6" t="str">
        <f>IFERROR(__xludf.DUMMYFUNCTION("GOOGLETRANSLATE(E5517,""fr"",""it"")"),"Amo i dipinti, ma non i romanzi.")</f>
        <v>Amo i dipinti, ma non i romanzi.</v>
      </c>
    </row>
    <row r="5518">
      <c r="A5518" s="4">
        <v>5516.0</v>
      </c>
      <c r="B5518" s="5" t="s">
        <v>16555</v>
      </c>
      <c r="C5518" s="4">
        <v>1.0</v>
      </c>
      <c r="D5518" s="5" t="s">
        <v>16556</v>
      </c>
      <c r="E5518" s="5" t="s">
        <v>16557</v>
      </c>
      <c r="F5518" s="6" t="str">
        <f>IFERROR(__xludf.DUMMYFUNCTION("GOOGLETRANSLATE(D5518,""en"",""it"")"),"Mi piacciono i manuali, ma non la musica.")</f>
        <v>Mi piacciono i manuali, ma non la musica.</v>
      </c>
      <c r="G5518" s="6" t="str">
        <f>IFERROR(__xludf.DUMMYFUNCTION("GOOGLETRANSLATE(E5518,""fr"",""it"")"),"Mi piacciono i manuali, ma non la musica.")</f>
        <v>Mi piacciono i manuali, ma non la musica.</v>
      </c>
    </row>
    <row r="5519">
      <c r="A5519" s="4">
        <v>5517.0</v>
      </c>
      <c r="B5519" s="5" t="s">
        <v>16558</v>
      </c>
      <c r="C5519" s="4">
        <v>1.0</v>
      </c>
      <c r="D5519" s="5" t="s">
        <v>16559</v>
      </c>
      <c r="E5519" s="5" t="s">
        <v>16560</v>
      </c>
      <c r="F5519" s="6" t="str">
        <f>IFERROR(__xludf.DUMMYFUNCTION("GOOGLETRANSLATE(D5519,""en"",""it"")"),"Mi piace la musica, ma non i manuali.")</f>
        <v>Mi piace la musica, ma non i manuali.</v>
      </c>
      <c r="G5519" s="6" t="str">
        <f>IFERROR(__xludf.DUMMYFUNCTION("GOOGLETRANSLATE(E5519,""fr"",""it"")"),"Mi piace la musica, ma non i manuali.")</f>
        <v>Mi piace la musica, ma non i manuali.</v>
      </c>
    </row>
    <row r="5520">
      <c r="A5520" s="4">
        <v>5518.0</v>
      </c>
      <c r="B5520" s="5" t="s">
        <v>16561</v>
      </c>
      <c r="C5520" s="4">
        <v>0.0</v>
      </c>
      <c r="D5520" s="5" t="s">
        <v>16562</v>
      </c>
      <c r="E5520" s="5" t="s">
        <v>16563</v>
      </c>
      <c r="F5520" s="6" t="str">
        <f>IFERROR(__xludf.DUMMYFUNCTION("GOOGLETRANSLATE(D5520,""en"",""it"")"),"Mi piacciono i manuali, ma non i libri.")</f>
        <v>Mi piacciono i manuali, ma non i libri.</v>
      </c>
      <c r="G5520" s="6" t="str">
        <f>IFERROR(__xludf.DUMMYFUNCTION("GOOGLETRANSLATE(E5520,""fr"",""it"")"),"Mi piacciono i manuali, ma non i libri.")</f>
        <v>Mi piacciono i manuali, ma non i libri.</v>
      </c>
    </row>
    <row r="5521">
      <c r="A5521" s="4">
        <v>5519.0</v>
      </c>
      <c r="B5521" s="5" t="s">
        <v>16564</v>
      </c>
      <c r="C5521" s="4">
        <v>1.0</v>
      </c>
      <c r="D5521" s="5" t="s">
        <v>16565</v>
      </c>
      <c r="E5521" s="5" t="s">
        <v>16566</v>
      </c>
      <c r="F5521" s="6" t="str">
        <f>IFERROR(__xludf.DUMMYFUNCTION("GOOGLETRANSLATE(D5521,""en"",""it"")"),"Mi piacciono i libri, ma non i manuali.")</f>
        <v>Mi piacciono i libri, ma non i manuali.</v>
      </c>
      <c r="G5521" s="6" t="str">
        <f>IFERROR(__xludf.DUMMYFUNCTION("GOOGLETRANSLATE(E5521,""fr"",""it"")"),"Mi piacciono i libri, ma non i manuali.")</f>
        <v>Mi piacciono i libri, ma non i manuali.</v>
      </c>
    </row>
    <row r="5522">
      <c r="A5522" s="4">
        <v>5520.0</v>
      </c>
      <c r="B5522" s="5" t="s">
        <v>16567</v>
      </c>
      <c r="C5522" s="4">
        <v>1.0</v>
      </c>
      <c r="D5522" s="5" t="s">
        <v>16568</v>
      </c>
      <c r="E5522" s="5" t="s">
        <v>16569</v>
      </c>
      <c r="F5522" s="6" t="str">
        <f>IFERROR(__xludf.DUMMYFUNCTION("GOOGLETRANSLATE(D5522,""en"",""it"")"),"Mi piacciono i manuali, ma non i film.")</f>
        <v>Mi piacciono i manuali, ma non i film.</v>
      </c>
      <c r="G5522" s="6" t="str">
        <f>IFERROR(__xludf.DUMMYFUNCTION("GOOGLETRANSLATE(E5522,""fr"",""it"")"),"Mi piacciono i manuali, ma non il cinema.")</f>
        <v>Mi piacciono i manuali, ma non il cinema.</v>
      </c>
    </row>
    <row r="5523">
      <c r="A5523" s="4">
        <v>5521.0</v>
      </c>
      <c r="B5523" s="5" t="s">
        <v>16570</v>
      </c>
      <c r="C5523" s="4">
        <v>1.0</v>
      </c>
      <c r="D5523" s="5" t="s">
        <v>16571</v>
      </c>
      <c r="E5523" s="5" t="s">
        <v>16572</v>
      </c>
      <c r="F5523" s="6" t="str">
        <f>IFERROR(__xludf.DUMMYFUNCTION("GOOGLETRANSLATE(D5523,""en"",""it"")"),"Mi piacciono i film, ma non i manuali.")</f>
        <v>Mi piacciono i film, ma non i manuali.</v>
      </c>
      <c r="G5523" s="6" t="str">
        <f>IFERROR(__xludf.DUMMYFUNCTION("GOOGLETRANSLATE(E5523,""fr"",""it"")"),"Amo il cinema, ma non i manuali.")</f>
        <v>Amo il cinema, ma non i manuali.</v>
      </c>
    </row>
    <row r="5524">
      <c r="A5524" s="4">
        <v>5522.0</v>
      </c>
      <c r="B5524" s="5" t="s">
        <v>16573</v>
      </c>
      <c r="C5524" s="4">
        <v>1.0</v>
      </c>
      <c r="D5524" s="5" t="s">
        <v>16574</v>
      </c>
      <c r="E5524" s="5" t="s">
        <v>16575</v>
      </c>
      <c r="F5524" s="6" t="str">
        <f>IFERROR(__xludf.DUMMYFUNCTION("GOOGLETRANSLATE(D5524,""en"",""it"")"),"Mi piacciono i manuali, ma non i cartoni animati.")</f>
        <v>Mi piacciono i manuali, ma non i cartoni animati.</v>
      </c>
      <c r="G5524" s="6" t="str">
        <f>IFERROR(__xludf.DUMMYFUNCTION("GOOGLETRANSLATE(E5524,""fr"",""it"")"),"Mi piacciono i manuali, ma non i cartoni animati.")</f>
        <v>Mi piacciono i manuali, ma non i cartoni animati.</v>
      </c>
    </row>
    <row r="5525">
      <c r="A5525" s="4">
        <v>5523.0</v>
      </c>
      <c r="B5525" s="5" t="s">
        <v>16576</v>
      </c>
      <c r="C5525" s="4">
        <v>1.0</v>
      </c>
      <c r="D5525" s="5" t="s">
        <v>16577</v>
      </c>
      <c r="E5525" s="5" t="s">
        <v>16578</v>
      </c>
      <c r="F5525" s="6" t="str">
        <f>IFERROR(__xludf.DUMMYFUNCTION("GOOGLETRANSLATE(D5525,""en"",""it"")"),"Mi piacciono i cartoni animati, ma non i manuali.")</f>
        <v>Mi piacciono i cartoni animati, ma non i manuali.</v>
      </c>
      <c r="G5525" s="6" t="str">
        <f>IFERROR(__xludf.DUMMYFUNCTION("GOOGLETRANSLATE(E5525,""fr"",""it"")"),"Mi piacciono i cartoni animati, ma non i manuali.")</f>
        <v>Mi piacciono i cartoni animati, ma non i manuali.</v>
      </c>
    </row>
    <row r="5526">
      <c r="A5526" s="4">
        <v>5524.0</v>
      </c>
      <c r="B5526" s="5" t="s">
        <v>16579</v>
      </c>
      <c r="C5526" s="4">
        <v>1.0</v>
      </c>
      <c r="D5526" s="5" t="s">
        <v>16580</v>
      </c>
      <c r="E5526" s="5" t="s">
        <v>16581</v>
      </c>
      <c r="F5526" s="6" t="str">
        <f>IFERROR(__xludf.DUMMYFUNCTION("GOOGLETRANSLATE(D5526,""en"",""it"")"),"Mi piacciono i manuali, ma non i dipinti.")</f>
        <v>Mi piacciono i manuali, ma non i dipinti.</v>
      </c>
      <c r="G5526" s="6" t="str">
        <f>IFERROR(__xludf.DUMMYFUNCTION("GOOGLETRANSLATE(E5526,""fr"",""it"")"),"Mi piacciono i manuali, ma non i dipinti.")</f>
        <v>Mi piacciono i manuali, ma non i dipinti.</v>
      </c>
    </row>
    <row r="5527">
      <c r="A5527" s="4">
        <v>5525.0</v>
      </c>
      <c r="B5527" s="5" t="s">
        <v>16582</v>
      </c>
      <c r="C5527" s="4">
        <v>1.0</v>
      </c>
      <c r="D5527" s="5" t="s">
        <v>16583</v>
      </c>
      <c r="E5527" s="5" t="s">
        <v>16584</v>
      </c>
      <c r="F5527" s="6" t="str">
        <f>IFERROR(__xludf.DUMMYFUNCTION("GOOGLETRANSLATE(D5527,""en"",""it"")"),"Mi piacciono i dipinti, ma non i manuali.")</f>
        <v>Mi piacciono i dipinti, ma non i manuali.</v>
      </c>
      <c r="G5527" s="6" t="str">
        <f>IFERROR(__xludf.DUMMYFUNCTION("GOOGLETRANSLATE(E5527,""fr"",""it"")"),"Amo i dipinti, ma non i manuali.")</f>
        <v>Amo i dipinti, ma non i manuali.</v>
      </c>
    </row>
    <row r="5528">
      <c r="A5528" s="4">
        <v>5526.0</v>
      </c>
      <c r="B5528" s="5" t="s">
        <v>16585</v>
      </c>
      <c r="C5528" s="4">
        <v>1.0</v>
      </c>
      <c r="D5528" s="5" t="s">
        <v>16586</v>
      </c>
      <c r="E5528" s="5" t="s">
        <v>16587</v>
      </c>
      <c r="F5528" s="6" t="str">
        <f>IFERROR(__xludf.DUMMYFUNCTION("GOOGLETRANSLATE(D5528,""en"",""it"")"),"Mi piacciono gli impiegati, ma non le fabbriche.")</f>
        <v>Mi piacciono gli impiegati, ma non le fabbriche.</v>
      </c>
      <c r="G5528" s="6" t="str">
        <f>IFERROR(__xludf.DUMMYFUNCTION("GOOGLETRANSLATE(E5528,""fr"",""it"")"),"Mi piacciono gli impiegati, ma non le fabbriche.")</f>
        <v>Mi piacciono gli impiegati, ma non le fabbriche.</v>
      </c>
    </row>
    <row r="5529">
      <c r="A5529" s="4">
        <v>5527.0</v>
      </c>
      <c r="B5529" s="5" t="s">
        <v>16588</v>
      </c>
      <c r="C5529" s="4">
        <v>1.0</v>
      </c>
      <c r="D5529" s="5" t="s">
        <v>16589</v>
      </c>
      <c r="E5529" s="5" t="s">
        <v>16590</v>
      </c>
      <c r="F5529" s="6" t="str">
        <f>IFERROR(__xludf.DUMMYFUNCTION("GOOGLETRANSLATE(D5529,""en"",""it"")"),"Mi piacciono le fabbriche, ma non gli impiegati.")</f>
        <v>Mi piacciono le fabbriche, ma non gli impiegati.</v>
      </c>
      <c r="G5529" s="6" t="str">
        <f>IFERROR(__xludf.DUMMYFUNCTION("GOOGLETRANSLATE(E5529,""fr"",""it"")"),"Amo le fabbriche, ma non i commessi.")</f>
        <v>Amo le fabbriche, ma non i commessi.</v>
      </c>
    </row>
    <row r="5530">
      <c r="A5530" s="4">
        <v>5528.0</v>
      </c>
      <c r="B5530" s="5" t="s">
        <v>16591</v>
      </c>
      <c r="C5530" s="4">
        <v>0.0</v>
      </c>
      <c r="D5530" s="5" t="s">
        <v>16592</v>
      </c>
      <c r="E5530" s="5" t="s">
        <v>16593</v>
      </c>
      <c r="F5530" s="6" t="str">
        <f>IFERROR(__xludf.DUMMYFUNCTION("GOOGLETRANSLATE(D5530,""en"",""it"")"),"Mi piacciono gli impiegati, ma non i lavoratori.")</f>
        <v>Mi piacciono gli impiegati, ma non i lavoratori.</v>
      </c>
      <c r="G5530" s="6" t="str">
        <f>IFERROR(__xludf.DUMMYFUNCTION("GOOGLETRANSLATE(E5530,""fr"",""it"")"),"Mi piacciono gli impiegati, ma non i lavoratori.")</f>
        <v>Mi piacciono gli impiegati, ma non i lavoratori.</v>
      </c>
    </row>
    <row r="5531">
      <c r="A5531" s="4">
        <v>5529.0</v>
      </c>
      <c r="B5531" s="5" t="s">
        <v>16594</v>
      </c>
      <c r="C5531" s="4">
        <v>1.0</v>
      </c>
      <c r="D5531" s="5" t="s">
        <v>16595</v>
      </c>
      <c r="E5531" s="5" t="s">
        <v>16596</v>
      </c>
      <c r="F5531" s="6" t="str">
        <f>IFERROR(__xludf.DUMMYFUNCTION("GOOGLETRANSLATE(D5531,""en"",""it"")"),"Mi piacciono i lavoratori, ma non gli impiegati.")</f>
        <v>Mi piacciono i lavoratori, ma non gli impiegati.</v>
      </c>
      <c r="G5531" s="6" t="str">
        <f>IFERROR(__xludf.DUMMYFUNCTION("GOOGLETRANSLATE(E5531,""fr"",""it"")"),"Amo i lavoratori, ma non gli impiegati.")</f>
        <v>Amo i lavoratori, ma non gli impiegati.</v>
      </c>
    </row>
    <row r="5532">
      <c r="A5532" s="4">
        <v>5530.0</v>
      </c>
      <c r="B5532" s="5" t="s">
        <v>16597</v>
      </c>
      <c r="C5532" s="4">
        <v>1.0</v>
      </c>
      <c r="D5532" s="5" t="s">
        <v>16598</v>
      </c>
      <c r="E5532" s="5" t="s">
        <v>16599</v>
      </c>
      <c r="F5532" s="6" t="str">
        <f>IFERROR(__xludf.DUMMYFUNCTION("GOOGLETRANSLATE(D5532,""en"",""it"")"),"Mi piacciono i lavoratori, ma non le fabbriche.")</f>
        <v>Mi piacciono i lavoratori, ma non le fabbriche.</v>
      </c>
      <c r="G5532" s="6" t="str">
        <f>IFERROR(__xludf.DUMMYFUNCTION("GOOGLETRANSLATE(E5532,""fr"",""it"")"),"Adoro i lavoratori, ma non le fabbriche.")</f>
        <v>Adoro i lavoratori, ma non le fabbriche.</v>
      </c>
    </row>
    <row r="5533">
      <c r="A5533" s="4">
        <v>5531.0</v>
      </c>
      <c r="B5533" s="5" t="s">
        <v>16600</v>
      </c>
      <c r="C5533" s="4">
        <v>1.0</v>
      </c>
      <c r="D5533" s="5" t="s">
        <v>16601</v>
      </c>
      <c r="E5533" s="5" t="s">
        <v>16602</v>
      </c>
      <c r="F5533" s="6" t="str">
        <f>IFERROR(__xludf.DUMMYFUNCTION("GOOGLETRANSLATE(D5533,""en"",""it"")"),"Mi piacciono gli impiegati, ma non i ristoranti.")</f>
        <v>Mi piacciono gli impiegati, ma non i ristoranti.</v>
      </c>
      <c r="G5533" s="6" t="str">
        <f>IFERROR(__xludf.DUMMYFUNCTION("GOOGLETRANSLATE(E5533,""fr"",""it"")"),"Mi piacciono gli impiegati, ma non i ristoranti.")</f>
        <v>Mi piacciono gli impiegati, ma non i ristoranti.</v>
      </c>
    </row>
    <row r="5534">
      <c r="A5534" s="4">
        <v>5532.0</v>
      </c>
      <c r="B5534" s="5" t="s">
        <v>16603</v>
      </c>
      <c r="C5534" s="4">
        <v>1.0</v>
      </c>
      <c r="D5534" s="5" t="s">
        <v>16604</v>
      </c>
      <c r="E5534" s="5" t="s">
        <v>16605</v>
      </c>
      <c r="F5534" s="6" t="str">
        <f>IFERROR(__xludf.DUMMYFUNCTION("GOOGLETRANSLATE(D5534,""en"",""it"")"),"Mi piacciono i ristoranti, ma non gli impiegati.")</f>
        <v>Mi piacciono i ristoranti, ma non gli impiegati.</v>
      </c>
      <c r="G5534" s="6" t="str">
        <f>IFERROR(__xludf.DUMMYFUNCTION("GOOGLETRANSLATE(E5534,""fr"",""it"")"),"Amo i ristoranti, ma non gli impiegati.")</f>
        <v>Amo i ristoranti, ma non gli impiegati.</v>
      </c>
    </row>
    <row r="5535">
      <c r="A5535" s="4">
        <v>5533.0</v>
      </c>
      <c r="B5535" s="5" t="s">
        <v>16606</v>
      </c>
      <c r="C5535" s="4">
        <v>1.0</v>
      </c>
      <c r="D5535" s="5" t="s">
        <v>16607</v>
      </c>
      <c r="E5535" s="5" t="s">
        <v>16608</v>
      </c>
      <c r="F5535" s="6" t="str">
        <f>IFERROR(__xludf.DUMMYFUNCTION("GOOGLETRANSLATE(D5535,""en"",""it"")"),"Mi piacciono i lavoratori, ma non i ristoranti.")</f>
        <v>Mi piacciono i lavoratori, ma non i ristoranti.</v>
      </c>
      <c r="G5535" s="6" t="str">
        <f>IFERROR(__xludf.DUMMYFUNCTION("GOOGLETRANSLATE(E5535,""fr"",""it"")"),"Amo i lavoratori, ma non i ristoranti.")</f>
        <v>Amo i lavoratori, ma non i ristoranti.</v>
      </c>
    </row>
    <row r="5536">
      <c r="A5536" s="4">
        <v>5534.0</v>
      </c>
      <c r="B5536" s="5" t="s">
        <v>16609</v>
      </c>
      <c r="C5536" s="4">
        <v>1.0</v>
      </c>
      <c r="D5536" s="5" t="s">
        <v>16610</v>
      </c>
      <c r="E5536" s="5" t="s">
        <v>16611</v>
      </c>
      <c r="F5536" s="6" t="str">
        <f>IFERROR(__xludf.DUMMYFUNCTION("GOOGLETRANSLATE(D5536,""en"",""it"")"),"Mi piacciono gli impiegati, ma non le scuole.")</f>
        <v>Mi piacciono gli impiegati, ma non le scuole.</v>
      </c>
      <c r="G5536" s="6" t="str">
        <f>IFERROR(__xludf.DUMMYFUNCTION("GOOGLETRANSLATE(E5536,""fr"",""it"")"),"Mi piacciono gli impiegati, ma non le scuole.")</f>
        <v>Mi piacciono gli impiegati, ma non le scuole.</v>
      </c>
    </row>
    <row r="5537">
      <c r="A5537" s="4">
        <v>5535.0</v>
      </c>
      <c r="B5537" s="5" t="s">
        <v>16612</v>
      </c>
      <c r="C5537" s="4">
        <v>1.0</v>
      </c>
      <c r="D5537" s="5" t="s">
        <v>16613</v>
      </c>
      <c r="E5537" s="5" t="s">
        <v>16614</v>
      </c>
      <c r="F5537" s="6" t="str">
        <f>IFERROR(__xludf.DUMMYFUNCTION("GOOGLETRANSLATE(D5537,""en"",""it"")"),"Mi piacciono le scuole, ma non gli impiegati.")</f>
        <v>Mi piacciono le scuole, ma non gli impiegati.</v>
      </c>
      <c r="G5537" s="6" t="str">
        <f>IFERROR(__xludf.DUMMYFUNCTION("GOOGLETRANSLATE(E5537,""fr"",""it"")"),"Amo le scuole, ma non gli impiegati.")</f>
        <v>Amo le scuole, ma non gli impiegati.</v>
      </c>
    </row>
    <row r="5538">
      <c r="A5538" s="4">
        <v>5536.0</v>
      </c>
      <c r="B5538" s="5" t="s">
        <v>16615</v>
      </c>
      <c r="C5538" s="4">
        <v>1.0</v>
      </c>
      <c r="D5538" s="5" t="s">
        <v>16616</v>
      </c>
      <c r="E5538" s="5" t="s">
        <v>16617</v>
      </c>
      <c r="F5538" s="6" t="str">
        <f>IFERROR(__xludf.DUMMYFUNCTION("GOOGLETRANSLATE(D5538,""en"",""it"")"),"Mi piacciono i lavoratori, ma non le scuole.")</f>
        <v>Mi piacciono i lavoratori, ma non le scuole.</v>
      </c>
      <c r="G5538" s="6" t="str">
        <f>IFERROR(__xludf.DUMMYFUNCTION("GOOGLETRANSLATE(E5538,""fr"",""it"")"),"Amo i lavoratori, ma non le scuole.")</f>
        <v>Amo i lavoratori, ma non le scuole.</v>
      </c>
    </row>
    <row r="5539">
      <c r="A5539" s="4">
        <v>5537.0</v>
      </c>
      <c r="B5539" s="5" t="s">
        <v>16618</v>
      </c>
      <c r="C5539" s="4">
        <v>1.0</v>
      </c>
      <c r="D5539" s="5" t="s">
        <v>16619</v>
      </c>
      <c r="E5539" s="5" t="s">
        <v>16620</v>
      </c>
      <c r="F5539" s="6" t="str">
        <f>IFERROR(__xludf.DUMMYFUNCTION("GOOGLETRANSLATE(D5539,""en"",""it"")"),"Mi piacciono gli impiegati, ma non gli uffici.")</f>
        <v>Mi piacciono gli impiegati, ma non gli uffici.</v>
      </c>
      <c r="G5539" s="6" t="str">
        <f>IFERROR(__xludf.DUMMYFUNCTION("GOOGLETRANSLATE(E5539,""fr"",""it"")"),"Mi piacciono gli impiegati, ma non gli uffici.")</f>
        <v>Mi piacciono gli impiegati, ma non gli uffici.</v>
      </c>
    </row>
    <row r="5540">
      <c r="A5540" s="4">
        <v>5538.0</v>
      </c>
      <c r="B5540" s="5" t="s">
        <v>16621</v>
      </c>
      <c r="C5540" s="4">
        <v>1.0</v>
      </c>
      <c r="D5540" s="5" t="s">
        <v>16622</v>
      </c>
      <c r="E5540" s="5" t="s">
        <v>16623</v>
      </c>
      <c r="F5540" s="6" t="str">
        <f>IFERROR(__xludf.DUMMYFUNCTION("GOOGLETRANSLATE(D5540,""en"",""it"")"),"Mi piacciono gli uffici, ma non gli impiegati.")</f>
        <v>Mi piacciono gli uffici, ma non gli impiegati.</v>
      </c>
      <c r="G5540" s="6" t="str">
        <f>IFERROR(__xludf.DUMMYFUNCTION("GOOGLETRANSLATE(E5540,""fr"",""it"")"),"Adoro gli uffici, ma non i commessi.")</f>
        <v>Adoro gli uffici, ma non i commessi.</v>
      </c>
    </row>
    <row r="5541">
      <c r="A5541" s="4">
        <v>5539.0</v>
      </c>
      <c r="B5541" s="5" t="s">
        <v>16624</v>
      </c>
      <c r="C5541" s="4">
        <v>1.0</v>
      </c>
      <c r="D5541" s="5" t="s">
        <v>16625</v>
      </c>
      <c r="E5541" s="5" t="s">
        <v>16626</v>
      </c>
      <c r="F5541" s="6" t="str">
        <f>IFERROR(__xludf.DUMMYFUNCTION("GOOGLETRANSLATE(D5541,""en"",""it"")"),"Mi piacciono i lavoratori, ma non gli uffici.")</f>
        <v>Mi piacciono i lavoratori, ma non gli uffici.</v>
      </c>
      <c r="G5541" s="6" t="str">
        <f>IFERROR(__xludf.DUMMYFUNCTION("GOOGLETRANSLATE(E5541,""fr"",""it"")"),"Amo i lavoratori, ma non uffici.")</f>
        <v>Amo i lavoratori, ma non uffici.</v>
      </c>
    </row>
    <row r="5542">
      <c r="A5542" s="4">
        <v>5540.0</v>
      </c>
      <c r="B5542" s="5" t="s">
        <v>16627</v>
      </c>
      <c r="C5542" s="4">
        <v>1.0</v>
      </c>
      <c r="D5542" s="5" t="s">
        <v>16628</v>
      </c>
      <c r="E5542" s="5" t="s">
        <v>16629</v>
      </c>
      <c r="F5542" s="6" t="str">
        <f>IFERROR(__xludf.DUMMYFUNCTION("GOOGLETRANSLATE(D5542,""en"",""it"")"),"Mi piacciono i camerieri, ma non le fabbriche.")</f>
        <v>Mi piacciono i camerieri, ma non le fabbriche.</v>
      </c>
      <c r="G5542" s="6" t="str">
        <f>IFERROR(__xludf.DUMMYFUNCTION("GOOGLETRANSLATE(E5542,""fr"",""it"")"),"Mi piacciono i server, ma non le fabbriche.")</f>
        <v>Mi piacciono i server, ma non le fabbriche.</v>
      </c>
    </row>
    <row r="5543">
      <c r="A5543" s="4">
        <v>5541.0</v>
      </c>
      <c r="B5543" s="5" t="s">
        <v>16630</v>
      </c>
      <c r="C5543" s="4">
        <v>1.0</v>
      </c>
      <c r="D5543" s="5" t="s">
        <v>16631</v>
      </c>
      <c r="E5543" s="5" t="s">
        <v>16632</v>
      </c>
      <c r="F5543" s="6" t="str">
        <f>IFERROR(__xludf.DUMMYFUNCTION("GOOGLETRANSLATE(D5543,""en"",""it"")"),"Mi piacciono le fabbriche, ma non i camerieri.")</f>
        <v>Mi piacciono le fabbriche, ma non i camerieri.</v>
      </c>
      <c r="G5543" s="6" t="str">
        <f>IFERROR(__xludf.DUMMYFUNCTION("GOOGLETRANSLATE(E5543,""fr"",""it"")"),"Amo le fabbriche, ma non i server.")</f>
        <v>Amo le fabbriche, ma non i server.</v>
      </c>
    </row>
    <row r="5544">
      <c r="A5544" s="4">
        <v>5542.0</v>
      </c>
      <c r="B5544" s="5" t="s">
        <v>16633</v>
      </c>
      <c r="C5544" s="4">
        <v>0.0</v>
      </c>
      <c r="D5544" s="5" t="s">
        <v>16634</v>
      </c>
      <c r="E5544" s="5" t="s">
        <v>16635</v>
      </c>
      <c r="F5544" s="6" t="str">
        <f>IFERROR(__xludf.DUMMYFUNCTION("GOOGLETRANSLATE(D5544,""en"",""it"")"),"Mi piacciono i camerieri, ma non i lavoratori.")</f>
        <v>Mi piacciono i camerieri, ma non i lavoratori.</v>
      </c>
      <c r="G5544" s="6" t="str">
        <f>IFERROR(__xludf.DUMMYFUNCTION("GOOGLETRANSLATE(E5544,""fr"",""it"")"),"Mi piacciono i server, ma non i lavoratori.")</f>
        <v>Mi piacciono i server, ma non i lavoratori.</v>
      </c>
    </row>
    <row r="5545">
      <c r="A5545" s="4">
        <v>5543.0</v>
      </c>
      <c r="B5545" s="5" t="s">
        <v>16636</v>
      </c>
      <c r="C5545" s="4">
        <v>1.0</v>
      </c>
      <c r="D5545" s="5" t="s">
        <v>16637</v>
      </c>
      <c r="E5545" s="5" t="s">
        <v>16638</v>
      </c>
      <c r="F5545" s="6" t="str">
        <f>IFERROR(__xludf.DUMMYFUNCTION("GOOGLETRANSLATE(D5545,""en"",""it"")"),"Mi piacciono i lavoratori, ma non i camerieri.")</f>
        <v>Mi piacciono i lavoratori, ma non i camerieri.</v>
      </c>
      <c r="G5545" s="6" t="str">
        <f>IFERROR(__xludf.DUMMYFUNCTION("GOOGLETRANSLATE(E5545,""fr"",""it"")"),"Mi piacciono i lavoratori, ma non i server.")</f>
        <v>Mi piacciono i lavoratori, ma non i server.</v>
      </c>
    </row>
    <row r="5546">
      <c r="A5546" s="4">
        <v>5544.0</v>
      </c>
      <c r="B5546" s="5" t="s">
        <v>16639</v>
      </c>
      <c r="C5546" s="4">
        <v>1.0</v>
      </c>
      <c r="D5546" s="5" t="s">
        <v>16640</v>
      </c>
      <c r="E5546" s="5" t="s">
        <v>16641</v>
      </c>
      <c r="F5546" s="6" t="str">
        <f>IFERROR(__xludf.DUMMYFUNCTION("GOOGLETRANSLATE(D5546,""en"",""it"")"),"Mi piacciono i camerieri, ma non i ristoranti.")</f>
        <v>Mi piacciono i camerieri, ma non i ristoranti.</v>
      </c>
      <c r="G5546" s="6" t="str">
        <f>IFERROR(__xludf.DUMMYFUNCTION("GOOGLETRANSLATE(E5546,""fr"",""it"")"),"Mi piacciono i server, ma non i ristoranti.")</f>
        <v>Mi piacciono i server, ma non i ristoranti.</v>
      </c>
    </row>
    <row r="5547">
      <c r="A5547" s="4">
        <v>5545.0</v>
      </c>
      <c r="B5547" s="5" t="s">
        <v>16642</v>
      </c>
      <c r="C5547" s="4">
        <v>1.0</v>
      </c>
      <c r="D5547" s="5" t="s">
        <v>16643</v>
      </c>
      <c r="E5547" s="5" t="s">
        <v>16644</v>
      </c>
      <c r="F5547" s="6" t="str">
        <f>IFERROR(__xludf.DUMMYFUNCTION("GOOGLETRANSLATE(D5547,""en"",""it"")"),"Mi piacciono i ristoranti, ma non i camerieri.")</f>
        <v>Mi piacciono i ristoranti, ma non i camerieri.</v>
      </c>
      <c r="G5547" s="6" t="str">
        <f>IFERROR(__xludf.DUMMYFUNCTION("GOOGLETRANSLATE(E5547,""fr"",""it"")"),"Amo i ristoranti, ma non i server.")</f>
        <v>Amo i ristoranti, ma non i server.</v>
      </c>
    </row>
    <row r="5548">
      <c r="A5548" s="4">
        <v>5546.0</v>
      </c>
      <c r="B5548" s="5" t="s">
        <v>16645</v>
      </c>
      <c r="C5548" s="4">
        <v>1.0</v>
      </c>
      <c r="D5548" s="5" t="s">
        <v>16646</v>
      </c>
      <c r="E5548" s="5" t="s">
        <v>16647</v>
      </c>
      <c r="F5548" s="6" t="str">
        <f>IFERROR(__xludf.DUMMYFUNCTION("GOOGLETRANSLATE(D5548,""en"",""it"")"),"Mi piacciono i camerieri, ma non le scuole.")</f>
        <v>Mi piacciono i camerieri, ma non le scuole.</v>
      </c>
      <c r="G5548" s="6" t="str">
        <f>IFERROR(__xludf.DUMMYFUNCTION("GOOGLETRANSLATE(E5548,""fr"",""it"")"),"Mi piacciono i server, ma non le scuole.")</f>
        <v>Mi piacciono i server, ma non le scuole.</v>
      </c>
    </row>
    <row r="5549">
      <c r="A5549" s="4">
        <v>5547.0</v>
      </c>
      <c r="B5549" s="5" t="s">
        <v>16648</v>
      </c>
      <c r="C5549" s="4">
        <v>1.0</v>
      </c>
      <c r="D5549" s="5" t="s">
        <v>16649</v>
      </c>
      <c r="E5549" s="5" t="s">
        <v>16650</v>
      </c>
      <c r="F5549" s="6" t="str">
        <f>IFERROR(__xludf.DUMMYFUNCTION("GOOGLETRANSLATE(D5549,""en"",""it"")"),"Mi piacciono le scuole, ma non i camerieri.")</f>
        <v>Mi piacciono le scuole, ma non i camerieri.</v>
      </c>
      <c r="G5549" s="6" t="str">
        <f>IFERROR(__xludf.DUMMYFUNCTION("GOOGLETRANSLATE(E5549,""fr"",""it"")"),"Mi piacciono le scuole, ma non i server.")</f>
        <v>Mi piacciono le scuole, ma non i server.</v>
      </c>
    </row>
    <row r="5550">
      <c r="A5550" s="4">
        <v>5548.0</v>
      </c>
      <c r="B5550" s="5" t="s">
        <v>16651</v>
      </c>
      <c r="C5550" s="4">
        <v>1.0</v>
      </c>
      <c r="D5550" s="5" t="s">
        <v>16652</v>
      </c>
      <c r="E5550" s="5" t="s">
        <v>16653</v>
      </c>
      <c r="F5550" s="6" t="str">
        <f>IFERROR(__xludf.DUMMYFUNCTION("GOOGLETRANSLATE(D5550,""en"",""it"")"),"Mi piacciono i camerieri, ma non gli uffici.")</f>
        <v>Mi piacciono i camerieri, ma non gli uffici.</v>
      </c>
      <c r="G5550" s="6" t="str">
        <f>IFERROR(__xludf.DUMMYFUNCTION("GOOGLETRANSLATE(E5550,""fr"",""it"")"),"Mi piacciono i server, ma non gli uffici.")</f>
        <v>Mi piacciono i server, ma non gli uffici.</v>
      </c>
    </row>
    <row r="5551">
      <c r="A5551" s="4">
        <v>5549.0</v>
      </c>
      <c r="B5551" s="5" t="s">
        <v>16654</v>
      </c>
      <c r="C5551" s="4">
        <v>1.0</v>
      </c>
      <c r="D5551" s="5" t="s">
        <v>16655</v>
      </c>
      <c r="E5551" s="5" t="s">
        <v>16656</v>
      </c>
      <c r="F5551" s="6" t="str">
        <f>IFERROR(__xludf.DUMMYFUNCTION("GOOGLETRANSLATE(D5551,""en"",""it"")"),"Mi piacciono gli uffici, ma non i camerieri.")</f>
        <v>Mi piacciono gli uffici, ma non i camerieri.</v>
      </c>
      <c r="G5551" s="6" t="str">
        <f>IFERROR(__xludf.DUMMYFUNCTION("GOOGLETRANSLATE(E5551,""fr"",""it"")"),"Amo gli uffici, ma non i server.")</f>
        <v>Amo gli uffici, ma non i server.</v>
      </c>
    </row>
    <row r="5552">
      <c r="A5552" s="4">
        <v>5550.0</v>
      </c>
      <c r="B5552" s="5" t="s">
        <v>16657</v>
      </c>
      <c r="C5552" s="4">
        <v>1.0</v>
      </c>
      <c r="D5552" s="5" t="s">
        <v>16658</v>
      </c>
      <c r="E5552" s="5" t="s">
        <v>16659</v>
      </c>
      <c r="F5552" s="6" t="str">
        <f>IFERROR(__xludf.DUMMYFUNCTION("GOOGLETRANSLATE(D5552,""en"",""it"")"),"Mi piacciono i custodi, ma non le fabbriche.")</f>
        <v>Mi piacciono i custodi, ma non le fabbriche.</v>
      </c>
      <c r="G5552" s="6" t="str">
        <f>IFERROR(__xludf.DUMMYFUNCTION("GOOGLETRANSLATE(E5552,""fr"",""it"")"),"Adoro le guardie, ma non le fabbriche.")</f>
        <v>Adoro le guardie, ma non le fabbriche.</v>
      </c>
    </row>
    <row r="5553">
      <c r="A5553" s="4">
        <v>5551.0</v>
      </c>
      <c r="B5553" s="5" t="s">
        <v>16660</v>
      </c>
      <c r="C5553" s="4">
        <v>1.0</v>
      </c>
      <c r="D5553" s="5" t="s">
        <v>16661</v>
      </c>
      <c r="E5553" s="5" t="s">
        <v>16662</v>
      </c>
      <c r="F5553" s="6" t="str">
        <f>IFERROR(__xludf.DUMMYFUNCTION("GOOGLETRANSLATE(D5553,""en"",""it"")"),"Mi piacciono le fabbriche, ma non i custodi.")</f>
        <v>Mi piacciono le fabbriche, ma non i custodi.</v>
      </c>
      <c r="G5553" s="6" t="str">
        <f>IFERROR(__xludf.DUMMYFUNCTION("GOOGLETRANSLATE(E5553,""fr"",""it"")"),"Amo le fabbriche, ma non le guardie.")</f>
        <v>Amo le fabbriche, ma non le guardie.</v>
      </c>
    </row>
    <row r="5554">
      <c r="A5554" s="4">
        <v>5552.0</v>
      </c>
      <c r="B5554" s="5" t="s">
        <v>16663</v>
      </c>
      <c r="C5554" s="4">
        <v>0.0</v>
      </c>
      <c r="D5554" s="5" t="s">
        <v>16664</v>
      </c>
      <c r="E5554" s="5" t="s">
        <v>16665</v>
      </c>
      <c r="F5554" s="6" t="str">
        <f>IFERROR(__xludf.DUMMYFUNCTION("GOOGLETRANSLATE(D5554,""en"",""it"")"),"Mi piacciono i custodi, ma non i lavoratori.")</f>
        <v>Mi piacciono i custodi, ma non i lavoratori.</v>
      </c>
      <c r="G5554" s="6" t="str">
        <f>IFERROR(__xludf.DUMMYFUNCTION("GOOGLETRANSLATE(E5554,""fr"",""it"")"),"Mi piacciono i guardiani, ma non i lavoratori.")</f>
        <v>Mi piacciono i guardiani, ma non i lavoratori.</v>
      </c>
    </row>
    <row r="5555">
      <c r="A5555" s="4">
        <v>5553.0</v>
      </c>
      <c r="B5555" s="5" t="s">
        <v>16666</v>
      </c>
      <c r="C5555" s="4">
        <v>1.0</v>
      </c>
      <c r="D5555" s="5" t="s">
        <v>16667</v>
      </c>
      <c r="E5555" s="5" t="s">
        <v>16668</v>
      </c>
      <c r="F5555" s="6" t="str">
        <f>IFERROR(__xludf.DUMMYFUNCTION("GOOGLETRANSLATE(D5555,""en"",""it"")"),"Mi piacciono i lavoratori, ma non i custodi.")</f>
        <v>Mi piacciono i lavoratori, ma non i custodi.</v>
      </c>
      <c r="G5555" s="6" t="str">
        <f>IFERROR(__xludf.DUMMYFUNCTION("GOOGLETRANSLATE(E5555,""fr"",""it"")"),"Amo i lavoratori, ma non le guardie.")</f>
        <v>Amo i lavoratori, ma non le guardie.</v>
      </c>
    </row>
    <row r="5556">
      <c r="A5556" s="4">
        <v>5554.0</v>
      </c>
      <c r="B5556" s="5" t="s">
        <v>16669</v>
      </c>
      <c r="C5556" s="4">
        <v>1.0</v>
      </c>
      <c r="D5556" s="5" t="s">
        <v>16670</v>
      </c>
      <c r="E5556" s="5" t="s">
        <v>16671</v>
      </c>
      <c r="F5556" s="6" t="str">
        <f>IFERROR(__xludf.DUMMYFUNCTION("GOOGLETRANSLATE(D5556,""en"",""it"")"),"Mi piacciono i custodi, ma non i ristoranti.")</f>
        <v>Mi piacciono i custodi, ma non i ristoranti.</v>
      </c>
      <c r="G5556" s="6" t="str">
        <f>IFERROR(__xludf.DUMMYFUNCTION("GOOGLETRANSLATE(E5556,""fr"",""it"")"),"Adoro le guardie, ma non i ristoranti.")</f>
        <v>Adoro le guardie, ma non i ristoranti.</v>
      </c>
    </row>
    <row r="5557">
      <c r="A5557" s="4">
        <v>5555.0</v>
      </c>
      <c r="B5557" s="5" t="s">
        <v>16672</v>
      </c>
      <c r="C5557" s="4">
        <v>1.0</v>
      </c>
      <c r="D5557" s="5" t="s">
        <v>16673</v>
      </c>
      <c r="E5557" s="5" t="s">
        <v>16674</v>
      </c>
      <c r="F5557" s="6" t="str">
        <f>IFERROR(__xludf.DUMMYFUNCTION("GOOGLETRANSLATE(D5557,""en"",""it"")"),"Mi piacciono i ristoranti, ma non i custodi.")</f>
        <v>Mi piacciono i ristoranti, ma non i custodi.</v>
      </c>
      <c r="G5557" s="6" t="str">
        <f>IFERROR(__xludf.DUMMYFUNCTION("GOOGLETRANSLATE(E5557,""fr"",""it"")"),"Amo i ristoranti, ma non le guardie.")</f>
        <v>Amo i ristoranti, ma non le guardie.</v>
      </c>
    </row>
    <row r="5558">
      <c r="A5558" s="4">
        <v>5556.0</v>
      </c>
      <c r="B5558" s="5" t="s">
        <v>16675</v>
      </c>
      <c r="C5558" s="4">
        <v>1.0</v>
      </c>
      <c r="D5558" s="5" t="s">
        <v>16676</v>
      </c>
      <c r="E5558" s="5" t="s">
        <v>16677</v>
      </c>
      <c r="F5558" s="6" t="str">
        <f>IFERROR(__xludf.DUMMYFUNCTION("GOOGLETRANSLATE(D5558,""en"",""it"")"),"Mi piacciono i custodi, ma non le scuole.")</f>
        <v>Mi piacciono i custodi, ma non le scuole.</v>
      </c>
      <c r="G5558" s="6" t="str">
        <f>IFERROR(__xludf.DUMMYFUNCTION("GOOGLETRANSLATE(E5558,""fr"",""it"")"),"Mi piacciono i guardiani, ma non le scuole.")</f>
        <v>Mi piacciono i guardiani, ma non le scuole.</v>
      </c>
    </row>
    <row r="5559">
      <c r="A5559" s="4">
        <v>5557.0</v>
      </c>
      <c r="B5559" s="5" t="s">
        <v>16678</v>
      </c>
      <c r="C5559" s="4">
        <v>1.0</v>
      </c>
      <c r="D5559" s="5" t="s">
        <v>16679</v>
      </c>
      <c r="E5559" s="5" t="s">
        <v>16680</v>
      </c>
      <c r="F5559" s="6" t="str">
        <f>IFERROR(__xludf.DUMMYFUNCTION("GOOGLETRANSLATE(D5559,""en"",""it"")"),"Mi piacciono le scuole, ma non i custodi.")</f>
        <v>Mi piacciono le scuole, ma non i custodi.</v>
      </c>
      <c r="G5559" s="6" t="str">
        <f>IFERROR(__xludf.DUMMYFUNCTION("GOOGLETRANSLATE(E5559,""fr"",""it"")"),"Amo le scuole, ma non le guardie.")</f>
        <v>Amo le scuole, ma non le guardie.</v>
      </c>
    </row>
    <row r="5560">
      <c r="A5560" s="4">
        <v>5558.0</v>
      </c>
      <c r="B5560" s="5" t="s">
        <v>16681</v>
      </c>
      <c r="C5560" s="4">
        <v>1.0</v>
      </c>
      <c r="D5560" s="5" t="s">
        <v>16682</v>
      </c>
      <c r="E5560" s="5" t="s">
        <v>16683</v>
      </c>
      <c r="F5560" s="6" t="str">
        <f>IFERROR(__xludf.DUMMYFUNCTION("GOOGLETRANSLATE(D5560,""en"",""it"")"),"Mi piacciono i custodi, ma non gli uffici.")</f>
        <v>Mi piacciono i custodi, ma non gli uffici.</v>
      </c>
      <c r="G5560" s="6" t="str">
        <f>IFERROR(__xludf.DUMMYFUNCTION("GOOGLETRANSLATE(E5560,""fr"",""it"")"),"Mi piacciono i guardiani, ma non gli uffici.")</f>
        <v>Mi piacciono i guardiani, ma non gli uffici.</v>
      </c>
    </row>
    <row r="5561">
      <c r="A5561" s="4">
        <v>5559.0</v>
      </c>
      <c r="B5561" s="5" t="s">
        <v>16684</v>
      </c>
      <c r="C5561" s="4">
        <v>1.0</v>
      </c>
      <c r="D5561" s="5" t="s">
        <v>16685</v>
      </c>
      <c r="E5561" s="5" t="s">
        <v>16686</v>
      </c>
      <c r="F5561" s="6" t="str">
        <f>IFERROR(__xludf.DUMMYFUNCTION("GOOGLETRANSLATE(D5561,""en"",""it"")"),"Mi piacciono gli uffici, ma non i custodi.")</f>
        <v>Mi piacciono gli uffici, ma non i custodi.</v>
      </c>
      <c r="G5561" s="6" t="str">
        <f>IFERROR(__xludf.DUMMYFUNCTION("GOOGLETRANSLATE(E5561,""fr"",""it"")"),"Amo gli uffici, ma non le guardie.")</f>
        <v>Amo gli uffici, ma non le guardie.</v>
      </c>
    </row>
    <row r="5562">
      <c r="A5562" s="4">
        <v>5560.0</v>
      </c>
      <c r="B5562" s="5" t="s">
        <v>16687</v>
      </c>
      <c r="C5562" s="4">
        <v>1.0</v>
      </c>
      <c r="D5562" s="5" t="s">
        <v>16688</v>
      </c>
      <c r="E5562" s="5" t="s">
        <v>16689</v>
      </c>
      <c r="F5562" s="6" t="str">
        <f>IFERROR(__xludf.DUMMYFUNCTION("GOOGLETRANSLATE(D5562,""en"",""it"")"),"Mi piacciono i professori, ma non le fabbriche.")</f>
        <v>Mi piacciono i professori, ma non le fabbriche.</v>
      </c>
      <c r="G5562" s="6" t="str">
        <f>IFERROR(__xludf.DUMMYFUNCTION("GOOGLETRANSLATE(E5562,""fr"",""it"")"),"Amo gli insegnanti, ma non le fabbriche.")</f>
        <v>Amo gli insegnanti, ma non le fabbriche.</v>
      </c>
    </row>
    <row r="5563">
      <c r="A5563" s="4">
        <v>5561.0</v>
      </c>
      <c r="B5563" s="5" t="s">
        <v>16690</v>
      </c>
      <c r="C5563" s="4">
        <v>1.0</v>
      </c>
      <c r="D5563" s="5" t="s">
        <v>16691</v>
      </c>
      <c r="E5563" s="5" t="s">
        <v>16692</v>
      </c>
      <c r="F5563" s="6" t="str">
        <f>IFERROR(__xludf.DUMMYFUNCTION("GOOGLETRANSLATE(D5563,""en"",""it"")"),"Mi piacciono le fabbriche, ma non i professori.")</f>
        <v>Mi piacciono le fabbriche, ma non i professori.</v>
      </c>
      <c r="G5563" s="6" t="str">
        <f>IFERROR(__xludf.DUMMYFUNCTION("GOOGLETRANSLATE(E5563,""fr"",""it"")"),"Amo le fabbriche, ma non gli insegnanti.")</f>
        <v>Amo le fabbriche, ma non gli insegnanti.</v>
      </c>
    </row>
    <row r="5564">
      <c r="A5564" s="4">
        <v>5562.0</v>
      </c>
      <c r="B5564" s="5" t="s">
        <v>16693</v>
      </c>
      <c r="C5564" s="4">
        <v>0.0</v>
      </c>
      <c r="D5564" s="5" t="s">
        <v>16694</v>
      </c>
      <c r="E5564" s="5" t="s">
        <v>16695</v>
      </c>
      <c r="F5564" s="6" t="str">
        <f>IFERROR(__xludf.DUMMYFUNCTION("GOOGLETRANSLATE(D5564,""en"",""it"")"),"Mi piacciono i professori, ma non i lavoratori.")</f>
        <v>Mi piacciono i professori, ma non i lavoratori.</v>
      </c>
      <c r="G5564" s="6" t="str">
        <f>IFERROR(__xludf.DUMMYFUNCTION("GOOGLETRANSLATE(E5564,""fr"",""it"")"),"Amo gli insegnanti, ma non i lavoratori.")</f>
        <v>Amo gli insegnanti, ma non i lavoratori.</v>
      </c>
    </row>
    <row r="5565">
      <c r="A5565" s="4">
        <v>5563.0</v>
      </c>
      <c r="B5565" s="5" t="s">
        <v>16696</v>
      </c>
      <c r="C5565" s="4">
        <v>1.0</v>
      </c>
      <c r="D5565" s="5" t="s">
        <v>16697</v>
      </c>
      <c r="E5565" s="5" t="s">
        <v>16698</v>
      </c>
      <c r="F5565" s="6" t="str">
        <f>IFERROR(__xludf.DUMMYFUNCTION("GOOGLETRANSLATE(D5565,""en"",""it"")"),"Mi piacciono i lavoratori, ma non i professori.")</f>
        <v>Mi piacciono i lavoratori, ma non i professori.</v>
      </c>
      <c r="G5565" s="6" t="str">
        <f>IFERROR(__xludf.DUMMYFUNCTION("GOOGLETRANSLATE(E5565,""fr"",""it"")"),"Mi piacciono i lavoratori, ma non gli insegnanti.")</f>
        <v>Mi piacciono i lavoratori, ma non gli insegnanti.</v>
      </c>
    </row>
    <row r="5566">
      <c r="A5566" s="4">
        <v>5564.0</v>
      </c>
      <c r="B5566" s="5" t="s">
        <v>16699</v>
      </c>
      <c r="C5566" s="4">
        <v>1.0</v>
      </c>
      <c r="D5566" s="5" t="s">
        <v>16700</v>
      </c>
      <c r="E5566" s="5" t="s">
        <v>16701</v>
      </c>
      <c r="F5566" s="6" t="str">
        <f>IFERROR(__xludf.DUMMYFUNCTION("GOOGLETRANSLATE(D5566,""en"",""it"")"),"Mi piacciono i professori, ma non i ristoranti.")</f>
        <v>Mi piacciono i professori, ma non i ristoranti.</v>
      </c>
      <c r="G5566" s="6" t="str">
        <f>IFERROR(__xludf.DUMMYFUNCTION("GOOGLETRANSLATE(E5566,""fr"",""it"")"),"Amo gli insegnanti, ma non i ristoranti.")</f>
        <v>Amo gli insegnanti, ma non i ristoranti.</v>
      </c>
    </row>
    <row r="5567">
      <c r="A5567" s="4">
        <v>5565.0</v>
      </c>
      <c r="B5567" s="5" t="s">
        <v>16702</v>
      </c>
      <c r="C5567" s="4">
        <v>1.0</v>
      </c>
      <c r="D5567" s="5" t="s">
        <v>16703</v>
      </c>
      <c r="E5567" s="5" t="s">
        <v>16704</v>
      </c>
      <c r="F5567" s="6" t="str">
        <f>IFERROR(__xludf.DUMMYFUNCTION("GOOGLETRANSLATE(D5567,""en"",""it"")"),"Mi piacciono i ristoranti, ma non i professori.")</f>
        <v>Mi piacciono i ristoranti, ma non i professori.</v>
      </c>
      <c r="G5567" s="6" t="str">
        <f>IFERROR(__xludf.DUMMYFUNCTION("GOOGLETRANSLATE(E5567,""fr"",""it"")"),"Mi piacciono i ristoranti, ma non gli insegnanti.")</f>
        <v>Mi piacciono i ristoranti, ma non gli insegnanti.</v>
      </c>
    </row>
    <row r="5568">
      <c r="A5568" s="4">
        <v>5566.0</v>
      </c>
      <c r="B5568" s="5" t="s">
        <v>16705</v>
      </c>
      <c r="C5568" s="4">
        <v>1.0</v>
      </c>
      <c r="D5568" s="5" t="s">
        <v>16706</v>
      </c>
      <c r="E5568" s="5" t="s">
        <v>16707</v>
      </c>
      <c r="F5568" s="6" t="str">
        <f>IFERROR(__xludf.DUMMYFUNCTION("GOOGLETRANSLATE(D5568,""en"",""it"")"),"Mi piacciono i professori, ma non le scuole.")</f>
        <v>Mi piacciono i professori, ma non le scuole.</v>
      </c>
      <c r="G5568" s="6" t="str">
        <f>IFERROR(__xludf.DUMMYFUNCTION("GOOGLETRANSLATE(E5568,""fr"",""it"")"),"Mi piacciono gli insegnanti, ma non le scuole.")</f>
        <v>Mi piacciono gli insegnanti, ma non le scuole.</v>
      </c>
    </row>
    <row r="5569">
      <c r="A5569" s="4">
        <v>5567.0</v>
      </c>
      <c r="B5569" s="5" t="s">
        <v>16708</v>
      </c>
      <c r="C5569" s="4">
        <v>1.0</v>
      </c>
      <c r="D5569" s="5" t="s">
        <v>16709</v>
      </c>
      <c r="E5569" s="5" t="s">
        <v>16710</v>
      </c>
      <c r="F5569" s="6" t="str">
        <f>IFERROR(__xludf.DUMMYFUNCTION("GOOGLETRANSLATE(D5569,""en"",""it"")"),"Mi piacciono le scuole, ma non i professori.")</f>
        <v>Mi piacciono le scuole, ma non i professori.</v>
      </c>
      <c r="G5569" s="6" t="str">
        <f>IFERROR(__xludf.DUMMYFUNCTION("GOOGLETRANSLATE(E5569,""fr"",""it"")"),"Amo le scuole, ma non insegnanti.")</f>
        <v>Amo le scuole, ma non insegnanti.</v>
      </c>
    </row>
    <row r="5570">
      <c r="A5570" s="4">
        <v>5568.0</v>
      </c>
      <c r="B5570" s="5" t="s">
        <v>16711</v>
      </c>
      <c r="C5570" s="4">
        <v>1.0</v>
      </c>
      <c r="D5570" s="5" t="s">
        <v>16712</v>
      </c>
      <c r="E5570" s="5" t="s">
        <v>16713</v>
      </c>
      <c r="F5570" s="6" t="str">
        <f>IFERROR(__xludf.DUMMYFUNCTION("GOOGLETRANSLATE(D5570,""en"",""it"")"),"Mi piacciono i professori, ma non uffici.")</f>
        <v>Mi piacciono i professori, ma non uffici.</v>
      </c>
      <c r="G5570" s="6" t="str">
        <f>IFERROR(__xludf.DUMMYFUNCTION("GOOGLETRANSLATE(E5570,""fr"",""it"")"),"Amo gli insegnanti, ma non gli uffici.")</f>
        <v>Amo gli insegnanti, ma non gli uffici.</v>
      </c>
    </row>
    <row r="5571">
      <c r="A5571" s="4">
        <v>5569.0</v>
      </c>
      <c r="B5571" s="5" t="s">
        <v>16714</v>
      </c>
      <c r="C5571" s="4">
        <v>1.0</v>
      </c>
      <c r="D5571" s="5" t="s">
        <v>16715</v>
      </c>
      <c r="E5571" s="5" t="s">
        <v>16716</v>
      </c>
      <c r="F5571" s="6" t="str">
        <f>IFERROR(__xludf.DUMMYFUNCTION("GOOGLETRANSLATE(D5571,""en"",""it"")"),"Mi piacciono gli uffici, ma non i professori.")</f>
        <v>Mi piacciono gli uffici, ma non i professori.</v>
      </c>
      <c r="G5571" s="6" t="str">
        <f>IFERROR(__xludf.DUMMYFUNCTION("GOOGLETRANSLATE(E5571,""fr"",""it"")"),"Adoro gli uffici, ma non gli insegnanti.")</f>
        <v>Adoro gli uffici, ma non gli insegnanti.</v>
      </c>
    </row>
    <row r="5572">
      <c r="A5572" s="4">
        <v>5570.0</v>
      </c>
      <c r="B5572" s="5" t="s">
        <v>16717</v>
      </c>
      <c r="C5572" s="4">
        <v>1.0</v>
      </c>
      <c r="D5572" s="5" t="s">
        <v>16718</v>
      </c>
      <c r="E5572" s="5" t="s">
        <v>16719</v>
      </c>
      <c r="F5572" s="6" t="str">
        <f>IFERROR(__xludf.DUMMYFUNCTION("GOOGLETRANSLATE(D5572,""en"",""it"")"),"Ho incontrato biologi, ma non impiegati.")</f>
        <v>Ho incontrato biologi, ma non impiegati.</v>
      </c>
      <c r="G5572" s="6" t="str">
        <f>IFERROR(__xludf.DUMMYFUNCTION("GOOGLETRANSLATE(E5572,""fr"",""it"")"),"Ho incontrato biologi, ma non i commessi.")</f>
        <v>Ho incontrato biologi, ma non i commessi.</v>
      </c>
    </row>
    <row r="5573">
      <c r="A5573" s="4">
        <v>5571.0</v>
      </c>
      <c r="B5573" s="5" t="s">
        <v>16720</v>
      </c>
      <c r="C5573" s="4">
        <v>1.0</v>
      </c>
      <c r="D5573" s="5" t="s">
        <v>16721</v>
      </c>
      <c r="E5573" s="5" t="s">
        <v>16722</v>
      </c>
      <c r="F5573" s="6" t="str">
        <f>IFERROR(__xludf.DUMMYFUNCTION("GOOGLETRANSLATE(D5573,""en"",""it"")"),"Ho incontrato gli impiegati, ma non i biologi.")</f>
        <v>Ho incontrato gli impiegati, ma non i biologi.</v>
      </c>
      <c r="G5573" s="6" t="str">
        <f>IFERROR(__xludf.DUMMYFUNCTION("GOOGLETRANSLATE(E5573,""fr"",""it"")"),"Ho incontrato i commessi, ma non i biologi.")</f>
        <v>Ho incontrato i commessi, ma non i biologi.</v>
      </c>
    </row>
    <row r="5574">
      <c r="A5574" s="4">
        <v>5572.0</v>
      </c>
      <c r="B5574" s="5" t="s">
        <v>16723</v>
      </c>
      <c r="C5574" s="4">
        <v>0.0</v>
      </c>
      <c r="D5574" s="5" t="s">
        <v>16724</v>
      </c>
      <c r="E5574" s="5" t="s">
        <v>16725</v>
      </c>
      <c r="F5574" s="6" t="str">
        <f>IFERROR(__xludf.DUMMYFUNCTION("GOOGLETRANSLATE(D5574,""en"",""it"")"),"Ho incontrato biologi, ma non scienziati.")</f>
        <v>Ho incontrato biologi, ma non scienziati.</v>
      </c>
      <c r="G5574" s="6" t="str">
        <f>IFERROR(__xludf.DUMMYFUNCTION("GOOGLETRANSLATE(E5574,""fr"",""it"")"),"Ho incontrato biologi, ma non scienziati.")</f>
        <v>Ho incontrato biologi, ma non scienziati.</v>
      </c>
    </row>
    <row r="5575">
      <c r="A5575" s="4">
        <v>5573.0</v>
      </c>
      <c r="B5575" s="5" t="s">
        <v>16726</v>
      </c>
      <c r="C5575" s="4">
        <v>1.0</v>
      </c>
      <c r="D5575" s="5" t="s">
        <v>16727</v>
      </c>
      <c r="E5575" s="5" t="s">
        <v>16728</v>
      </c>
      <c r="F5575" s="6" t="str">
        <f>IFERROR(__xludf.DUMMYFUNCTION("GOOGLETRANSLATE(D5575,""en"",""it"")"),"Ho incontrato gli scienziati, ma non i biologi.")</f>
        <v>Ho incontrato gli scienziati, ma non i biologi.</v>
      </c>
      <c r="G5575" s="6" t="str">
        <f>IFERROR(__xludf.DUMMYFUNCTION("GOOGLETRANSLATE(E5575,""fr"",""it"")"),"Ho incontrato gli scienziati, ma non i biologi.")</f>
        <v>Ho incontrato gli scienziati, ma non i biologi.</v>
      </c>
    </row>
    <row r="5576">
      <c r="A5576" s="4">
        <v>5574.0</v>
      </c>
      <c r="B5576" s="5" t="s">
        <v>16729</v>
      </c>
      <c r="C5576" s="4">
        <v>1.0</v>
      </c>
      <c r="D5576" s="5" t="s">
        <v>16730</v>
      </c>
      <c r="E5576" s="5" t="s">
        <v>16731</v>
      </c>
      <c r="F5576" s="6" t="str">
        <f>IFERROR(__xludf.DUMMYFUNCTION("GOOGLETRANSLATE(D5576,""en"",""it"")"),"Ho incontrato gli scienziati, ma non gli impiegati.")</f>
        <v>Ho incontrato gli scienziati, ma non gli impiegati.</v>
      </c>
      <c r="G5576" s="6" t="str">
        <f>IFERROR(__xludf.DUMMYFUNCTION("GOOGLETRANSLATE(E5576,""fr"",""it"")"),"Ho incontrato gli scienziati, ma non i commessi.")</f>
        <v>Ho incontrato gli scienziati, ma non i commessi.</v>
      </c>
    </row>
    <row r="5577">
      <c r="A5577" s="4">
        <v>5575.0</v>
      </c>
      <c r="B5577" s="5" t="s">
        <v>16732</v>
      </c>
      <c r="C5577" s="4">
        <v>1.0</v>
      </c>
      <c r="D5577" s="5" t="s">
        <v>16733</v>
      </c>
      <c r="E5577" s="5" t="s">
        <v>16734</v>
      </c>
      <c r="F5577" s="6" t="str">
        <f>IFERROR(__xludf.DUMMYFUNCTION("GOOGLETRANSLATE(D5577,""en"",""it"")"),"Ho incontrato biologi, ma non camerieri.")</f>
        <v>Ho incontrato biologi, ma non camerieri.</v>
      </c>
      <c r="G5577" s="6" t="str">
        <f>IFERROR(__xludf.DUMMYFUNCTION("GOOGLETRANSLATE(E5577,""fr"",""it"")"),"Ho incontrato biologi, ma non i camerieri.")</f>
        <v>Ho incontrato biologi, ma non i camerieri.</v>
      </c>
    </row>
    <row r="5578">
      <c r="A5578" s="4">
        <v>5576.0</v>
      </c>
      <c r="B5578" s="5" t="s">
        <v>16735</v>
      </c>
      <c r="C5578" s="4">
        <v>1.0</v>
      </c>
      <c r="D5578" s="5" t="s">
        <v>16736</v>
      </c>
      <c r="E5578" s="5" t="s">
        <v>16737</v>
      </c>
      <c r="F5578" s="6" t="str">
        <f>IFERROR(__xludf.DUMMYFUNCTION("GOOGLETRANSLATE(D5578,""en"",""it"")"),"Ho incontrato i camerieri, ma non i biologi.")</f>
        <v>Ho incontrato i camerieri, ma non i biologi.</v>
      </c>
      <c r="G5578" s="6" t="str">
        <f>IFERROR(__xludf.DUMMYFUNCTION("GOOGLETRANSLATE(E5578,""fr"",""it"")"),"Ho incontrato i camerieri, ma non i biologi.")</f>
        <v>Ho incontrato i camerieri, ma non i biologi.</v>
      </c>
    </row>
    <row r="5579">
      <c r="A5579" s="4">
        <v>5577.0</v>
      </c>
      <c r="B5579" s="5" t="s">
        <v>16738</v>
      </c>
      <c r="C5579" s="4">
        <v>1.0</v>
      </c>
      <c r="D5579" s="5" t="s">
        <v>16739</v>
      </c>
      <c r="E5579" s="5" t="s">
        <v>16740</v>
      </c>
      <c r="F5579" s="6" t="str">
        <f>IFERROR(__xludf.DUMMYFUNCTION("GOOGLETRANSLATE(D5579,""en"",""it"")"),"Ho incontrato gli scienziati, ma non i camerieri.")</f>
        <v>Ho incontrato gli scienziati, ma non i camerieri.</v>
      </c>
      <c r="G5579" s="6" t="str">
        <f>IFERROR(__xludf.DUMMYFUNCTION("GOOGLETRANSLATE(E5579,""fr"",""it"")"),"Ho incontrato gli scienziati, ma non i server.")</f>
        <v>Ho incontrato gli scienziati, ma non i server.</v>
      </c>
    </row>
    <row r="5580">
      <c r="A5580" s="4">
        <v>5578.0</v>
      </c>
      <c r="B5580" s="5" t="s">
        <v>16741</v>
      </c>
      <c r="C5580" s="4">
        <v>1.0</v>
      </c>
      <c r="D5580" s="5" t="s">
        <v>16742</v>
      </c>
      <c r="E5580" s="5" t="s">
        <v>16743</v>
      </c>
      <c r="F5580" s="6" t="str">
        <f>IFERROR(__xludf.DUMMYFUNCTION("GOOGLETRANSLATE(D5580,""en"",""it"")"),"Ho incontrato biologi, ma non custodi.")</f>
        <v>Ho incontrato biologi, ma non custodi.</v>
      </c>
      <c r="G5580" s="6" t="str">
        <f>IFERROR(__xludf.DUMMYFUNCTION("GOOGLETRANSLATE(E5580,""fr"",""it"")"),"Ho incontrato i biologi, ma non le guardie.")</f>
        <v>Ho incontrato i biologi, ma non le guardie.</v>
      </c>
    </row>
    <row r="5581">
      <c r="A5581" s="4">
        <v>5579.0</v>
      </c>
      <c r="B5581" s="5" t="s">
        <v>16744</v>
      </c>
      <c r="C5581" s="4">
        <v>1.0</v>
      </c>
      <c r="D5581" s="5" t="s">
        <v>16745</v>
      </c>
      <c r="E5581" s="5" t="s">
        <v>16746</v>
      </c>
      <c r="F5581" s="6" t="str">
        <f>IFERROR(__xludf.DUMMYFUNCTION("GOOGLETRANSLATE(D5581,""en"",""it"")"),"Ho incontrato custodi, ma non biologi.")</f>
        <v>Ho incontrato custodi, ma non biologi.</v>
      </c>
      <c r="G5581" s="6" t="str">
        <f>IFERROR(__xludf.DUMMYFUNCTION("GOOGLETRANSLATE(E5581,""fr"",""it"")"),"Ho incontrato le guardie, ma non i biologi.")</f>
        <v>Ho incontrato le guardie, ma non i biologi.</v>
      </c>
    </row>
    <row r="5582">
      <c r="A5582" s="4">
        <v>5580.0</v>
      </c>
      <c r="B5582" s="5" t="s">
        <v>16747</v>
      </c>
      <c r="C5582" s="4">
        <v>1.0</v>
      </c>
      <c r="D5582" s="5" t="s">
        <v>16748</v>
      </c>
      <c r="E5582" s="5" t="s">
        <v>16749</v>
      </c>
      <c r="F5582" s="6" t="str">
        <f>IFERROR(__xludf.DUMMYFUNCTION("GOOGLETRANSLATE(D5582,""en"",""it"")"),"Ho incontrato gli scienziati, ma non i custodi.")</f>
        <v>Ho incontrato gli scienziati, ma non i custodi.</v>
      </c>
      <c r="G5582" s="6" t="str">
        <f>IFERROR(__xludf.DUMMYFUNCTION("GOOGLETRANSLATE(E5582,""fr"",""it"")"),"Ho incontrato gli scienziati, ma non le guardie.")</f>
        <v>Ho incontrato gli scienziati, ma non le guardie.</v>
      </c>
    </row>
    <row r="5583">
      <c r="A5583" s="4">
        <v>5581.0</v>
      </c>
      <c r="B5583" s="5" t="s">
        <v>16750</v>
      </c>
      <c r="C5583" s="4">
        <v>1.0</v>
      </c>
      <c r="D5583" s="5" t="s">
        <v>16751</v>
      </c>
      <c r="E5583" s="5" t="s">
        <v>16752</v>
      </c>
      <c r="F5583" s="6" t="str">
        <f>IFERROR(__xludf.DUMMYFUNCTION("GOOGLETRANSLATE(D5583,""en"",""it"")"),"Ho incontrato biologi, ma non bidelli.")</f>
        <v>Ho incontrato biologi, ma non bidelli.</v>
      </c>
      <c r="G5583" s="6" t="str">
        <f>IFERROR(__xludf.DUMMYFUNCTION("GOOGLETRANSLATE(E5583,""fr"",""it"")"),"Ho incontrato biologi, ma non conformati.")</f>
        <v>Ho incontrato biologi, ma non conformati.</v>
      </c>
    </row>
    <row r="5584">
      <c r="A5584" s="4">
        <v>5582.0</v>
      </c>
      <c r="B5584" s="5" t="s">
        <v>16753</v>
      </c>
      <c r="C5584" s="4">
        <v>1.0</v>
      </c>
      <c r="D5584" s="5" t="s">
        <v>16754</v>
      </c>
      <c r="E5584" s="5" t="s">
        <v>16755</v>
      </c>
      <c r="F5584" s="6" t="str">
        <f>IFERROR(__xludf.DUMMYFUNCTION("GOOGLETRANSLATE(D5584,""en"",""it"")"),"Ho incontrato i bidelli, ma non i biologi.")</f>
        <v>Ho incontrato i bidelli, ma non i biologi.</v>
      </c>
      <c r="G5584" s="6" t="str">
        <f>IFERROR(__xludf.DUMMYFUNCTION("GOOGLETRANSLATE(E5584,""fr"",""it"")"),"Ho incontrato i concierges, ma non i biologi.")</f>
        <v>Ho incontrato i concierges, ma non i biologi.</v>
      </c>
    </row>
    <row r="5585">
      <c r="A5585" s="4">
        <v>5583.0</v>
      </c>
      <c r="B5585" s="5" t="s">
        <v>16756</v>
      </c>
      <c r="C5585" s="4">
        <v>1.0</v>
      </c>
      <c r="D5585" s="5" t="s">
        <v>16757</v>
      </c>
      <c r="E5585" s="5" t="s">
        <v>16758</v>
      </c>
      <c r="F5585" s="6" t="str">
        <f>IFERROR(__xludf.DUMMYFUNCTION("GOOGLETRANSLATE(D5585,""en"",""it"")"),"Ho incontrato gli scienziati, ma non i bidelli.")</f>
        <v>Ho incontrato gli scienziati, ma non i bidelli.</v>
      </c>
      <c r="G5585" s="6" t="str">
        <f>IFERROR(__xludf.DUMMYFUNCTION("GOOGLETRANSLATE(E5585,""fr"",""it"")"),"Ho incontrato gli scienziati, ma non i porciere.")</f>
        <v>Ho incontrato gli scienziati, ma non i porciere.</v>
      </c>
    </row>
    <row r="5586">
      <c r="A5586" s="4">
        <v>5584.0</v>
      </c>
      <c r="B5586" s="5" t="s">
        <v>16759</v>
      </c>
      <c r="C5586" s="4">
        <v>1.0</v>
      </c>
      <c r="D5586" s="5" t="s">
        <v>16760</v>
      </c>
      <c r="E5586" s="5" t="s">
        <v>16761</v>
      </c>
      <c r="F5586" s="6" t="str">
        <f>IFERROR(__xludf.DUMMYFUNCTION("GOOGLETRANSLATE(D5586,""en"",""it"")"),"Ho incontrato i genetisti, ma non gli impiegati.")</f>
        <v>Ho incontrato i genetisti, ma non gli impiegati.</v>
      </c>
      <c r="G5586" s="6" t="str">
        <f>IFERROR(__xludf.DUMMYFUNCTION("GOOGLETRANSLATE(E5586,""fr"",""it"")"),"Ho incontrato i genetisti, ma non i commessi.")</f>
        <v>Ho incontrato i genetisti, ma non i commessi.</v>
      </c>
    </row>
    <row r="5587">
      <c r="A5587" s="4">
        <v>5585.0</v>
      </c>
      <c r="B5587" s="5" t="s">
        <v>16762</v>
      </c>
      <c r="C5587" s="4">
        <v>1.0</v>
      </c>
      <c r="D5587" s="5" t="s">
        <v>16763</v>
      </c>
      <c r="E5587" s="5" t="s">
        <v>16764</v>
      </c>
      <c r="F5587" s="6" t="str">
        <f>IFERROR(__xludf.DUMMYFUNCTION("GOOGLETRANSLATE(D5587,""en"",""it"")"),"Ho incontrato gli impiegati, ma non i genetisti.")</f>
        <v>Ho incontrato gli impiegati, ma non i genetisti.</v>
      </c>
      <c r="G5587" s="6" t="str">
        <f>IFERROR(__xludf.DUMMYFUNCTION("GOOGLETRANSLATE(E5587,""fr"",""it"")"),"Ho incontrato gli impiegati, ma non i genetisti.")</f>
        <v>Ho incontrato gli impiegati, ma non i genetisti.</v>
      </c>
    </row>
    <row r="5588">
      <c r="A5588" s="4">
        <v>5586.0</v>
      </c>
      <c r="B5588" s="5" t="s">
        <v>16765</v>
      </c>
      <c r="C5588" s="4">
        <v>0.0</v>
      </c>
      <c r="D5588" s="5" t="s">
        <v>16766</v>
      </c>
      <c r="E5588" s="5" t="s">
        <v>16767</v>
      </c>
      <c r="F5588" s="6" t="str">
        <f>IFERROR(__xludf.DUMMYFUNCTION("GOOGLETRANSLATE(D5588,""en"",""it"")"),"Ho incontrato genetisti, ma non scienziati.")</f>
        <v>Ho incontrato genetisti, ma non scienziati.</v>
      </c>
      <c r="G5588" s="6" t="str">
        <f>IFERROR(__xludf.DUMMYFUNCTION("GOOGLETRANSLATE(E5588,""fr"",""it"")"),"Ho incontrato i genetisti, ma non gli scienziati.")</f>
        <v>Ho incontrato i genetisti, ma non gli scienziati.</v>
      </c>
    </row>
    <row r="5589">
      <c r="A5589" s="4">
        <v>5587.0</v>
      </c>
      <c r="B5589" s="5" t="s">
        <v>16768</v>
      </c>
      <c r="C5589" s="4">
        <v>1.0</v>
      </c>
      <c r="D5589" s="5" t="s">
        <v>16769</v>
      </c>
      <c r="E5589" s="5" t="s">
        <v>16770</v>
      </c>
      <c r="F5589" s="6" t="str">
        <f>IFERROR(__xludf.DUMMYFUNCTION("GOOGLETRANSLATE(D5589,""en"",""it"")"),"Ho incontrato gli scienziati, ma non i genetisti.")</f>
        <v>Ho incontrato gli scienziati, ma non i genetisti.</v>
      </c>
      <c r="G5589" s="6" t="str">
        <f>IFERROR(__xludf.DUMMYFUNCTION("GOOGLETRANSLATE(E5589,""fr"",""it"")"),"Ho incontrato gli scienziati, ma non i genetisti.")</f>
        <v>Ho incontrato gli scienziati, ma non i genetisti.</v>
      </c>
    </row>
    <row r="5590">
      <c r="A5590" s="4">
        <v>5588.0</v>
      </c>
      <c r="B5590" s="5" t="s">
        <v>16771</v>
      </c>
      <c r="C5590" s="4">
        <v>1.0</v>
      </c>
      <c r="D5590" s="5" t="s">
        <v>16772</v>
      </c>
      <c r="E5590" s="5" t="s">
        <v>16773</v>
      </c>
      <c r="F5590" s="6" t="str">
        <f>IFERROR(__xludf.DUMMYFUNCTION("GOOGLETRANSLATE(D5590,""en"",""it"")"),"Ho incontrato i genetisti, ma non i camerieri.")</f>
        <v>Ho incontrato i genetisti, ma non i camerieri.</v>
      </c>
      <c r="G5590" s="6" t="str">
        <f>IFERROR(__xludf.DUMMYFUNCTION("GOOGLETRANSLATE(E5590,""fr"",""it"")"),"Ho incontrato i genetisti, ma non i camerieri.")</f>
        <v>Ho incontrato i genetisti, ma non i camerieri.</v>
      </c>
    </row>
    <row r="5591">
      <c r="A5591" s="4">
        <v>5589.0</v>
      </c>
      <c r="B5591" s="5" t="s">
        <v>16774</v>
      </c>
      <c r="C5591" s="4">
        <v>1.0</v>
      </c>
      <c r="D5591" s="5" t="s">
        <v>16775</v>
      </c>
      <c r="E5591" s="5" t="s">
        <v>16776</v>
      </c>
      <c r="F5591" s="6" t="str">
        <f>IFERROR(__xludf.DUMMYFUNCTION("GOOGLETRANSLATE(D5591,""en"",""it"")"),"Ho incontrato i camerieri, ma non i genetisti.")</f>
        <v>Ho incontrato i camerieri, ma non i genetisti.</v>
      </c>
      <c r="G5591" s="6" t="str">
        <f>IFERROR(__xludf.DUMMYFUNCTION("GOOGLETRANSLATE(E5591,""fr"",""it"")"),"Ho incontrato i camerieri, ma non i genetisti.")</f>
        <v>Ho incontrato i camerieri, ma non i genetisti.</v>
      </c>
    </row>
    <row r="5592">
      <c r="A5592" s="4">
        <v>5590.0</v>
      </c>
      <c r="B5592" s="5" t="s">
        <v>16777</v>
      </c>
      <c r="C5592" s="4">
        <v>1.0</v>
      </c>
      <c r="D5592" s="5" t="s">
        <v>16778</v>
      </c>
      <c r="E5592" s="5" t="s">
        <v>16779</v>
      </c>
      <c r="F5592" s="6" t="str">
        <f>IFERROR(__xludf.DUMMYFUNCTION("GOOGLETRANSLATE(D5592,""en"",""it"")"),"Ho incontrato genetisti, ma non custodi.")</f>
        <v>Ho incontrato genetisti, ma non custodi.</v>
      </c>
      <c r="G5592" s="6" t="str">
        <f>IFERROR(__xludf.DUMMYFUNCTION("GOOGLETRANSLATE(E5592,""fr"",""it"")"),"Ho incontrato i genetisti, ma non le guardie.")</f>
        <v>Ho incontrato i genetisti, ma non le guardie.</v>
      </c>
    </row>
    <row r="5593">
      <c r="A5593" s="4">
        <v>5591.0</v>
      </c>
      <c r="B5593" s="5" t="s">
        <v>16780</v>
      </c>
      <c r="C5593" s="4">
        <v>1.0</v>
      </c>
      <c r="D5593" s="5" t="s">
        <v>16781</v>
      </c>
      <c r="E5593" s="5" t="s">
        <v>16782</v>
      </c>
      <c r="F5593" s="6" t="str">
        <f>IFERROR(__xludf.DUMMYFUNCTION("GOOGLETRANSLATE(D5593,""en"",""it"")"),"Ho incontrato i custodi, ma non i genetisti.")</f>
        <v>Ho incontrato i custodi, ma non i genetisti.</v>
      </c>
      <c r="G5593" s="6" t="str">
        <f>IFERROR(__xludf.DUMMYFUNCTION("GOOGLETRANSLATE(E5593,""fr"",""it"")"),"Ho incontrato le guardie, ma non i genetisti.")</f>
        <v>Ho incontrato le guardie, ma non i genetisti.</v>
      </c>
    </row>
    <row r="5594">
      <c r="A5594" s="4">
        <v>5592.0</v>
      </c>
      <c r="B5594" s="5" t="s">
        <v>16783</v>
      </c>
      <c r="C5594" s="4">
        <v>1.0</v>
      </c>
      <c r="D5594" s="5" t="s">
        <v>16784</v>
      </c>
      <c r="E5594" s="5" t="s">
        <v>16785</v>
      </c>
      <c r="F5594" s="6" t="str">
        <f>IFERROR(__xludf.DUMMYFUNCTION("GOOGLETRANSLATE(D5594,""en"",""it"")"),"Ho incontrato i genetisti, ma non i bidello.")</f>
        <v>Ho incontrato i genetisti, ma non i bidello.</v>
      </c>
      <c r="G5594" s="6" t="str">
        <f>IFERROR(__xludf.DUMMYFUNCTION("GOOGLETRANSLATE(E5594,""fr"",""it"")"),"Ho incontrato i genetisti, ma non i porciere.")</f>
        <v>Ho incontrato i genetisti, ma non i porciere.</v>
      </c>
    </row>
    <row r="5595">
      <c r="A5595" s="4">
        <v>5593.0</v>
      </c>
      <c r="B5595" s="5" t="s">
        <v>16786</v>
      </c>
      <c r="C5595" s="4">
        <v>1.0</v>
      </c>
      <c r="D5595" s="5" t="s">
        <v>16787</v>
      </c>
      <c r="E5595" s="5" t="s">
        <v>16788</v>
      </c>
      <c r="F5595" s="6" t="str">
        <f>IFERROR(__xludf.DUMMYFUNCTION("GOOGLETRANSLATE(D5595,""en"",""it"")"),"Ho incontrato i bidelli, ma non i genetisti.")</f>
        <v>Ho incontrato i bidelli, ma non i genetisti.</v>
      </c>
      <c r="G5595" s="6" t="str">
        <f>IFERROR(__xludf.DUMMYFUNCTION("GOOGLETRANSLATE(E5595,""fr"",""it"")"),"Ho incontrato i concierges, ma non i genetisti.")</f>
        <v>Ho incontrato i concierges, ma non i genetisti.</v>
      </c>
    </row>
    <row r="5596">
      <c r="A5596" s="4">
        <v>5594.0</v>
      </c>
      <c r="B5596" s="5" t="s">
        <v>16789</v>
      </c>
      <c r="C5596" s="4">
        <v>0.0</v>
      </c>
      <c r="D5596" s="5" t="s">
        <v>16790</v>
      </c>
      <c r="E5596" s="5" t="s">
        <v>16791</v>
      </c>
      <c r="F5596" s="6" t="str">
        <f>IFERROR(__xludf.DUMMYFUNCTION("GOOGLETRANSLATE(D5596,""en"",""it"")"),"Mi piacciono i bulldog, tranne i gatti.")</f>
        <v>Mi piacciono i bulldog, tranne i gatti.</v>
      </c>
      <c r="G5596" s="6" t="str">
        <f>IFERROR(__xludf.DUMMYFUNCTION("GOOGLETRANSLATE(E5596,""fr"",""it"")"),"Amo i Bulldog, tranne i gatti.")</f>
        <v>Amo i Bulldog, tranne i gatti.</v>
      </c>
    </row>
    <row r="5597">
      <c r="A5597" s="4">
        <v>5595.0</v>
      </c>
      <c r="B5597" s="5" t="s">
        <v>16792</v>
      </c>
      <c r="C5597" s="4">
        <v>1.0</v>
      </c>
      <c r="D5597" s="5" t="s">
        <v>16793</v>
      </c>
      <c r="E5597" s="5" t="s">
        <v>16794</v>
      </c>
      <c r="F5597" s="6" t="str">
        <f>IFERROR(__xludf.DUMMYFUNCTION("GOOGLETRANSLATE(D5597,""en"",""it"")"),"Ho incontrato gli astronomi, ma non gli impiegati.")</f>
        <v>Ho incontrato gli astronomi, ma non gli impiegati.</v>
      </c>
      <c r="G5597" s="6" t="str">
        <f>IFERROR(__xludf.DUMMYFUNCTION("GOOGLETRANSLATE(E5597,""fr"",""it"")"),"Ho incontrato gli astronomi, ma non i commessi.")</f>
        <v>Ho incontrato gli astronomi, ma non i commessi.</v>
      </c>
    </row>
    <row r="5598">
      <c r="A5598" s="4">
        <v>5596.0</v>
      </c>
      <c r="B5598" s="5" t="s">
        <v>16795</v>
      </c>
      <c r="C5598" s="4">
        <v>1.0</v>
      </c>
      <c r="D5598" s="5" t="s">
        <v>16796</v>
      </c>
      <c r="E5598" s="5" t="s">
        <v>16797</v>
      </c>
      <c r="F5598" s="6" t="str">
        <f>IFERROR(__xludf.DUMMYFUNCTION("GOOGLETRANSLATE(D5598,""en"",""it"")"),"Ho incontrato gli impiegati, ma non gli astronomi.")</f>
        <v>Ho incontrato gli impiegati, ma non gli astronomi.</v>
      </c>
      <c r="G5598" s="6" t="str">
        <f>IFERROR(__xludf.DUMMYFUNCTION("GOOGLETRANSLATE(E5598,""fr"",""it"")"),"Ho incontrato gli impiegati, ma non gli astronomi.")</f>
        <v>Ho incontrato gli impiegati, ma non gli astronomi.</v>
      </c>
    </row>
    <row r="5599">
      <c r="A5599" s="4">
        <v>5597.0</v>
      </c>
      <c r="B5599" s="5" t="s">
        <v>16798</v>
      </c>
      <c r="C5599" s="4">
        <v>0.0</v>
      </c>
      <c r="D5599" s="5" t="s">
        <v>16799</v>
      </c>
      <c r="E5599" s="5" t="s">
        <v>16800</v>
      </c>
      <c r="F5599" s="6" t="str">
        <f>IFERROR(__xludf.DUMMYFUNCTION("GOOGLETRANSLATE(D5599,""en"",""it"")"),"Ho incontrato gli astronomi, ma non gli scienziati.")</f>
        <v>Ho incontrato gli astronomi, ma non gli scienziati.</v>
      </c>
      <c r="G5599" s="6" t="str">
        <f>IFERROR(__xludf.DUMMYFUNCTION("GOOGLETRANSLATE(E5599,""fr"",""it"")"),"Ho incontrato gli astronomi, ma non gli scienziati.")</f>
        <v>Ho incontrato gli astronomi, ma non gli scienziati.</v>
      </c>
    </row>
    <row r="5600">
      <c r="A5600" s="4">
        <v>5598.0</v>
      </c>
      <c r="B5600" s="5" t="s">
        <v>16801</v>
      </c>
      <c r="C5600" s="4">
        <v>1.0</v>
      </c>
      <c r="D5600" s="5" t="s">
        <v>16802</v>
      </c>
      <c r="E5600" s="5" t="s">
        <v>16803</v>
      </c>
      <c r="F5600" s="6" t="str">
        <f>IFERROR(__xludf.DUMMYFUNCTION("GOOGLETRANSLATE(D5600,""en"",""it"")"),"Ho incontrato gli scienziati, ma non gli astronomi.")</f>
        <v>Ho incontrato gli scienziati, ma non gli astronomi.</v>
      </c>
      <c r="G5600" s="6" t="str">
        <f>IFERROR(__xludf.DUMMYFUNCTION("GOOGLETRANSLATE(E5600,""fr"",""it"")"),"Ho incontrato gli scienziati, ma non gli astronomi.")</f>
        <v>Ho incontrato gli scienziati, ma non gli astronomi.</v>
      </c>
    </row>
    <row r="5601">
      <c r="A5601" s="4">
        <v>5599.0</v>
      </c>
      <c r="B5601" s="5" t="s">
        <v>16804</v>
      </c>
      <c r="C5601" s="4">
        <v>1.0</v>
      </c>
      <c r="D5601" s="5" t="s">
        <v>16805</v>
      </c>
      <c r="E5601" s="5" t="s">
        <v>16806</v>
      </c>
      <c r="F5601" s="6" t="str">
        <f>IFERROR(__xludf.DUMMYFUNCTION("GOOGLETRANSLATE(D5601,""en"",""it"")"),"Ho incontrato gli astronomi, ma non i camerieri.")</f>
        <v>Ho incontrato gli astronomi, ma non i camerieri.</v>
      </c>
      <c r="G5601" s="6" t="str">
        <f>IFERROR(__xludf.DUMMYFUNCTION("GOOGLETRANSLATE(E5601,""fr"",""it"")"),"Ho incontrato gli astronomi, ma non i server.")</f>
        <v>Ho incontrato gli astronomi, ma non i server.</v>
      </c>
    </row>
    <row r="5602">
      <c r="A5602" s="4">
        <v>5600.0</v>
      </c>
      <c r="B5602" s="5" t="s">
        <v>16807</v>
      </c>
      <c r="C5602" s="4">
        <v>1.0</v>
      </c>
      <c r="D5602" s="5" t="s">
        <v>16808</v>
      </c>
      <c r="E5602" s="5" t="s">
        <v>16809</v>
      </c>
      <c r="F5602" s="6" t="str">
        <f>IFERROR(__xludf.DUMMYFUNCTION("GOOGLETRANSLATE(D5602,""en"",""it"")"),"Ho incontrato i camerieri, ma non gli astronomi.")</f>
        <v>Ho incontrato i camerieri, ma non gli astronomi.</v>
      </c>
      <c r="G5602" s="6" t="str">
        <f>IFERROR(__xludf.DUMMYFUNCTION("GOOGLETRANSLATE(E5602,""fr"",""it"")"),"Ho incontrato i camerieri, ma non gli astronomi.")</f>
        <v>Ho incontrato i camerieri, ma non gli astronomi.</v>
      </c>
    </row>
    <row r="5603">
      <c r="A5603" s="4">
        <v>5601.0</v>
      </c>
      <c r="B5603" s="5" t="s">
        <v>16810</v>
      </c>
      <c r="C5603" s="4">
        <v>1.0</v>
      </c>
      <c r="D5603" s="5" t="s">
        <v>16811</v>
      </c>
      <c r="E5603" s="5" t="s">
        <v>16812</v>
      </c>
      <c r="F5603" s="6" t="str">
        <f>IFERROR(__xludf.DUMMYFUNCTION("GOOGLETRANSLATE(D5603,""en"",""it"")"),"Ho incontrato astronomi, ma non custodi.")</f>
        <v>Ho incontrato astronomi, ma non custodi.</v>
      </c>
      <c r="G5603" s="6" t="str">
        <f>IFERROR(__xludf.DUMMYFUNCTION("GOOGLETRANSLATE(E5603,""fr"",""it"")"),"Ho incontrato gli astronomi, ma non le guardie.")</f>
        <v>Ho incontrato gli astronomi, ma non le guardie.</v>
      </c>
    </row>
    <row r="5604">
      <c r="A5604" s="4">
        <v>5602.0</v>
      </c>
      <c r="B5604" s="5" t="s">
        <v>16813</v>
      </c>
      <c r="C5604" s="4">
        <v>1.0</v>
      </c>
      <c r="D5604" s="5" t="s">
        <v>16814</v>
      </c>
      <c r="E5604" s="5" t="s">
        <v>16815</v>
      </c>
      <c r="F5604" s="6" t="str">
        <f>IFERROR(__xludf.DUMMYFUNCTION("GOOGLETRANSLATE(D5604,""en"",""it"")"),"Ho incontrato i custodi, ma non gli astronomi.")</f>
        <v>Ho incontrato i custodi, ma non gli astronomi.</v>
      </c>
      <c r="G5604" s="6" t="str">
        <f>IFERROR(__xludf.DUMMYFUNCTION("GOOGLETRANSLATE(E5604,""fr"",""it"")"),"Ho incontrato le guardie, ma non gli astronomi.")</f>
        <v>Ho incontrato le guardie, ma non gli astronomi.</v>
      </c>
    </row>
    <row r="5605">
      <c r="A5605" s="4">
        <v>5603.0</v>
      </c>
      <c r="B5605" s="5" t="s">
        <v>16816</v>
      </c>
      <c r="C5605" s="4">
        <v>1.0</v>
      </c>
      <c r="D5605" s="5" t="s">
        <v>16817</v>
      </c>
      <c r="E5605" s="5" t="s">
        <v>16818</v>
      </c>
      <c r="F5605" s="6" t="str">
        <f>IFERROR(__xludf.DUMMYFUNCTION("GOOGLETRANSLATE(D5605,""en"",""it"")"),"Ho incontrato gli astronomi, ma non i bidello.")</f>
        <v>Ho incontrato gli astronomi, ma non i bidello.</v>
      </c>
      <c r="G5605" s="6" t="str">
        <f>IFERROR(__xludf.DUMMYFUNCTION("GOOGLETRANSLATE(E5605,""fr"",""it"")"),"Ho incontrato gli astronomi, ma non i porciere.")</f>
        <v>Ho incontrato gli astronomi, ma non i porciere.</v>
      </c>
    </row>
    <row r="5606">
      <c r="A5606" s="4">
        <v>5604.0</v>
      </c>
      <c r="B5606" s="5" t="s">
        <v>16819</v>
      </c>
      <c r="C5606" s="4">
        <v>1.0</v>
      </c>
      <c r="D5606" s="5" t="s">
        <v>16820</v>
      </c>
      <c r="E5606" s="5" t="s">
        <v>16821</v>
      </c>
      <c r="F5606" s="6" t="str">
        <f>IFERROR(__xludf.DUMMYFUNCTION("GOOGLETRANSLATE(D5606,""en"",""it"")"),"Ho incontrato i bidelli, ma non gli astronomi.")</f>
        <v>Ho incontrato i bidelli, ma non gli astronomi.</v>
      </c>
      <c r="G5606" s="6" t="str">
        <f>IFERROR(__xludf.DUMMYFUNCTION("GOOGLETRANSLATE(E5606,""fr"",""it"")"),"Ho incontrato i conciergie, ma non gli astronomi.")</f>
        <v>Ho incontrato i conciergie, ma non gli astronomi.</v>
      </c>
    </row>
    <row r="5607">
      <c r="A5607" s="4">
        <v>5605.0</v>
      </c>
      <c r="B5607" s="5" t="s">
        <v>16822</v>
      </c>
      <c r="C5607" s="4">
        <v>1.0</v>
      </c>
      <c r="D5607" s="5" t="s">
        <v>16823</v>
      </c>
      <c r="E5607" s="5" t="s">
        <v>16824</v>
      </c>
      <c r="F5607" s="6" t="str">
        <f>IFERROR(__xludf.DUMMYFUNCTION("GOOGLETRANSLATE(D5607,""en"",""it"")"),"Ho incontrato i fisici, ma non gli impiegati.")</f>
        <v>Ho incontrato i fisici, ma non gli impiegati.</v>
      </c>
      <c r="G5607" s="6" t="str">
        <f>IFERROR(__xludf.DUMMYFUNCTION("GOOGLETRANSLATE(E5607,""fr"",""it"")"),"Ho incontrato i fisici, ma non i commessi.")</f>
        <v>Ho incontrato i fisici, ma non i commessi.</v>
      </c>
    </row>
    <row r="5608">
      <c r="A5608" s="4">
        <v>5606.0</v>
      </c>
      <c r="B5608" s="5" t="s">
        <v>16825</v>
      </c>
      <c r="C5608" s="4">
        <v>1.0</v>
      </c>
      <c r="D5608" s="5" t="s">
        <v>16826</v>
      </c>
      <c r="E5608" s="5" t="s">
        <v>16827</v>
      </c>
      <c r="F5608" s="6" t="str">
        <f>IFERROR(__xludf.DUMMYFUNCTION("GOOGLETRANSLATE(D5608,""en"",""it"")"),"Ho incontrato gli impiegati, ma non i fisici.")</f>
        <v>Ho incontrato gli impiegati, ma non i fisici.</v>
      </c>
      <c r="G5608" s="6" t="str">
        <f>IFERROR(__xludf.DUMMYFUNCTION("GOOGLETRANSLATE(E5608,""fr"",""it"")"),"Ho incontrato gli impiegati, ma non i fisici.")</f>
        <v>Ho incontrato gli impiegati, ma non i fisici.</v>
      </c>
    </row>
    <row r="5609">
      <c r="A5609" s="4">
        <v>5607.0</v>
      </c>
      <c r="B5609" s="5" t="s">
        <v>16828</v>
      </c>
      <c r="C5609" s="4">
        <v>0.0</v>
      </c>
      <c r="D5609" s="5" t="s">
        <v>16829</v>
      </c>
      <c r="E5609" s="5" t="s">
        <v>16830</v>
      </c>
      <c r="F5609" s="6" t="str">
        <f>IFERROR(__xludf.DUMMYFUNCTION("GOOGLETRANSLATE(D5609,""en"",""it"")"),"Ho incontrato fisici, ma non scienziati.")</f>
        <v>Ho incontrato fisici, ma non scienziati.</v>
      </c>
      <c r="G5609" s="6" t="str">
        <f>IFERROR(__xludf.DUMMYFUNCTION("GOOGLETRANSLATE(E5609,""fr"",""it"")"),"Ho incontrato fisici, ma non scienziati.")</f>
        <v>Ho incontrato fisici, ma non scienziati.</v>
      </c>
    </row>
    <row r="5610">
      <c r="A5610" s="4">
        <v>5608.0</v>
      </c>
      <c r="B5610" s="5" t="s">
        <v>16831</v>
      </c>
      <c r="C5610" s="4">
        <v>1.0</v>
      </c>
      <c r="D5610" s="5" t="s">
        <v>16832</v>
      </c>
      <c r="E5610" s="5" t="s">
        <v>16833</v>
      </c>
      <c r="F5610" s="6" t="str">
        <f>IFERROR(__xludf.DUMMYFUNCTION("GOOGLETRANSLATE(D5610,""en"",""it"")"),"Ho incontrato gli scienziati, ma non i fisici.")</f>
        <v>Ho incontrato gli scienziati, ma non i fisici.</v>
      </c>
      <c r="G5610" s="6" t="str">
        <f>IFERROR(__xludf.DUMMYFUNCTION("GOOGLETRANSLATE(E5610,""fr"",""it"")"),"Ho incontrato gli scienziati, ma non i fisici.")</f>
        <v>Ho incontrato gli scienziati, ma non i fisici.</v>
      </c>
    </row>
    <row r="5611">
      <c r="A5611" s="4">
        <v>5609.0</v>
      </c>
      <c r="B5611" s="5" t="s">
        <v>16834</v>
      </c>
      <c r="C5611" s="4">
        <v>1.0</v>
      </c>
      <c r="D5611" s="5" t="s">
        <v>16835</v>
      </c>
      <c r="E5611" s="5" t="s">
        <v>16836</v>
      </c>
      <c r="F5611" s="6" t="str">
        <f>IFERROR(__xludf.DUMMYFUNCTION("GOOGLETRANSLATE(D5611,""en"",""it"")"),"Ho incontrato i fisici, ma non i camerieri.")</f>
        <v>Ho incontrato i fisici, ma non i camerieri.</v>
      </c>
      <c r="G5611" s="6" t="str">
        <f>IFERROR(__xludf.DUMMYFUNCTION("GOOGLETRANSLATE(E5611,""fr"",""it"")"),"Ho incontrato i fisici, ma non i camerieri.")</f>
        <v>Ho incontrato i fisici, ma non i camerieri.</v>
      </c>
    </row>
    <row r="5612">
      <c r="A5612" s="4">
        <v>5610.0</v>
      </c>
      <c r="B5612" s="5" t="s">
        <v>16837</v>
      </c>
      <c r="C5612" s="4">
        <v>1.0</v>
      </c>
      <c r="D5612" s="5" t="s">
        <v>16838</v>
      </c>
      <c r="E5612" s="5" t="s">
        <v>16839</v>
      </c>
      <c r="F5612" s="6" t="str">
        <f>IFERROR(__xludf.DUMMYFUNCTION("GOOGLETRANSLATE(D5612,""en"",""it"")"),"Ho incontrato i camerieri, ma non i fisici.")</f>
        <v>Ho incontrato i camerieri, ma non i fisici.</v>
      </c>
      <c r="G5612" s="6" t="str">
        <f>IFERROR(__xludf.DUMMYFUNCTION("GOOGLETRANSLATE(E5612,""fr"",""it"")"),"Ho incontrato i camerieri, ma non i fisici.")</f>
        <v>Ho incontrato i camerieri, ma non i fisici.</v>
      </c>
    </row>
    <row r="5613">
      <c r="A5613" s="4">
        <v>5611.0</v>
      </c>
      <c r="B5613" s="5" t="s">
        <v>16840</v>
      </c>
      <c r="C5613" s="4">
        <v>1.0</v>
      </c>
      <c r="D5613" s="5" t="s">
        <v>16841</v>
      </c>
      <c r="E5613" s="5" t="s">
        <v>16842</v>
      </c>
      <c r="F5613" s="6" t="str">
        <f>IFERROR(__xludf.DUMMYFUNCTION("GOOGLETRANSLATE(D5613,""en"",""it"")"),"Ho incontrato fisici, ma non custodi.")</f>
        <v>Ho incontrato fisici, ma non custodi.</v>
      </c>
      <c r="G5613" s="6" t="str">
        <f>IFERROR(__xludf.DUMMYFUNCTION("GOOGLETRANSLATE(E5613,""fr"",""it"")"),"Ho incontrato i fisici, ma non le guardie.")</f>
        <v>Ho incontrato i fisici, ma non le guardie.</v>
      </c>
    </row>
    <row r="5614">
      <c r="A5614" s="4">
        <v>5612.0</v>
      </c>
      <c r="B5614" s="5" t="s">
        <v>16843</v>
      </c>
      <c r="C5614" s="4">
        <v>1.0</v>
      </c>
      <c r="D5614" s="5" t="s">
        <v>16844</v>
      </c>
      <c r="E5614" s="5" t="s">
        <v>16845</v>
      </c>
      <c r="F5614" s="6" t="str">
        <f>IFERROR(__xludf.DUMMYFUNCTION("GOOGLETRANSLATE(D5614,""en"",""it"")"),"Ho incontrato i custodi, ma non i fisici.")</f>
        <v>Ho incontrato i custodi, ma non i fisici.</v>
      </c>
      <c r="G5614" s="6" t="str">
        <f>IFERROR(__xludf.DUMMYFUNCTION("GOOGLETRANSLATE(E5614,""fr"",""it"")"),"Ho incontrato le guardie, ma non i fisici.")</f>
        <v>Ho incontrato le guardie, ma non i fisici.</v>
      </c>
    </row>
    <row r="5615">
      <c r="A5615" s="4">
        <v>5613.0</v>
      </c>
      <c r="B5615" s="5" t="s">
        <v>16846</v>
      </c>
      <c r="C5615" s="4">
        <v>1.0</v>
      </c>
      <c r="D5615" s="5" t="s">
        <v>16847</v>
      </c>
      <c r="E5615" s="5" t="s">
        <v>16848</v>
      </c>
      <c r="F5615" s="6" t="str">
        <f>IFERROR(__xludf.DUMMYFUNCTION("GOOGLETRANSLATE(D5615,""en"",""it"")"),"Ho incontrato i fisici, ma non i bidelli.")</f>
        <v>Ho incontrato i fisici, ma non i bidelli.</v>
      </c>
      <c r="G5615" s="6" t="str">
        <f>IFERROR(__xludf.DUMMYFUNCTION("GOOGLETRANSLATE(E5615,""fr"",""it"")"),"Ho incontrato fisici, ma non conviere.")</f>
        <v>Ho incontrato fisici, ma non conviere.</v>
      </c>
    </row>
    <row r="5616">
      <c r="A5616" s="4">
        <v>5614.0</v>
      </c>
      <c r="B5616" s="5" t="s">
        <v>16849</v>
      </c>
      <c r="C5616" s="4">
        <v>1.0</v>
      </c>
      <c r="D5616" s="5" t="s">
        <v>16850</v>
      </c>
      <c r="E5616" s="5" t="s">
        <v>16851</v>
      </c>
      <c r="F5616" s="6" t="str">
        <f>IFERROR(__xludf.DUMMYFUNCTION("GOOGLETRANSLATE(D5616,""en"",""it"")"),"Ho incontrato i bidelli, ma non i fisici.")</f>
        <v>Ho incontrato i bidelli, ma non i fisici.</v>
      </c>
      <c r="G5616" s="6" t="str">
        <f>IFERROR(__xludf.DUMMYFUNCTION("GOOGLETRANSLATE(E5616,""fr"",""it"")"),"Ho incontrato i concierges, ma non i fisici.")</f>
        <v>Ho incontrato i concierges, ma non i fisici.</v>
      </c>
    </row>
    <row r="5617">
      <c r="A5617" s="4">
        <v>5615.0</v>
      </c>
      <c r="B5617" s="5" t="s">
        <v>16852</v>
      </c>
      <c r="C5617" s="4">
        <v>0.0</v>
      </c>
      <c r="D5617" s="5" t="s">
        <v>16853</v>
      </c>
      <c r="E5617" s="5" t="s">
        <v>16854</v>
      </c>
      <c r="F5617" s="6" t="str">
        <f>IFERROR(__xludf.DUMMYFUNCTION("GOOGLETRANSLATE(D5617,""en"",""it"")"),"Mi piacciono i gatti, tranne i bulldog.")</f>
        <v>Mi piacciono i gatti, tranne i bulldog.</v>
      </c>
      <c r="G5617" s="6" t="str">
        <f>IFERROR(__xludf.DUMMYFUNCTION("GOOGLETRANSLATE(E5617,""fr"",""it"")"),"Mi piacciono i gatti tranne i bulldogs.")</f>
        <v>Mi piacciono i gatti tranne i bulldogs.</v>
      </c>
    </row>
    <row r="5618">
      <c r="A5618" s="4">
        <v>5616.0</v>
      </c>
      <c r="B5618" s="5" t="s">
        <v>16855</v>
      </c>
      <c r="C5618" s="4">
        <v>0.0</v>
      </c>
      <c r="D5618" s="5" t="s">
        <v>16856</v>
      </c>
      <c r="E5618" s="5" t="s">
        <v>16857</v>
      </c>
      <c r="F5618" s="6" t="str">
        <f>IFERROR(__xludf.DUMMYFUNCTION("GOOGLETRANSLATE(D5618,""en"",""it"")"),"Mi piacciono i Bulldogs, tranne i cani.")</f>
        <v>Mi piacciono i Bulldogs, tranne i cani.</v>
      </c>
      <c r="G5618" s="6" t="str">
        <f>IFERROR(__xludf.DUMMYFUNCTION("GOOGLETRANSLATE(E5618,""fr"",""it"")"),"Mi piacciono i Bulldogs, tranne i cani.")</f>
        <v>Mi piacciono i Bulldogs, tranne i cani.</v>
      </c>
    </row>
    <row r="5619">
      <c r="A5619" s="4">
        <v>5617.0</v>
      </c>
      <c r="B5619" s="5" t="s">
        <v>16858</v>
      </c>
      <c r="C5619" s="4">
        <v>1.0</v>
      </c>
      <c r="D5619" s="5" t="s">
        <v>16859</v>
      </c>
      <c r="E5619" s="5" t="s">
        <v>16860</v>
      </c>
      <c r="F5619" s="6" t="str">
        <f>IFERROR(__xludf.DUMMYFUNCTION("GOOGLETRANSLATE(D5619,""en"",""it"")"),"Mi piacciono i cani, tranne i bulldog.")</f>
        <v>Mi piacciono i cani, tranne i bulldog.</v>
      </c>
      <c r="G5619" s="6" t="str">
        <f>IFERROR(__xludf.DUMMYFUNCTION("GOOGLETRANSLATE(E5619,""fr"",""it"")"),"Mi piacciono i cani, tranne i bulldog.")</f>
        <v>Mi piacciono i cani, tranne i bulldog.</v>
      </c>
    </row>
    <row r="5620">
      <c r="A5620" s="4">
        <v>5618.0</v>
      </c>
      <c r="B5620" s="5" t="s">
        <v>16861</v>
      </c>
      <c r="C5620" s="4">
        <v>0.0</v>
      </c>
      <c r="D5620" s="5" t="s">
        <v>16862</v>
      </c>
      <c r="E5620" s="5" t="s">
        <v>16863</v>
      </c>
      <c r="F5620" s="6" t="str">
        <f>IFERROR(__xludf.DUMMYFUNCTION("GOOGLETRANSLATE(D5620,""en"",""it"")"),"Mi piacciono i huskies, e più specificamente gatti.")</f>
        <v>Mi piacciono i huskies, e più specificamente gatti.</v>
      </c>
      <c r="G5620" s="6" t="str">
        <f>IFERROR(__xludf.DUMMYFUNCTION("GOOGLETRANSLATE(E5620,""fr"",""it"")"),"Mi piacciono i husky e più gatti in particolare.")</f>
        <v>Mi piacciono i husky e più gatti in particolare.</v>
      </c>
    </row>
    <row r="5621">
      <c r="A5621" s="4">
        <v>5619.0</v>
      </c>
      <c r="B5621" s="5" t="s">
        <v>16864</v>
      </c>
      <c r="C5621" s="4">
        <v>0.0</v>
      </c>
      <c r="D5621" s="5" t="s">
        <v>16865</v>
      </c>
      <c r="E5621" s="5" t="s">
        <v>16866</v>
      </c>
      <c r="F5621" s="6" t="str">
        <f>IFERROR(__xludf.DUMMYFUNCTION("GOOGLETRANSLATE(D5621,""en"",""it"")"),"Mi piacciono i gatti e più specificamente husky.")</f>
        <v>Mi piacciono i gatti e più specificamente husky.</v>
      </c>
      <c r="G5621" s="6" t="str">
        <f>IFERROR(__xludf.DUMMYFUNCTION("GOOGLETRANSLATE(E5621,""fr"",""it"")"),"Mi piacciono i gatti, specialmente gli husky.")</f>
        <v>Mi piacciono i gatti, specialmente gli husky.</v>
      </c>
    </row>
    <row r="5622">
      <c r="A5622" s="4">
        <v>5620.0</v>
      </c>
      <c r="B5622" s="5" t="s">
        <v>16867</v>
      </c>
      <c r="C5622" s="4">
        <v>0.0</v>
      </c>
      <c r="D5622" s="5" t="s">
        <v>16868</v>
      </c>
      <c r="E5622" s="5" t="s">
        <v>16869</v>
      </c>
      <c r="F5622" s="6" t="str">
        <f>IFERROR(__xludf.DUMMYFUNCTION("GOOGLETRANSLATE(D5622,""en"",""it"")"),"Mi piacciono i huskies, e più specificamente i cani.")</f>
        <v>Mi piacciono i huskies, e più specificamente i cani.</v>
      </c>
      <c r="G5622" s="6" t="str">
        <f>IFERROR(__xludf.DUMMYFUNCTION("GOOGLETRANSLATE(E5622,""fr"",""it"")"),"Mi piacciono i husky, in particolare i cani.")</f>
        <v>Mi piacciono i husky, in particolare i cani.</v>
      </c>
    </row>
    <row r="5623">
      <c r="A5623" s="4">
        <v>5621.0</v>
      </c>
      <c r="B5623" s="5" t="s">
        <v>16870</v>
      </c>
      <c r="C5623" s="4">
        <v>1.0</v>
      </c>
      <c r="D5623" s="5" t="s">
        <v>16871</v>
      </c>
      <c r="E5623" s="5" t="s">
        <v>16872</v>
      </c>
      <c r="F5623" s="6" t="str">
        <f>IFERROR(__xludf.DUMMYFUNCTION("GOOGLETRANSLATE(D5623,""en"",""it"")"),"Mi piacciono i cani e più specificamente husky.")</f>
        <v>Mi piacciono i cani e più specificamente husky.</v>
      </c>
      <c r="G5623" s="6" t="str">
        <f>IFERROR(__xludf.DUMMYFUNCTION("GOOGLETRANSLATE(E5623,""fr"",""it"")"),"Mi piacciono i cani, specialmente i husky.")</f>
        <v>Mi piacciono i cani, specialmente i husky.</v>
      </c>
    </row>
    <row r="5624">
      <c r="A5624" s="4">
        <v>5622.0</v>
      </c>
      <c r="B5624" s="5" t="s">
        <v>16873</v>
      </c>
      <c r="C5624" s="4">
        <v>0.0</v>
      </c>
      <c r="D5624" s="5" t="s">
        <v>16874</v>
      </c>
      <c r="E5624" s="5" t="s">
        <v>16875</v>
      </c>
      <c r="F5624" s="6" t="str">
        <f>IFERROR(__xludf.DUMMYFUNCTION("GOOGLETRANSLATE(D5624,""en"",""it"")"),"Mi piacciono i cani, e più specificamente gatti.")</f>
        <v>Mi piacciono i cani, e più specificamente gatti.</v>
      </c>
      <c r="G5624" s="6" t="str">
        <f>IFERROR(__xludf.DUMMYFUNCTION("GOOGLETRANSLATE(E5624,""fr"",""it"")"),"Mi piacciono i cani, specialmente i gatti.")</f>
        <v>Mi piacciono i cani, specialmente i gatti.</v>
      </c>
    </row>
    <row r="5625">
      <c r="A5625" s="4">
        <v>5623.0</v>
      </c>
      <c r="B5625" s="5" t="s">
        <v>16876</v>
      </c>
      <c r="C5625" s="4">
        <v>0.0</v>
      </c>
      <c r="D5625" s="5" t="s">
        <v>16877</v>
      </c>
      <c r="E5625" s="5" t="s">
        <v>16878</v>
      </c>
      <c r="F5625" s="6" t="str">
        <f>IFERROR(__xludf.DUMMYFUNCTION("GOOGLETRANSLATE(D5625,""en"",""it"")"),"Mi piacciono i husky e più specificamente criceti.")</f>
        <v>Mi piacciono i husky e più specificamente criceti.</v>
      </c>
      <c r="G5625" s="6" t="str">
        <f>IFERROR(__xludf.DUMMYFUNCTION("GOOGLETRANSLATE(E5625,""fr"",""it"")"),"Mi piacciono i husky, in particolare i criceti.")</f>
        <v>Mi piacciono i husky, in particolare i criceti.</v>
      </c>
    </row>
    <row r="5626">
      <c r="A5626" s="4">
        <v>5624.0</v>
      </c>
      <c r="B5626" s="5" t="s">
        <v>16879</v>
      </c>
      <c r="C5626" s="4">
        <v>0.0</v>
      </c>
      <c r="D5626" s="5" t="s">
        <v>16880</v>
      </c>
      <c r="E5626" s="5" t="s">
        <v>16881</v>
      </c>
      <c r="F5626" s="6" t="str">
        <f>IFERROR(__xludf.DUMMYFUNCTION("GOOGLETRANSLATE(D5626,""en"",""it"")"),"Mi piacciono i criceti e più specificamente husky.")</f>
        <v>Mi piacciono i criceti e più specificamente husky.</v>
      </c>
      <c r="G5626" s="6" t="str">
        <f>IFERROR(__xludf.DUMMYFUNCTION("GOOGLETRANSLATE(E5626,""fr"",""it"")"),"Mi piacciono i criceti, specialmente i husky.")</f>
        <v>Mi piacciono i criceti, specialmente i husky.</v>
      </c>
    </row>
    <row r="5627">
      <c r="A5627" s="4">
        <v>5625.0</v>
      </c>
      <c r="B5627" s="5" t="s">
        <v>16882</v>
      </c>
      <c r="C5627" s="4">
        <v>0.0</v>
      </c>
      <c r="D5627" s="5" t="s">
        <v>16883</v>
      </c>
      <c r="E5627" s="5" t="s">
        <v>16884</v>
      </c>
      <c r="F5627" s="6" t="str">
        <f>IFERROR(__xludf.DUMMYFUNCTION("GOOGLETRANSLATE(D5627,""en"",""it"")"),"Mi piacciono i cani e più specificamente criceti.")</f>
        <v>Mi piacciono i cani e più specificamente criceti.</v>
      </c>
      <c r="G5627" s="6" t="str">
        <f>IFERROR(__xludf.DUMMYFUNCTION("GOOGLETRANSLATE(E5627,""fr"",""it"")"),"Amo i cani, in particolare i criceti.")</f>
        <v>Amo i cani, in particolare i criceti.</v>
      </c>
    </row>
    <row r="5628">
      <c r="A5628" s="4">
        <v>5626.0</v>
      </c>
      <c r="B5628" s="5" t="s">
        <v>16885</v>
      </c>
      <c r="C5628" s="4">
        <v>0.0</v>
      </c>
      <c r="D5628" s="5" t="s">
        <v>16886</v>
      </c>
      <c r="E5628" s="5" t="s">
        <v>16887</v>
      </c>
      <c r="F5628" s="6" t="str">
        <f>IFERROR(__xludf.DUMMYFUNCTION("GOOGLETRANSLATE(D5628,""en"",""it"")"),"Mi piacciono i husky, e più specificamente pappagalli.")</f>
        <v>Mi piacciono i husky, e più specificamente pappagalli.</v>
      </c>
      <c r="G5628" s="6" t="str">
        <f>IFERROR(__xludf.DUMMYFUNCTION("GOOGLETRANSLATE(E5628,""fr"",""it"")"),"Mi piacciono i husky, e più in particolare i perirouches.")</f>
        <v>Mi piacciono i husky, e più in particolare i perirouches.</v>
      </c>
    </row>
    <row r="5629">
      <c r="A5629" s="4">
        <v>5627.0</v>
      </c>
      <c r="B5629" s="5" t="s">
        <v>16888</v>
      </c>
      <c r="C5629" s="4">
        <v>0.0</v>
      </c>
      <c r="D5629" s="5" t="s">
        <v>16889</v>
      </c>
      <c r="E5629" s="5" t="s">
        <v>16890</v>
      </c>
      <c r="F5629" s="6" t="str">
        <f>IFERROR(__xludf.DUMMYFUNCTION("GOOGLETRANSLATE(D5629,""en"",""it"")"),"Mi piacciono i pappagalli e più specificamente husky.")</f>
        <v>Mi piacciono i pappagalli e più specificamente husky.</v>
      </c>
      <c r="G5629" s="6" t="str">
        <f>IFERROR(__xludf.DUMMYFUNCTION("GOOGLETRANSLATE(E5629,""fr"",""it"")"),"Amo i perrouches, specialmente gli husky.")</f>
        <v>Amo i perrouches, specialmente gli husky.</v>
      </c>
    </row>
    <row r="5630">
      <c r="A5630" s="4">
        <v>5628.0</v>
      </c>
      <c r="B5630" s="5" t="s">
        <v>16891</v>
      </c>
      <c r="C5630" s="4">
        <v>0.0</v>
      </c>
      <c r="D5630" s="5" t="s">
        <v>16892</v>
      </c>
      <c r="E5630" s="5" t="s">
        <v>16893</v>
      </c>
      <c r="F5630" s="6" t="str">
        <f>IFERROR(__xludf.DUMMYFUNCTION("GOOGLETRANSLATE(D5630,""en"",""it"")"),"Mi piacciono i cani, e più specificamente pappagalli.")</f>
        <v>Mi piacciono i cani, e più specificamente pappagalli.</v>
      </c>
      <c r="G5630" s="6" t="str">
        <f>IFERROR(__xludf.DUMMYFUNCTION("GOOGLETRANSLATE(E5630,""fr"",""it"")"),"Mi piacciono i cani, e più in particolare i perirouches.")</f>
        <v>Mi piacciono i cani, e più in particolare i perirouches.</v>
      </c>
    </row>
    <row r="5631">
      <c r="A5631" s="4">
        <v>5629.0</v>
      </c>
      <c r="B5631" s="5" t="s">
        <v>16894</v>
      </c>
      <c r="C5631" s="4">
        <v>0.0</v>
      </c>
      <c r="D5631" s="5" t="s">
        <v>16895</v>
      </c>
      <c r="E5631" s="5" t="s">
        <v>16896</v>
      </c>
      <c r="F5631" s="6" t="str">
        <f>IFERROR(__xludf.DUMMYFUNCTION("GOOGLETRANSLATE(D5631,""en"",""it"")"),"Mi piacciono i husky, e più specificamente conigli.")</f>
        <v>Mi piacciono i husky, e più specificamente conigli.</v>
      </c>
      <c r="G5631" s="6" t="str">
        <f>IFERROR(__xludf.DUMMYFUNCTION("GOOGLETRANSLATE(E5631,""fr"",""it"")"),"Mi piacciono i husky, in particolare i conigli.")</f>
        <v>Mi piacciono i husky, in particolare i conigli.</v>
      </c>
    </row>
    <row r="5632">
      <c r="A5632" s="4">
        <v>5630.0</v>
      </c>
      <c r="B5632" s="5" t="s">
        <v>16897</v>
      </c>
      <c r="C5632" s="4">
        <v>0.0</v>
      </c>
      <c r="D5632" s="5" t="s">
        <v>16898</v>
      </c>
      <c r="E5632" s="5" t="s">
        <v>16899</v>
      </c>
      <c r="F5632" s="6" t="str">
        <f>IFERROR(__xludf.DUMMYFUNCTION("GOOGLETRANSLATE(D5632,""en"",""it"")"),"Mi piacciono i conigli e più specificamente husky.")</f>
        <v>Mi piacciono i conigli e più specificamente husky.</v>
      </c>
      <c r="G5632" s="6" t="str">
        <f>IFERROR(__xludf.DUMMYFUNCTION("GOOGLETRANSLATE(E5632,""fr"",""it"")"),"Amo i conigli, specialmente i husky.")</f>
        <v>Amo i conigli, specialmente i husky.</v>
      </c>
    </row>
    <row r="5633">
      <c r="A5633" s="4">
        <v>5631.0</v>
      </c>
      <c r="B5633" s="5" t="s">
        <v>16900</v>
      </c>
      <c r="C5633" s="4">
        <v>0.0</v>
      </c>
      <c r="D5633" s="5" t="s">
        <v>16901</v>
      </c>
      <c r="E5633" s="5" t="s">
        <v>16902</v>
      </c>
      <c r="F5633" s="6" t="str">
        <f>IFERROR(__xludf.DUMMYFUNCTION("GOOGLETRANSLATE(D5633,""en"",""it"")"),"Mi piacciono i cani e più specificamente conigli.")</f>
        <v>Mi piacciono i cani e più specificamente conigli.</v>
      </c>
      <c r="G5633" s="6" t="str">
        <f>IFERROR(__xludf.DUMMYFUNCTION("GOOGLETRANSLATE(E5633,""fr"",""it"")"),"Amo i cani, in particolare i conigli.")</f>
        <v>Amo i cani, in particolare i conigli.</v>
      </c>
    </row>
    <row r="5634">
      <c r="A5634" s="4">
        <v>5632.0</v>
      </c>
      <c r="B5634" s="5" t="s">
        <v>16903</v>
      </c>
      <c r="C5634" s="4">
        <v>0.0</v>
      </c>
      <c r="D5634" s="5" t="s">
        <v>16904</v>
      </c>
      <c r="E5634" s="5" t="s">
        <v>16905</v>
      </c>
      <c r="F5634" s="6" t="str">
        <f>IFERROR(__xludf.DUMMYFUNCTION("GOOGLETRANSLATE(D5634,""en"",""it"")"),"Mi piacciono i bulldog, tranne i criceti.")</f>
        <v>Mi piacciono i bulldog, tranne i criceti.</v>
      </c>
      <c r="G5634" s="6" t="str">
        <f>IFERROR(__xludf.DUMMYFUNCTION("GOOGLETRANSLATE(E5634,""fr"",""it"")"),"Amo i Bulldogs, tranne i criceti.")</f>
        <v>Amo i Bulldogs, tranne i criceti.</v>
      </c>
    </row>
    <row r="5635">
      <c r="A5635" s="4">
        <v>5633.0</v>
      </c>
      <c r="B5635" s="5" t="s">
        <v>16906</v>
      </c>
      <c r="C5635" s="4">
        <v>0.0</v>
      </c>
      <c r="D5635" s="5" t="s">
        <v>16907</v>
      </c>
      <c r="E5635" s="5" t="s">
        <v>16908</v>
      </c>
      <c r="F5635" s="6" t="str">
        <f>IFERROR(__xludf.DUMMYFUNCTION("GOOGLETRANSLATE(D5635,""en"",""it"")"),"Mi piacciono i bobtail e più specificamente gatti.")</f>
        <v>Mi piacciono i bobtail e più specificamente gatti.</v>
      </c>
      <c r="G5635" s="6" t="str">
        <f>IFERROR(__xludf.DUMMYFUNCTION("GOOGLETRANSLATE(E5635,""fr"",""it"")"),"Mi piacciono i bobtail e più gatti in particolare.")</f>
        <v>Mi piacciono i bobtail e più gatti in particolare.</v>
      </c>
    </row>
    <row r="5636">
      <c r="A5636" s="4">
        <v>5634.0</v>
      </c>
      <c r="B5636" s="5" t="s">
        <v>16909</v>
      </c>
      <c r="C5636" s="4">
        <v>0.0</v>
      </c>
      <c r="D5636" s="5" t="s">
        <v>16910</v>
      </c>
      <c r="E5636" s="5" t="s">
        <v>16911</v>
      </c>
      <c r="F5636" s="6" t="str">
        <f>IFERROR(__xludf.DUMMYFUNCTION("GOOGLETRANSLATE(D5636,""en"",""it"")"),"Mi piacciono i gatti e più specificamente bobtail.")</f>
        <v>Mi piacciono i gatti e più specificamente bobtail.</v>
      </c>
      <c r="G5636" s="6" t="str">
        <f>IFERROR(__xludf.DUMMYFUNCTION("GOOGLETRANSLATE(E5636,""fr"",""it"")"),"Mi piacciono i gatti e più in particolare i bobtail.")</f>
        <v>Mi piacciono i gatti e più in particolare i bobtail.</v>
      </c>
    </row>
    <row r="5637">
      <c r="A5637" s="4">
        <v>5635.0</v>
      </c>
      <c r="B5637" s="5" t="s">
        <v>16912</v>
      </c>
      <c r="C5637" s="4">
        <v>0.0</v>
      </c>
      <c r="D5637" s="5" t="s">
        <v>16913</v>
      </c>
      <c r="E5637" s="5" t="s">
        <v>16914</v>
      </c>
      <c r="F5637" s="6" t="str">
        <f>IFERROR(__xludf.DUMMYFUNCTION("GOOGLETRANSLATE(D5637,""en"",""it"")"),"Mi piacciono i bobtail e più specificamente i cani.")</f>
        <v>Mi piacciono i bobtail e più specificamente i cani.</v>
      </c>
      <c r="G5637" s="6" t="str">
        <f>IFERROR(__xludf.DUMMYFUNCTION("GOOGLETRANSLATE(E5637,""fr"",""it"")"),"Mi piacciono i bobtail, e più in particolare i cani.")</f>
        <v>Mi piacciono i bobtail, e più in particolare i cani.</v>
      </c>
    </row>
    <row r="5638">
      <c r="A5638" s="4">
        <v>5636.0</v>
      </c>
      <c r="B5638" s="5" t="s">
        <v>16915</v>
      </c>
      <c r="C5638" s="4">
        <v>1.0</v>
      </c>
      <c r="D5638" s="5" t="s">
        <v>16916</v>
      </c>
      <c r="E5638" s="5" t="s">
        <v>16917</v>
      </c>
      <c r="F5638" s="6" t="str">
        <f>IFERROR(__xludf.DUMMYFUNCTION("GOOGLETRANSLATE(D5638,""en"",""it"")"),"Mi piacciono i cani e più specificamente bobtail.")</f>
        <v>Mi piacciono i cani e più specificamente bobtail.</v>
      </c>
      <c r="G5638" s="6" t="str">
        <f>IFERROR(__xludf.DUMMYFUNCTION("GOOGLETRANSLATE(E5638,""fr"",""it"")"),"Mi piacciono i cani, specialmente i kobtail.")</f>
        <v>Mi piacciono i cani, specialmente i kobtail.</v>
      </c>
    </row>
    <row r="5639">
      <c r="A5639" s="4">
        <v>5637.0</v>
      </c>
      <c r="B5639" s="5" t="s">
        <v>16918</v>
      </c>
      <c r="C5639" s="4">
        <v>0.0</v>
      </c>
      <c r="D5639" s="5" t="s">
        <v>16919</v>
      </c>
      <c r="E5639" s="5" t="s">
        <v>16920</v>
      </c>
      <c r="F5639" s="6" t="str">
        <f>IFERROR(__xludf.DUMMYFUNCTION("GOOGLETRANSLATE(D5639,""en"",""it"")"),"Mi piacciono i bobtail e più specificamente criceti.")</f>
        <v>Mi piacciono i bobtail e più specificamente criceti.</v>
      </c>
      <c r="G5639" s="6" t="str">
        <f>IFERROR(__xludf.DUMMYFUNCTION("GOOGLETRANSLATE(E5639,""fr"",""it"")"),"Mi piacciono i bobtail, in particolare i criceti.")</f>
        <v>Mi piacciono i bobtail, in particolare i criceti.</v>
      </c>
    </row>
    <row r="5640">
      <c r="A5640" s="4">
        <v>5638.0</v>
      </c>
      <c r="B5640" s="5" t="s">
        <v>16921</v>
      </c>
      <c r="C5640" s="4">
        <v>0.0</v>
      </c>
      <c r="D5640" s="5" t="s">
        <v>16922</v>
      </c>
      <c r="E5640" s="5" t="s">
        <v>16923</v>
      </c>
      <c r="F5640" s="6" t="str">
        <f>IFERROR(__xludf.DUMMYFUNCTION("GOOGLETRANSLATE(D5640,""en"",""it"")"),"Mi piacciono i criceti e più specificamente bobtail.")</f>
        <v>Mi piacciono i criceti e più specificamente bobtail.</v>
      </c>
      <c r="G5640" s="6" t="str">
        <f>IFERROR(__xludf.DUMMYFUNCTION("GOOGLETRANSLATE(E5640,""fr"",""it"")"),"Mi piacciono i criceti, specialmente i bobtail.")</f>
        <v>Mi piacciono i criceti, specialmente i bobtail.</v>
      </c>
    </row>
    <row r="5641">
      <c r="A5641" s="4">
        <v>5639.0</v>
      </c>
      <c r="B5641" s="5" t="s">
        <v>16924</v>
      </c>
      <c r="C5641" s="4">
        <v>0.0</v>
      </c>
      <c r="D5641" s="5" t="s">
        <v>16925</v>
      </c>
      <c r="E5641" s="5" t="s">
        <v>16926</v>
      </c>
      <c r="F5641" s="6" t="str">
        <f>IFERROR(__xludf.DUMMYFUNCTION("GOOGLETRANSLATE(D5641,""en"",""it"")"),"Mi piacciono i bobtail, e più specificamente i pappagalli.")</f>
        <v>Mi piacciono i bobtail, e più specificamente i pappagalli.</v>
      </c>
      <c r="G5641" s="6" t="str">
        <f>IFERROR(__xludf.DUMMYFUNCTION("GOOGLETRANSLATE(E5641,""fr"",""it"")"),"Mi piacciono i bobtail, e più in particolare i perirouches.")</f>
        <v>Mi piacciono i bobtail, e più in particolare i perirouches.</v>
      </c>
    </row>
    <row r="5642">
      <c r="A5642" s="4">
        <v>5640.0</v>
      </c>
      <c r="B5642" s="5" t="s">
        <v>16927</v>
      </c>
      <c r="C5642" s="4">
        <v>0.0</v>
      </c>
      <c r="D5642" s="5" t="s">
        <v>16928</v>
      </c>
      <c r="E5642" s="5" t="s">
        <v>16929</v>
      </c>
      <c r="F5642" s="6" t="str">
        <f>IFERROR(__xludf.DUMMYFUNCTION("GOOGLETRANSLATE(D5642,""en"",""it"")"),"Mi piacciono i pappagalli e più specificamente bobtail.")</f>
        <v>Mi piacciono i pappagalli e più specificamente bobtail.</v>
      </c>
      <c r="G5642" s="6" t="str">
        <f>IFERROR(__xludf.DUMMYFUNCTION("GOOGLETRANSLATE(E5642,""fr"",""it"")"),"Adoro i perirouches e più in particolare i kobtail.")</f>
        <v>Adoro i perirouches e più in particolare i kobtail.</v>
      </c>
    </row>
    <row r="5643">
      <c r="A5643" s="4">
        <v>5641.0</v>
      </c>
      <c r="B5643" s="5" t="s">
        <v>16930</v>
      </c>
      <c r="C5643" s="4">
        <v>0.0</v>
      </c>
      <c r="D5643" s="5" t="s">
        <v>16931</v>
      </c>
      <c r="E5643" s="5" t="s">
        <v>16932</v>
      </c>
      <c r="F5643" s="6" t="str">
        <f>IFERROR(__xludf.DUMMYFUNCTION("GOOGLETRANSLATE(D5643,""en"",""it"")"),"Mi piacciono i bobtail e più specificamente conigli.")</f>
        <v>Mi piacciono i bobtail e più specificamente conigli.</v>
      </c>
      <c r="G5643" s="6" t="str">
        <f>IFERROR(__xludf.DUMMYFUNCTION("GOOGLETRANSLATE(E5643,""fr"",""it"")"),"Adoro i bobtail e più in particolare i conigli.")</f>
        <v>Adoro i bobtail e più in particolare i conigli.</v>
      </c>
    </row>
    <row r="5644">
      <c r="A5644" s="4">
        <v>5642.0</v>
      </c>
      <c r="B5644" s="5" t="s">
        <v>16933</v>
      </c>
      <c r="C5644" s="4">
        <v>0.0</v>
      </c>
      <c r="D5644" s="5" t="s">
        <v>16934</v>
      </c>
      <c r="E5644" s="5" t="s">
        <v>16935</v>
      </c>
      <c r="F5644" s="6" t="str">
        <f>IFERROR(__xludf.DUMMYFUNCTION("GOOGLETRANSLATE(D5644,""en"",""it"")"),"Mi piacciono i conigli e più specificamente bobtail.")</f>
        <v>Mi piacciono i conigli e più specificamente bobtail.</v>
      </c>
      <c r="G5644" s="6" t="str">
        <f>IFERROR(__xludf.DUMMYFUNCTION("GOOGLETRANSLATE(E5644,""fr"",""it"")"),"Amo i conigli, specialmente i bobtail.")</f>
        <v>Amo i conigli, specialmente i bobtail.</v>
      </c>
    </row>
    <row r="5645">
      <c r="A5645" s="4">
        <v>5643.0</v>
      </c>
      <c r="B5645" s="5" t="s">
        <v>16936</v>
      </c>
      <c r="C5645" s="4">
        <v>0.0</v>
      </c>
      <c r="D5645" s="5" t="s">
        <v>16937</v>
      </c>
      <c r="E5645" s="5" t="s">
        <v>16938</v>
      </c>
      <c r="F5645" s="6" t="str">
        <f>IFERROR(__xludf.DUMMYFUNCTION("GOOGLETRANSLATE(D5645,""en"",""it"")"),"Mi piacciono i Bulldogs, e più specificamente gatti.")</f>
        <v>Mi piacciono i Bulldogs, e più specificamente gatti.</v>
      </c>
      <c r="G5645" s="6" t="str">
        <f>IFERROR(__xludf.DUMMYFUNCTION("GOOGLETRANSLATE(E5645,""fr"",""it"")"),"Amo i Bulldogs, e più gatti in particolare.")</f>
        <v>Amo i Bulldogs, e più gatti in particolare.</v>
      </c>
    </row>
    <row r="5646">
      <c r="A5646" s="4">
        <v>5644.0</v>
      </c>
      <c r="B5646" s="5" t="s">
        <v>16939</v>
      </c>
      <c r="C5646" s="4">
        <v>0.0</v>
      </c>
      <c r="D5646" s="5" t="s">
        <v>16940</v>
      </c>
      <c r="E5646" s="5" t="s">
        <v>16941</v>
      </c>
      <c r="F5646" s="6" t="str">
        <f>IFERROR(__xludf.DUMMYFUNCTION("GOOGLETRANSLATE(D5646,""en"",""it"")"),"Mi piacciono i gatti e più specificamente i bulldogs.")</f>
        <v>Mi piacciono i gatti e più specificamente i bulldogs.</v>
      </c>
      <c r="G5646" s="6" t="str">
        <f>IFERROR(__xludf.DUMMYFUNCTION("GOOGLETRANSLATE(E5646,""fr"",""it"")"),"Mi piacciono i gatti e più in particolare i Bulldogs.")</f>
        <v>Mi piacciono i gatti e più in particolare i Bulldogs.</v>
      </c>
    </row>
    <row r="5647">
      <c r="A5647" s="4">
        <v>5645.0</v>
      </c>
      <c r="B5647" s="5" t="s">
        <v>16942</v>
      </c>
      <c r="C5647" s="4">
        <v>0.0</v>
      </c>
      <c r="D5647" s="5" t="s">
        <v>16943</v>
      </c>
      <c r="E5647" s="5" t="s">
        <v>16944</v>
      </c>
      <c r="F5647" s="6" t="str">
        <f>IFERROR(__xludf.DUMMYFUNCTION("GOOGLETRANSLATE(D5647,""en"",""it"")"),"Mi piacciono i bulldog, e più specificamente i cani.")</f>
        <v>Mi piacciono i bulldog, e più specificamente i cani.</v>
      </c>
      <c r="G5647" s="6" t="str">
        <f>IFERROR(__xludf.DUMMYFUNCTION("GOOGLETRANSLATE(E5647,""fr"",""it"")"),"Amo i Bulldog, in particolare i cani.")</f>
        <v>Amo i Bulldog, in particolare i cani.</v>
      </c>
    </row>
    <row r="5648">
      <c r="A5648" s="4">
        <v>5646.0</v>
      </c>
      <c r="B5648" s="5" t="s">
        <v>16945</v>
      </c>
      <c r="C5648" s="4">
        <v>1.0</v>
      </c>
      <c r="D5648" s="5" t="s">
        <v>16946</v>
      </c>
      <c r="E5648" s="5" t="s">
        <v>16947</v>
      </c>
      <c r="F5648" s="6" t="str">
        <f>IFERROR(__xludf.DUMMYFUNCTION("GOOGLETRANSLATE(D5648,""en"",""it"")"),"Mi piacciono i cani e più specificamente i bulldog.")</f>
        <v>Mi piacciono i cani e più specificamente i bulldog.</v>
      </c>
      <c r="G5648" s="6" t="str">
        <f>IFERROR(__xludf.DUMMYFUNCTION("GOOGLETRANSLATE(E5648,""fr"",""it"")"),"Mi piacciono i cani, specialmente i bulldogs.")</f>
        <v>Mi piacciono i cani, specialmente i bulldogs.</v>
      </c>
    </row>
    <row r="5649">
      <c r="A5649" s="4">
        <v>5647.0</v>
      </c>
      <c r="B5649" s="5" t="s">
        <v>16948</v>
      </c>
      <c r="C5649" s="4">
        <v>0.0</v>
      </c>
      <c r="D5649" s="5" t="s">
        <v>16949</v>
      </c>
      <c r="E5649" s="5" t="s">
        <v>16950</v>
      </c>
      <c r="F5649" s="6" t="str">
        <f>IFERROR(__xludf.DUMMYFUNCTION("GOOGLETRANSLATE(D5649,""en"",""it"")"),"Mi piacciono i bulldog e i criceti più specificamente.")</f>
        <v>Mi piacciono i bulldog e i criceti più specificamente.</v>
      </c>
      <c r="G5649" s="6" t="str">
        <f>IFERROR(__xludf.DUMMYFUNCTION("GOOGLETRANSLATE(E5649,""fr"",""it"")"),"Amo i Bulldog, in particolare i criceti.")</f>
        <v>Amo i Bulldog, in particolare i criceti.</v>
      </c>
    </row>
    <row r="5650">
      <c r="A5650" s="4">
        <v>5648.0</v>
      </c>
      <c r="B5650" s="5" t="s">
        <v>16951</v>
      </c>
      <c r="C5650" s="4">
        <v>0.0</v>
      </c>
      <c r="D5650" s="5" t="s">
        <v>16952</v>
      </c>
      <c r="E5650" s="5" t="s">
        <v>16953</v>
      </c>
      <c r="F5650" s="6" t="str">
        <f>IFERROR(__xludf.DUMMYFUNCTION("GOOGLETRANSLATE(D5650,""en"",""it"")"),"Mi piacciono i criceti e più specificamente i bulldog.")</f>
        <v>Mi piacciono i criceti e più specificamente i bulldog.</v>
      </c>
      <c r="G5650" s="6" t="str">
        <f>IFERROR(__xludf.DUMMYFUNCTION("GOOGLETRANSLATE(E5650,""fr"",""it"")"),"Mi piacciono i criceti, in particolare i bulldogs.")</f>
        <v>Mi piacciono i criceti, in particolare i bulldogs.</v>
      </c>
    </row>
    <row r="5651">
      <c r="A5651" s="4">
        <v>5649.0</v>
      </c>
      <c r="B5651" s="5" t="s">
        <v>16954</v>
      </c>
      <c r="C5651" s="4">
        <v>0.0</v>
      </c>
      <c r="D5651" s="5" t="s">
        <v>16955</v>
      </c>
      <c r="E5651" s="5" t="s">
        <v>16956</v>
      </c>
      <c r="F5651" s="6" t="str">
        <f>IFERROR(__xludf.DUMMYFUNCTION("GOOGLETRANSLATE(D5651,""en"",""it"")"),"Mi piacciono i bulldog, e più specificamente pappagalli.")</f>
        <v>Mi piacciono i bulldog, e più specificamente pappagalli.</v>
      </c>
      <c r="G5651" s="6" t="str">
        <f>IFERROR(__xludf.DUMMYFUNCTION("GOOGLETRANSLATE(E5651,""fr"",""it"")"),"Amo i Bulldog, e più in particolare i perirouches.")</f>
        <v>Amo i Bulldog, e più in particolare i perirouches.</v>
      </c>
    </row>
    <row r="5652">
      <c r="A5652" s="4">
        <v>5650.0</v>
      </c>
      <c r="B5652" s="5" t="s">
        <v>16957</v>
      </c>
      <c r="C5652" s="4">
        <v>0.0</v>
      </c>
      <c r="D5652" s="5" t="s">
        <v>16958</v>
      </c>
      <c r="E5652" s="5" t="s">
        <v>16959</v>
      </c>
      <c r="F5652" s="6" t="str">
        <f>IFERROR(__xludf.DUMMYFUNCTION("GOOGLETRANSLATE(D5652,""en"",""it"")"),"Mi piacciono i pappagalli e più specificamente i bulldog.")</f>
        <v>Mi piacciono i pappagalli e più specificamente i bulldog.</v>
      </c>
      <c r="G5652" s="6" t="str">
        <f>IFERROR(__xludf.DUMMYFUNCTION("GOOGLETRANSLATE(E5652,""fr"",""it"")"),"Amo i perti e più in particolare i Bulldogs.")</f>
        <v>Amo i perti e più in particolare i Bulldogs.</v>
      </c>
    </row>
    <row r="5653">
      <c r="A5653" s="4">
        <v>5651.0</v>
      </c>
      <c r="B5653" s="5" t="s">
        <v>16960</v>
      </c>
      <c r="C5653" s="4">
        <v>0.0</v>
      </c>
      <c r="D5653" s="5" t="s">
        <v>16961</v>
      </c>
      <c r="E5653" s="5" t="s">
        <v>16962</v>
      </c>
      <c r="F5653" s="6" t="str">
        <f>IFERROR(__xludf.DUMMYFUNCTION("GOOGLETRANSLATE(D5653,""en"",""it"")"),"Mi piacciono i bulldog, e più specificamente conigli.")</f>
        <v>Mi piacciono i bulldog, e più specificamente conigli.</v>
      </c>
      <c r="G5653" s="6" t="str">
        <f>IFERROR(__xludf.DUMMYFUNCTION("GOOGLETRANSLATE(E5653,""fr"",""it"")"),"Amo i Bulldogs, e più in particolare i conigli.")</f>
        <v>Amo i Bulldogs, e più in particolare i conigli.</v>
      </c>
    </row>
    <row r="5654">
      <c r="A5654" s="4">
        <v>5652.0</v>
      </c>
      <c r="B5654" s="5" t="s">
        <v>16963</v>
      </c>
      <c r="C5654" s="4">
        <v>0.0</v>
      </c>
      <c r="D5654" s="5" t="s">
        <v>16964</v>
      </c>
      <c r="E5654" s="5" t="s">
        <v>16965</v>
      </c>
      <c r="F5654" s="6" t="str">
        <f>IFERROR(__xludf.DUMMYFUNCTION("GOOGLETRANSLATE(D5654,""en"",""it"")"),"Mi piacciono i conigli e più specificamente i bulldogs.")</f>
        <v>Mi piacciono i conigli e più specificamente i bulldogs.</v>
      </c>
      <c r="G5654" s="6" t="str">
        <f>IFERROR(__xludf.DUMMYFUNCTION("GOOGLETRANSLATE(E5654,""fr"",""it"")"),"Amo i conigli, e più in particolare i Bulldogs.")</f>
        <v>Amo i conigli, e più in particolare i Bulldogs.</v>
      </c>
    </row>
    <row r="5655">
      <c r="A5655" s="4">
        <v>5653.0</v>
      </c>
      <c r="B5655" s="5" t="s">
        <v>16966</v>
      </c>
      <c r="C5655" s="4">
        <v>0.0</v>
      </c>
      <c r="D5655" s="5" t="s">
        <v>16967</v>
      </c>
      <c r="E5655" s="5" t="s">
        <v>16968</v>
      </c>
      <c r="F5655" s="6" t="str">
        <f>IFERROR(__xludf.DUMMYFUNCTION("GOOGLETRANSLATE(D5655,""en"",""it"")"),"Mi piacciono i Beagles, e più specificamente gatti.")</f>
        <v>Mi piacciono i Beagles, e più specificamente gatti.</v>
      </c>
      <c r="G5655" s="6" t="str">
        <f>IFERROR(__xludf.DUMMYFUNCTION("GOOGLETRANSLATE(E5655,""fr"",""it"")"),"Amo Beagles, e più gatti in particolare.")</f>
        <v>Amo Beagles, e più gatti in particolare.</v>
      </c>
    </row>
    <row r="5656">
      <c r="A5656" s="4">
        <v>5654.0</v>
      </c>
      <c r="B5656" s="5" t="s">
        <v>16969</v>
      </c>
      <c r="C5656" s="4">
        <v>0.0</v>
      </c>
      <c r="D5656" s="5" t="s">
        <v>16970</v>
      </c>
      <c r="E5656" s="5" t="s">
        <v>16971</v>
      </c>
      <c r="F5656" s="6" t="str">
        <f>IFERROR(__xludf.DUMMYFUNCTION("GOOGLETRANSLATE(D5656,""en"",""it"")"),"Mi piacciono i gatti e più specificamente beagles.")</f>
        <v>Mi piacciono i gatti e più specificamente beagles.</v>
      </c>
      <c r="G5656" s="6" t="str">
        <f>IFERROR(__xludf.DUMMYFUNCTION("GOOGLETRANSLATE(E5656,""fr"",""it"")"),"Mi piacciono i gatti, specialmente i Beagles.")</f>
        <v>Mi piacciono i gatti, specialmente i Beagles.</v>
      </c>
    </row>
    <row r="5657">
      <c r="A5657" s="4">
        <v>5655.0</v>
      </c>
      <c r="B5657" s="5" t="s">
        <v>16972</v>
      </c>
      <c r="C5657" s="4">
        <v>0.0</v>
      </c>
      <c r="D5657" s="5" t="s">
        <v>16973</v>
      </c>
      <c r="E5657" s="5" t="s">
        <v>16974</v>
      </c>
      <c r="F5657" s="6" t="str">
        <f>IFERROR(__xludf.DUMMYFUNCTION("GOOGLETRANSLATE(D5657,""en"",""it"")"),"Mi piacciono i Beagles, e più specificamente i cani.")</f>
        <v>Mi piacciono i Beagles, e più specificamente i cani.</v>
      </c>
      <c r="G5657" s="6" t="str">
        <f>IFERROR(__xludf.DUMMYFUNCTION("GOOGLETRANSLATE(E5657,""fr"",""it"")"),"Amo Beagles, in particolare i cani.")</f>
        <v>Amo Beagles, in particolare i cani.</v>
      </c>
    </row>
    <row r="5658">
      <c r="A5658" s="4">
        <v>5656.0</v>
      </c>
      <c r="B5658" s="5" t="s">
        <v>16975</v>
      </c>
      <c r="C5658" s="4">
        <v>1.0</v>
      </c>
      <c r="D5658" s="5" t="s">
        <v>16976</v>
      </c>
      <c r="E5658" s="5" t="s">
        <v>16977</v>
      </c>
      <c r="F5658" s="6" t="str">
        <f>IFERROR(__xludf.DUMMYFUNCTION("GOOGLETRANSLATE(D5658,""en"",""it"")"),"Mi piacciono i cani e più specificamente beagles.")</f>
        <v>Mi piacciono i cani e più specificamente beagles.</v>
      </c>
      <c r="G5658" s="6" t="str">
        <f>IFERROR(__xludf.DUMMYFUNCTION("GOOGLETRANSLATE(E5658,""fr"",""it"")"),"Amo i cani, specialmente i Beagles.")</f>
        <v>Amo i cani, specialmente i Beagles.</v>
      </c>
    </row>
    <row r="5659">
      <c r="A5659" s="4">
        <v>5657.0</v>
      </c>
      <c r="B5659" s="5" t="s">
        <v>16978</v>
      </c>
      <c r="C5659" s="4">
        <v>0.0</v>
      </c>
      <c r="D5659" s="5" t="s">
        <v>16979</v>
      </c>
      <c r="E5659" s="5" t="s">
        <v>16980</v>
      </c>
      <c r="F5659" s="6" t="str">
        <f>IFERROR(__xludf.DUMMYFUNCTION("GOOGLETRANSLATE(D5659,""en"",""it"")"),"Mi piacciono i Beagles, e più specificamente criceti.")</f>
        <v>Mi piacciono i Beagles, e più specificamente criceti.</v>
      </c>
      <c r="G5659" s="6" t="str">
        <f>IFERROR(__xludf.DUMMYFUNCTION("GOOGLETRANSLATE(E5659,""fr"",""it"")"),"Amo Beagles, in particolare i criceti.")</f>
        <v>Amo Beagles, in particolare i criceti.</v>
      </c>
    </row>
    <row r="5660">
      <c r="A5660" s="4">
        <v>5658.0</v>
      </c>
      <c r="B5660" s="5" t="s">
        <v>16981</v>
      </c>
      <c r="C5660" s="4">
        <v>0.0</v>
      </c>
      <c r="D5660" s="5" t="s">
        <v>16982</v>
      </c>
      <c r="E5660" s="5" t="s">
        <v>16983</v>
      </c>
      <c r="F5660" s="6" t="str">
        <f>IFERROR(__xludf.DUMMYFUNCTION("GOOGLETRANSLATE(D5660,""en"",""it"")"),"Mi piacciono i criceti e più specificamente beagle.")</f>
        <v>Mi piacciono i criceti e più specificamente beagle.</v>
      </c>
      <c r="G5660" s="6" t="str">
        <f>IFERROR(__xludf.DUMMYFUNCTION("GOOGLETRANSLATE(E5660,""fr"",""it"")"),"Mi piacciono i criceti, specialmente i Beagles.")</f>
        <v>Mi piacciono i criceti, specialmente i Beagles.</v>
      </c>
    </row>
    <row r="5661">
      <c r="A5661" s="4">
        <v>5659.0</v>
      </c>
      <c r="B5661" s="5" t="s">
        <v>16984</v>
      </c>
      <c r="C5661" s="4">
        <v>0.0</v>
      </c>
      <c r="D5661" s="5" t="s">
        <v>16985</v>
      </c>
      <c r="E5661" s="5" t="s">
        <v>16986</v>
      </c>
      <c r="F5661" s="6" t="str">
        <f>IFERROR(__xludf.DUMMYFUNCTION("GOOGLETRANSLATE(D5661,""en"",""it"")"),"Mi piacciono i Beagles, e più specificamente pappagalli.")</f>
        <v>Mi piacciono i Beagles, e più specificamente pappagalli.</v>
      </c>
      <c r="G5661" s="6" t="str">
        <f>IFERROR(__xludf.DUMMYFUNCTION("GOOGLETRANSLATE(E5661,""fr"",""it"")"),"Mi piacciono i Beagles, e più in particolare i perirouches.")</f>
        <v>Mi piacciono i Beagles, e più in particolare i perirouches.</v>
      </c>
    </row>
    <row r="5662">
      <c r="A5662" s="4">
        <v>5660.0</v>
      </c>
      <c r="B5662" s="5" t="s">
        <v>16987</v>
      </c>
      <c r="C5662" s="4">
        <v>0.0</v>
      </c>
      <c r="D5662" s="5" t="s">
        <v>16988</v>
      </c>
      <c r="E5662" s="5" t="s">
        <v>16989</v>
      </c>
      <c r="F5662" s="6" t="str">
        <f>IFERROR(__xludf.DUMMYFUNCTION("GOOGLETRANSLATE(D5662,""en"",""it"")"),"Mi piacciono i pappagalli e più specificamente beagles.")</f>
        <v>Mi piacciono i pappagalli e più specificamente beagles.</v>
      </c>
      <c r="G5662" s="6" t="str">
        <f>IFERROR(__xludf.DUMMYFUNCTION("GOOGLETRANSLATE(E5662,""fr"",""it"")"),"Amo i perrouzzi, specialmente i Beagles.")</f>
        <v>Amo i perrouzzi, specialmente i Beagles.</v>
      </c>
    </row>
    <row r="5663">
      <c r="A5663" s="4">
        <v>5661.0</v>
      </c>
      <c r="B5663" s="5" t="s">
        <v>16990</v>
      </c>
      <c r="C5663" s="4">
        <v>0.0</v>
      </c>
      <c r="D5663" s="5" t="s">
        <v>16991</v>
      </c>
      <c r="E5663" s="5" t="s">
        <v>16992</v>
      </c>
      <c r="F5663" s="6" t="str">
        <f>IFERROR(__xludf.DUMMYFUNCTION("GOOGLETRANSLATE(D5663,""en"",""it"")"),"Mi piacciono i Beagles, e più specificamente conigli.")</f>
        <v>Mi piacciono i Beagles, e più specificamente conigli.</v>
      </c>
      <c r="G5663" s="6" t="str">
        <f>IFERROR(__xludf.DUMMYFUNCTION("GOOGLETRANSLATE(E5663,""fr"",""it"")"),"Mi piacciono i Beagles e più in particolare i conigli.")</f>
        <v>Mi piacciono i Beagles e più in particolare i conigli.</v>
      </c>
    </row>
    <row r="5664">
      <c r="A5664" s="4">
        <v>5662.0</v>
      </c>
      <c r="B5664" s="5" t="s">
        <v>16993</v>
      </c>
      <c r="C5664" s="4">
        <v>0.0</v>
      </c>
      <c r="D5664" s="5" t="s">
        <v>16994</v>
      </c>
      <c r="E5664" s="5" t="s">
        <v>16995</v>
      </c>
      <c r="F5664" s="6" t="str">
        <f>IFERROR(__xludf.DUMMYFUNCTION("GOOGLETRANSLATE(D5664,""en"",""it"")"),"Mi piacciono i conigli e più specificamente beagles.")</f>
        <v>Mi piacciono i conigli e più specificamente beagles.</v>
      </c>
      <c r="G5664" s="6" t="str">
        <f>IFERROR(__xludf.DUMMYFUNCTION("GOOGLETRANSLATE(E5664,""fr"",""it"")"),"Amo i conigli, specialmente i Beagles.")</f>
        <v>Amo i conigli, specialmente i Beagles.</v>
      </c>
    </row>
    <row r="5665">
      <c r="A5665" s="4">
        <v>5663.0</v>
      </c>
      <c r="B5665" s="5" t="s">
        <v>16996</v>
      </c>
      <c r="C5665" s="4">
        <v>0.0</v>
      </c>
      <c r="D5665" s="5" t="s">
        <v>16997</v>
      </c>
      <c r="E5665" s="5" t="s">
        <v>16998</v>
      </c>
      <c r="F5665" s="6" t="str">
        <f>IFERROR(__xludf.DUMMYFUNCTION("GOOGLETRANSLATE(D5665,""en"",""it"")"),"Mi piacciono i criceti, tranne i Bulldog.")</f>
        <v>Mi piacciono i criceti, tranne i Bulldog.</v>
      </c>
      <c r="G5665" s="6" t="str">
        <f>IFERROR(__xludf.DUMMYFUNCTION("GOOGLETRANSLATE(E5665,""fr"",""it"")"),"Mi piacciono i criceti, tranne i Bulldog.")</f>
        <v>Mi piacciono i criceti, tranne i Bulldog.</v>
      </c>
    </row>
    <row r="5666">
      <c r="A5666" s="4">
        <v>5664.0</v>
      </c>
      <c r="B5666" s="5" t="s">
        <v>16999</v>
      </c>
      <c r="C5666" s="4">
        <v>0.0</v>
      </c>
      <c r="D5666" s="5" t="s">
        <v>17000</v>
      </c>
      <c r="E5666" s="5" t="s">
        <v>17001</v>
      </c>
      <c r="F5666" s="6" t="str">
        <f>IFERROR(__xludf.DUMMYFUNCTION("GOOGLETRANSLATE(D5666,""en"",""it"")"),"Mi piacciono i pappagalli e più specificamente gatti.")</f>
        <v>Mi piacciono i pappagalli e più specificamente gatti.</v>
      </c>
      <c r="G5666" s="6" t="str">
        <f>IFERROR(__xludf.DUMMYFUNCTION("GOOGLETRANSLATE(E5666,""fr"",""it"")"),"Amo perrouches e più gatti in particolare.")</f>
        <v>Amo perrouches e più gatti in particolare.</v>
      </c>
    </row>
    <row r="5667">
      <c r="A5667" s="4">
        <v>5665.0</v>
      </c>
      <c r="B5667" s="5" t="s">
        <v>17002</v>
      </c>
      <c r="C5667" s="4">
        <v>0.0</v>
      </c>
      <c r="D5667" s="5" t="s">
        <v>17003</v>
      </c>
      <c r="E5667" s="5" t="s">
        <v>17004</v>
      </c>
      <c r="F5667" s="6" t="str">
        <f>IFERROR(__xludf.DUMMYFUNCTION("GOOGLETRANSLATE(D5667,""en"",""it"")"),"Mi piacciono i gatti e più specificamente pappagalli.")</f>
        <v>Mi piacciono i gatti e più specificamente pappagalli.</v>
      </c>
      <c r="G5667" s="6" t="str">
        <f>IFERROR(__xludf.DUMMYFUNCTION("GOOGLETRANSLATE(E5667,""fr"",""it"")"),"Mi piacciono i gatti, e più particolarmente i perirouches.")</f>
        <v>Mi piacciono i gatti, e più particolarmente i perirouches.</v>
      </c>
    </row>
    <row r="5668">
      <c r="A5668" s="4">
        <v>5666.0</v>
      </c>
      <c r="B5668" s="5" t="s">
        <v>17005</v>
      </c>
      <c r="C5668" s="4">
        <v>0.0</v>
      </c>
      <c r="D5668" s="5" t="s">
        <v>17006</v>
      </c>
      <c r="E5668" s="5" t="s">
        <v>17007</v>
      </c>
      <c r="F5668" s="6" t="str">
        <f>IFERROR(__xludf.DUMMYFUNCTION("GOOGLETRANSLATE(D5668,""en"",""it"")"),"Mi piacciono i pappagalli e più specificamente uccelli.")</f>
        <v>Mi piacciono i pappagalli e più specificamente uccelli.</v>
      </c>
      <c r="G5668" s="6" t="str">
        <f>IFERROR(__xludf.DUMMYFUNCTION("GOOGLETRANSLATE(E5668,""fr"",""it"")"),"Mi piacciono i perrouzzi e più piccoli uccelli.")</f>
        <v>Mi piacciono i perrouzzi e più piccoli uccelli.</v>
      </c>
    </row>
    <row r="5669">
      <c r="A5669" s="4">
        <v>5667.0</v>
      </c>
      <c r="B5669" s="5" t="s">
        <v>17008</v>
      </c>
      <c r="C5669" s="4">
        <v>1.0</v>
      </c>
      <c r="D5669" s="5" t="s">
        <v>17009</v>
      </c>
      <c r="E5669" s="5" t="s">
        <v>17010</v>
      </c>
      <c r="F5669" s="6" t="str">
        <f>IFERROR(__xludf.DUMMYFUNCTION("GOOGLETRANSLATE(D5669,""en"",""it"")"),"Mi piacciono gli uccelli e i pappagalli più specificamente.")</f>
        <v>Mi piacciono gli uccelli e i pappagalli più specificamente.</v>
      </c>
      <c r="G5669" s="6" t="str">
        <f>IFERROR(__xludf.DUMMYFUNCTION("GOOGLETRANSLATE(E5669,""fr"",""it"")"),"Amo gli uccelli e più in particolare i perirouches.")</f>
        <v>Amo gli uccelli e più in particolare i perirouches.</v>
      </c>
    </row>
    <row r="5670">
      <c r="A5670" s="4">
        <v>5668.0</v>
      </c>
      <c r="B5670" s="5" t="s">
        <v>17011</v>
      </c>
      <c r="C5670" s="4">
        <v>0.0</v>
      </c>
      <c r="D5670" s="5" t="s">
        <v>17012</v>
      </c>
      <c r="E5670" s="5" t="s">
        <v>17013</v>
      </c>
      <c r="F5670" s="6" t="str">
        <f>IFERROR(__xludf.DUMMYFUNCTION("GOOGLETRANSLATE(D5670,""en"",""it"")"),"Mi piacciono gli uccelli e più specificamente gatti.")</f>
        <v>Mi piacciono gli uccelli e più specificamente gatti.</v>
      </c>
      <c r="G5670" s="6" t="str">
        <f>IFERROR(__xludf.DUMMYFUNCTION("GOOGLETRANSLATE(E5670,""fr"",""it"")"),"Amo gli uccelli e più gatti in particolare.")</f>
        <v>Amo gli uccelli e più gatti in particolare.</v>
      </c>
    </row>
    <row r="5671">
      <c r="A5671" s="4">
        <v>5669.0</v>
      </c>
      <c r="B5671" s="5" t="s">
        <v>17014</v>
      </c>
      <c r="C5671" s="4">
        <v>0.0</v>
      </c>
      <c r="D5671" s="5" t="s">
        <v>17015</v>
      </c>
      <c r="E5671" s="5" t="s">
        <v>17016</v>
      </c>
      <c r="F5671" s="6" t="str">
        <f>IFERROR(__xludf.DUMMYFUNCTION("GOOGLETRANSLATE(D5671,""en"",""it"")"),"Mi piacciono i pappagalli e più specificamente criceti.")</f>
        <v>Mi piacciono i pappagalli e più specificamente criceti.</v>
      </c>
      <c r="G5671" s="6" t="str">
        <f>IFERROR(__xludf.DUMMYFUNCTION("GOOGLETRANSLATE(E5671,""fr"",""it"")"),"Mi piacciono i perroutqui, in particolare i criceti.")</f>
        <v>Mi piacciono i perroutqui, in particolare i criceti.</v>
      </c>
    </row>
    <row r="5672">
      <c r="A5672" s="4">
        <v>5670.0</v>
      </c>
      <c r="B5672" s="5" t="s">
        <v>17017</v>
      </c>
      <c r="C5672" s="4">
        <v>0.0</v>
      </c>
      <c r="D5672" s="5" t="s">
        <v>17018</v>
      </c>
      <c r="E5672" s="5" t="s">
        <v>17019</v>
      </c>
      <c r="F5672" s="6" t="str">
        <f>IFERROR(__xludf.DUMMYFUNCTION("GOOGLETRANSLATE(D5672,""en"",""it"")"),"Mi piacciono i criceti e i pappagalli più specifici.")</f>
        <v>Mi piacciono i criceti e i pappagalli più specifici.</v>
      </c>
      <c r="G5672" s="6" t="str">
        <f>IFERROR(__xludf.DUMMYFUNCTION("GOOGLETRANSLATE(E5672,""fr"",""it"")"),"Amo i criceti e più in particolare i perirouches.")</f>
        <v>Amo i criceti e più in particolare i perirouches.</v>
      </c>
    </row>
    <row r="5673">
      <c r="A5673" s="4">
        <v>5671.0</v>
      </c>
      <c r="B5673" s="5" t="s">
        <v>17020</v>
      </c>
      <c r="C5673" s="4">
        <v>0.0</v>
      </c>
      <c r="D5673" s="5" t="s">
        <v>17021</v>
      </c>
      <c r="E5673" s="5" t="s">
        <v>17022</v>
      </c>
      <c r="F5673" s="6" t="str">
        <f>IFERROR(__xludf.DUMMYFUNCTION("GOOGLETRANSLATE(D5673,""en"",""it"")"),"Mi piacciono gli uccelli e più specificamente criceti.")</f>
        <v>Mi piacciono gli uccelli e più specificamente criceti.</v>
      </c>
      <c r="G5673" s="6" t="str">
        <f>IFERROR(__xludf.DUMMYFUNCTION("GOOGLETRANSLATE(E5673,""fr"",""it"")"),"Amo gli uccelli, in particolare i criceti.")</f>
        <v>Amo gli uccelli, in particolare i criceti.</v>
      </c>
    </row>
    <row r="5674">
      <c r="A5674" s="4">
        <v>5672.0</v>
      </c>
      <c r="B5674" s="5" t="s">
        <v>17023</v>
      </c>
      <c r="C5674" s="4">
        <v>0.0</v>
      </c>
      <c r="D5674" s="5" t="s">
        <v>17024</v>
      </c>
      <c r="E5674" s="5" t="s">
        <v>17025</v>
      </c>
      <c r="F5674" s="6" t="str">
        <f>IFERROR(__xludf.DUMMYFUNCTION("GOOGLETRANSLATE(D5674,""en"",""it"")"),"Mi piacciono i pappagalli e più appositamente suini.")</f>
        <v>Mi piacciono i pappagalli e più appositamente suini.</v>
      </c>
      <c r="G5674" s="6" t="str">
        <f>IFERROR(__xludf.DUMMYFUNCTION("GOOGLETRANSLATE(E5674,""fr"",""it"")"),"Mi piacciono i perroutqui, e più maiali.")</f>
        <v>Mi piacciono i perroutqui, e più maiali.</v>
      </c>
    </row>
    <row r="5675">
      <c r="A5675" s="4">
        <v>5673.0</v>
      </c>
      <c r="B5675" s="5" t="s">
        <v>17026</v>
      </c>
      <c r="C5675" s="4">
        <v>0.0</v>
      </c>
      <c r="D5675" s="5" t="s">
        <v>17027</v>
      </c>
      <c r="E5675" s="5" t="s">
        <v>17028</v>
      </c>
      <c r="F5675" s="6" t="str">
        <f>IFERROR(__xludf.DUMMYFUNCTION("GOOGLETRANSLATE(D5675,""en"",""it"")"),"Mi piacciono i maiali e più specificamente pappagalli.")</f>
        <v>Mi piacciono i maiali e più specificamente pappagalli.</v>
      </c>
      <c r="G5675" s="6" t="str">
        <f>IFERROR(__xludf.DUMMYFUNCTION("GOOGLETRANSLATE(E5675,""fr"",""it"")"),"Amo i maiali, e più in particolare i perirouches.")</f>
        <v>Amo i maiali, e più in particolare i perirouches.</v>
      </c>
    </row>
    <row r="5676">
      <c r="A5676" s="4">
        <v>5674.0</v>
      </c>
      <c r="B5676" s="5" t="s">
        <v>17029</v>
      </c>
      <c r="C5676" s="4">
        <v>0.0</v>
      </c>
      <c r="D5676" s="5" t="s">
        <v>17030</v>
      </c>
      <c r="E5676" s="5" t="s">
        <v>17031</v>
      </c>
      <c r="F5676" s="6" t="str">
        <f>IFERROR(__xludf.DUMMYFUNCTION("GOOGLETRANSLATE(D5676,""en"",""it"")"),"Mi piacciono gli uccelli e più appositamente suini.")</f>
        <v>Mi piacciono gli uccelli e più appositamente suini.</v>
      </c>
      <c r="G5676" s="6" t="str">
        <f>IFERROR(__xludf.DUMMYFUNCTION("GOOGLETRANSLATE(E5676,""fr"",""it"")"),"Amo gli uccelli, in particolare i maiali.")</f>
        <v>Amo gli uccelli, in particolare i maiali.</v>
      </c>
    </row>
    <row r="5677">
      <c r="A5677" s="4">
        <v>5675.0</v>
      </c>
      <c r="B5677" s="5" t="s">
        <v>17032</v>
      </c>
      <c r="C5677" s="4">
        <v>0.0</v>
      </c>
      <c r="D5677" s="5" t="s">
        <v>17033</v>
      </c>
      <c r="E5677" s="5" t="s">
        <v>17034</v>
      </c>
      <c r="F5677" s="6" t="str">
        <f>IFERROR(__xludf.DUMMYFUNCTION("GOOGLETRANSLATE(D5677,""en"",""it"")"),"Mi piacciono i pappagalli e più specificamente i cani.")</f>
        <v>Mi piacciono i pappagalli e più specificamente i cani.</v>
      </c>
      <c r="G5677" s="6" t="str">
        <f>IFERROR(__xludf.DUMMYFUNCTION("GOOGLETRANSLATE(E5677,""fr"",""it"")"),"Mi piace perrouques, e più in particolare i cani.")</f>
        <v>Mi piace perrouques, e più in particolare i cani.</v>
      </c>
    </row>
    <row r="5678">
      <c r="A5678" s="4">
        <v>5676.0</v>
      </c>
      <c r="B5678" s="5" t="s">
        <v>17035</v>
      </c>
      <c r="C5678" s="4">
        <v>0.0</v>
      </c>
      <c r="D5678" s="5" t="s">
        <v>17036</v>
      </c>
      <c r="E5678" s="5" t="s">
        <v>17037</v>
      </c>
      <c r="F5678" s="6" t="str">
        <f>IFERROR(__xludf.DUMMYFUNCTION("GOOGLETRANSLATE(D5678,""en"",""it"")"),"Mi piacciono gli uccelli e più specificamente i cani.")</f>
        <v>Mi piacciono gli uccelli e più specificamente i cani.</v>
      </c>
      <c r="G5678" s="6" t="str">
        <f>IFERROR(__xludf.DUMMYFUNCTION("GOOGLETRANSLATE(E5678,""fr"",""it"")"),"Mi piacciono gli uccelli, in particolare i cani.")</f>
        <v>Mi piacciono gli uccelli, in particolare i cani.</v>
      </c>
    </row>
    <row r="5679">
      <c r="A5679" s="4">
        <v>5677.0</v>
      </c>
      <c r="B5679" s="5" t="s">
        <v>17038</v>
      </c>
      <c r="C5679" s="4">
        <v>0.0</v>
      </c>
      <c r="D5679" s="5" t="s">
        <v>17039</v>
      </c>
      <c r="E5679" s="5" t="s">
        <v>17040</v>
      </c>
      <c r="F5679" s="6" t="str">
        <f>IFERROR(__xludf.DUMMYFUNCTION("GOOGLETRANSLATE(D5679,""en"",""it"")"),"Mi piacciono le anatre e più specificamente gatti.")</f>
        <v>Mi piacciono le anatre e più specificamente gatti.</v>
      </c>
      <c r="G5679" s="6" t="str">
        <f>IFERROR(__xludf.DUMMYFUNCTION("GOOGLETRANSLATE(E5679,""fr"",""it"")"),"Mi piacciono le anatre e più gatti in particolare.")</f>
        <v>Mi piacciono le anatre e più gatti in particolare.</v>
      </c>
    </row>
    <row r="5680">
      <c r="A5680" s="4">
        <v>5678.0</v>
      </c>
      <c r="B5680" s="5" t="s">
        <v>17041</v>
      </c>
      <c r="C5680" s="4">
        <v>0.0</v>
      </c>
      <c r="D5680" s="5" t="s">
        <v>17042</v>
      </c>
      <c r="E5680" s="5" t="s">
        <v>17043</v>
      </c>
      <c r="F5680" s="6" t="str">
        <f>IFERROR(__xludf.DUMMYFUNCTION("GOOGLETRANSLATE(D5680,""en"",""it"")"),"Mi piacciono i gatti, e più specificamente anatre.")</f>
        <v>Mi piacciono i gatti, e più specificamente anatre.</v>
      </c>
      <c r="G5680" s="6" t="str">
        <f>IFERROR(__xludf.DUMMYFUNCTION("GOOGLETRANSLATE(E5680,""fr"",""it"")"),"Mi piacciono i gatti, specialmente le anatre.")</f>
        <v>Mi piacciono i gatti, specialmente le anatre.</v>
      </c>
    </row>
    <row r="5681">
      <c r="A5681" s="4">
        <v>5679.0</v>
      </c>
      <c r="B5681" s="5" t="s">
        <v>17044</v>
      </c>
      <c r="C5681" s="4">
        <v>0.0</v>
      </c>
      <c r="D5681" s="5" t="s">
        <v>17045</v>
      </c>
      <c r="E5681" s="5" t="s">
        <v>17046</v>
      </c>
      <c r="F5681" s="6" t="str">
        <f>IFERROR(__xludf.DUMMYFUNCTION("GOOGLETRANSLATE(D5681,""en"",""it"")"),"Mi piacciono le anatre e più appositamente uccelli.")</f>
        <v>Mi piacciono le anatre e più appositamente uccelli.</v>
      </c>
      <c r="G5681" s="6" t="str">
        <f>IFERROR(__xludf.DUMMYFUNCTION("GOOGLETRANSLATE(E5681,""fr"",""it"")"),"Mi piacciono le anatre, in particolare gli uccelli.")</f>
        <v>Mi piacciono le anatre, in particolare gli uccelli.</v>
      </c>
    </row>
    <row r="5682">
      <c r="A5682" s="4">
        <v>5680.0</v>
      </c>
      <c r="B5682" s="5" t="s">
        <v>17047</v>
      </c>
      <c r="C5682" s="4">
        <v>1.0</v>
      </c>
      <c r="D5682" s="5" t="s">
        <v>17048</v>
      </c>
      <c r="E5682" s="5" t="s">
        <v>17049</v>
      </c>
      <c r="F5682" s="6" t="str">
        <f>IFERROR(__xludf.DUMMYFUNCTION("GOOGLETRANSLATE(D5682,""en"",""it"")"),"Mi piacciono gli uccelli e più in particolare anatre.")</f>
        <v>Mi piacciono gli uccelli e più in particolare anatre.</v>
      </c>
      <c r="G5682" s="6" t="str">
        <f>IFERROR(__xludf.DUMMYFUNCTION("GOOGLETRANSLATE(E5682,""fr"",""it"")"),"Amo gli uccelli, specialmente le anatre.")</f>
        <v>Amo gli uccelli, specialmente le anatre.</v>
      </c>
    </row>
    <row r="5683">
      <c r="A5683" s="4">
        <v>5681.0</v>
      </c>
      <c r="B5683" s="5" t="s">
        <v>17050</v>
      </c>
      <c r="C5683" s="4">
        <v>0.0</v>
      </c>
      <c r="D5683" s="5" t="s">
        <v>17051</v>
      </c>
      <c r="E5683" s="5" t="s">
        <v>17052</v>
      </c>
      <c r="F5683" s="6" t="str">
        <f>IFERROR(__xludf.DUMMYFUNCTION("GOOGLETRANSLATE(D5683,""en"",""it"")"),"Mi piacciono le anatre e i criceti più specificamente.")</f>
        <v>Mi piacciono le anatre e i criceti più specificamente.</v>
      </c>
      <c r="G5683" s="6" t="str">
        <f>IFERROR(__xludf.DUMMYFUNCTION("GOOGLETRANSLATE(E5683,""fr"",""it"")"),"Mi piacciono le anatre, in particolare i criceti.")</f>
        <v>Mi piacciono le anatre, in particolare i criceti.</v>
      </c>
    </row>
    <row r="5684">
      <c r="A5684" s="4">
        <v>5682.0</v>
      </c>
      <c r="B5684" s="5" t="s">
        <v>17053</v>
      </c>
      <c r="C5684" s="4">
        <v>0.0</v>
      </c>
      <c r="D5684" s="5" t="s">
        <v>17054</v>
      </c>
      <c r="E5684" s="5" t="s">
        <v>17055</v>
      </c>
      <c r="F5684" s="6" t="str">
        <f>IFERROR(__xludf.DUMMYFUNCTION("GOOGLETRANSLATE(D5684,""en"",""it"")"),"Mi piacciono i criceti, e più specificamente anatre.")</f>
        <v>Mi piacciono i criceti, e più specificamente anatre.</v>
      </c>
      <c r="G5684" s="6" t="str">
        <f>IFERROR(__xludf.DUMMYFUNCTION("GOOGLETRANSLATE(E5684,""fr"",""it"")"),"Adoro i criceti, specialmente le anatre.")</f>
        <v>Adoro i criceti, specialmente le anatre.</v>
      </c>
    </row>
    <row r="5685">
      <c r="A5685" s="4">
        <v>5683.0</v>
      </c>
      <c r="B5685" s="5" t="s">
        <v>17056</v>
      </c>
      <c r="C5685" s="4">
        <v>0.0</v>
      </c>
      <c r="D5685" s="5" t="s">
        <v>17057</v>
      </c>
      <c r="E5685" s="5" t="s">
        <v>17058</v>
      </c>
      <c r="F5685" s="6" t="str">
        <f>IFERROR(__xludf.DUMMYFUNCTION("GOOGLETRANSLATE(D5685,""en"",""it"")"),"Mi piacciono le anatre e più specificamente i maiali.")</f>
        <v>Mi piacciono le anatre e più specificamente i maiali.</v>
      </c>
      <c r="G5685" s="6" t="str">
        <f>IFERROR(__xludf.DUMMYFUNCTION("GOOGLETRANSLATE(E5685,""fr"",""it"")"),"Mi piacciono le anatre e più maiali.")</f>
        <v>Mi piacciono le anatre e più maiali.</v>
      </c>
    </row>
    <row r="5686">
      <c r="A5686" s="4">
        <v>5684.0</v>
      </c>
      <c r="B5686" s="5" t="s">
        <v>17059</v>
      </c>
      <c r="C5686" s="4">
        <v>0.0</v>
      </c>
      <c r="D5686" s="5" t="s">
        <v>17060</v>
      </c>
      <c r="E5686" s="5" t="s">
        <v>17061</v>
      </c>
      <c r="F5686" s="6" t="str">
        <f>IFERROR(__xludf.DUMMYFUNCTION("GOOGLETRANSLATE(D5686,""en"",""it"")"),"Mi piacciono i maiali e più specificamente anatre.")</f>
        <v>Mi piacciono i maiali e più specificamente anatre.</v>
      </c>
      <c r="G5686" s="6" t="str">
        <f>IFERROR(__xludf.DUMMYFUNCTION("GOOGLETRANSLATE(E5686,""fr"",""it"")"),"Mi piacciono i maiali, specialmente le anatre.")</f>
        <v>Mi piacciono i maiali, specialmente le anatre.</v>
      </c>
    </row>
    <row r="5687">
      <c r="A5687" s="4">
        <v>5685.0</v>
      </c>
      <c r="B5687" s="5" t="s">
        <v>17062</v>
      </c>
      <c r="C5687" s="4">
        <v>0.0</v>
      </c>
      <c r="D5687" s="5" t="s">
        <v>17063</v>
      </c>
      <c r="E5687" s="5" t="s">
        <v>17064</v>
      </c>
      <c r="F5687" s="6" t="str">
        <f>IFERROR(__xludf.DUMMYFUNCTION("GOOGLETRANSLATE(D5687,""en"",""it"")"),"Mi piacciono le anatre e più specificamente i cani.")</f>
        <v>Mi piacciono le anatre e più specificamente i cani.</v>
      </c>
      <c r="G5687" s="6" t="str">
        <f>IFERROR(__xludf.DUMMYFUNCTION("GOOGLETRANSLATE(E5687,""fr"",""it"")"),"Amo le anatre, in particolare i cani.")</f>
        <v>Amo le anatre, in particolare i cani.</v>
      </c>
    </row>
    <row r="5688">
      <c r="A5688" s="4">
        <v>5686.0</v>
      </c>
      <c r="B5688" s="5" t="s">
        <v>17065</v>
      </c>
      <c r="C5688" s="4">
        <v>0.0</v>
      </c>
      <c r="D5688" s="5" t="s">
        <v>17066</v>
      </c>
      <c r="E5688" s="5" t="s">
        <v>17067</v>
      </c>
      <c r="F5688" s="6" t="str">
        <f>IFERROR(__xludf.DUMMYFUNCTION("GOOGLETRANSLATE(D5688,""en"",""it"")"),"Mi piacciono i cani, e più specificamente anatre.")</f>
        <v>Mi piacciono i cani, e più specificamente anatre.</v>
      </c>
      <c r="G5688" s="6" t="str">
        <f>IFERROR(__xludf.DUMMYFUNCTION("GOOGLETRANSLATE(E5688,""fr"",""it"")"),"Amo i cani, specialmente le anatre.")</f>
        <v>Amo i cani, specialmente le anatre.</v>
      </c>
    </row>
    <row r="5689">
      <c r="A5689" s="4">
        <v>5687.0</v>
      </c>
      <c r="B5689" s="5" t="s">
        <v>17068</v>
      </c>
      <c r="C5689" s="4">
        <v>0.0</v>
      </c>
      <c r="D5689" s="5" t="s">
        <v>17069</v>
      </c>
      <c r="E5689" s="5" t="s">
        <v>17070</v>
      </c>
      <c r="F5689" s="6" t="str">
        <f>IFERROR(__xludf.DUMMYFUNCTION("GOOGLETRANSLATE(D5689,""en"",""it"")"),"Mi piacciono i Blackbirds, e più specificamente gatti.")</f>
        <v>Mi piacciono i Blackbirds, e più specificamente gatti.</v>
      </c>
      <c r="G5689" s="6" t="str">
        <f>IFERROR(__xludf.DUMMYFUNCTION("GOOGLETRANSLATE(E5689,""fr"",""it"")"),"Adoro i muoi e più gatti in particolare.")</f>
        <v>Adoro i muoi e più gatti in particolare.</v>
      </c>
    </row>
    <row r="5690">
      <c r="A5690" s="4">
        <v>5688.0</v>
      </c>
      <c r="B5690" s="5" t="s">
        <v>17071</v>
      </c>
      <c r="C5690" s="4">
        <v>0.0</v>
      </c>
      <c r="D5690" s="5" t="s">
        <v>17072</v>
      </c>
      <c r="E5690" s="5" t="s">
        <v>17073</v>
      </c>
      <c r="F5690" s="6" t="str">
        <f>IFERROR(__xludf.DUMMYFUNCTION("GOOGLETRANSLATE(D5690,""en"",""it"")"),"Mi piacciono i gatti e più specificamente i nebubi.")</f>
        <v>Mi piacciono i gatti e più specificamente i nebubi.</v>
      </c>
      <c r="G5690" s="6" t="str">
        <f>IFERROR(__xludf.DUMMYFUNCTION("GOOGLETRANSLATE(E5690,""fr"",""it"")"),"Mi piacciono i gatti e più in particolare i morele.")</f>
        <v>Mi piacciono i gatti e più in particolare i morele.</v>
      </c>
    </row>
    <row r="5691">
      <c r="A5691" s="4">
        <v>5689.0</v>
      </c>
      <c r="B5691" s="5" t="s">
        <v>17074</v>
      </c>
      <c r="C5691" s="4">
        <v>0.0</v>
      </c>
      <c r="D5691" s="5" t="s">
        <v>17075</v>
      </c>
      <c r="E5691" s="5" t="s">
        <v>17076</v>
      </c>
      <c r="F5691" s="6" t="str">
        <f>IFERROR(__xludf.DUMMYFUNCTION("GOOGLETRANSLATE(D5691,""en"",""it"")"),"Mi piacciono i Blackbirds, e più specificamente uccelli.")</f>
        <v>Mi piacciono i Blackbirds, e più specificamente uccelli.</v>
      </c>
      <c r="G5691" s="6" t="str">
        <f>IFERROR(__xludf.DUMMYFUNCTION("GOOGLETRANSLATE(E5691,""fr"",""it"")"),"Amo i muoi, e più in particolare gli uccelli.")</f>
        <v>Amo i muoi, e più in particolare gli uccelli.</v>
      </c>
    </row>
    <row r="5692">
      <c r="A5692" s="4">
        <v>5690.0</v>
      </c>
      <c r="B5692" s="5" t="s">
        <v>17077</v>
      </c>
      <c r="C5692" s="4">
        <v>1.0</v>
      </c>
      <c r="D5692" s="5" t="s">
        <v>17078</v>
      </c>
      <c r="E5692" s="5" t="s">
        <v>17079</v>
      </c>
      <c r="F5692" s="6" t="str">
        <f>IFERROR(__xludf.DUMMYFUNCTION("GOOGLETRANSLATE(D5692,""en"",""it"")"),"Mi piacciono gli uccelli e più specificamente i nebubi.")</f>
        <v>Mi piacciono gli uccelli e più specificamente i nebubi.</v>
      </c>
      <c r="G5692" s="6" t="str">
        <f>IFERROR(__xludf.DUMMYFUNCTION("GOOGLETRANSLATE(E5692,""fr"",""it"")"),"Amo gli uccelli e più in particolare i morele.")</f>
        <v>Amo gli uccelli e più in particolare i morele.</v>
      </c>
    </row>
    <row r="5693">
      <c r="A5693" s="4">
        <v>5691.0</v>
      </c>
      <c r="B5693" s="5" t="s">
        <v>17080</v>
      </c>
      <c r="C5693" s="4">
        <v>0.0</v>
      </c>
      <c r="D5693" s="5" t="s">
        <v>17081</v>
      </c>
      <c r="E5693" s="5" t="s">
        <v>17082</v>
      </c>
      <c r="F5693" s="6" t="str">
        <f>IFERROR(__xludf.DUMMYFUNCTION("GOOGLETRANSLATE(D5693,""en"",""it"")"),"Mi piacciono i blackbirds, e più specificamente criceti.")</f>
        <v>Mi piacciono i blackbirds, e più specificamente criceti.</v>
      </c>
      <c r="G5693" s="6" t="str">
        <f>IFERROR(__xludf.DUMMYFUNCTION("GOOGLETRANSLATE(E5693,""fr"",""it"")"),"Adoro i Merles, in particolare i criceti.")</f>
        <v>Adoro i Merles, in particolare i criceti.</v>
      </c>
    </row>
    <row r="5694">
      <c r="A5694" s="4">
        <v>5692.0</v>
      </c>
      <c r="B5694" s="5" t="s">
        <v>17083</v>
      </c>
      <c r="C5694" s="4">
        <v>0.0</v>
      </c>
      <c r="D5694" s="5" t="s">
        <v>17084</v>
      </c>
      <c r="E5694" s="5" t="s">
        <v>17085</v>
      </c>
      <c r="F5694" s="6" t="str">
        <f>IFERROR(__xludf.DUMMYFUNCTION("GOOGLETRANSLATE(D5694,""en"",""it"")"),"Mi piacciono i criceti e più specificamente i nebubi.")</f>
        <v>Mi piacciono i criceti e più specificamente i nebubi.</v>
      </c>
      <c r="G5694" s="6" t="str">
        <f>IFERROR(__xludf.DUMMYFUNCTION("GOOGLETRANSLATE(E5694,""fr"",""it"")"),"Mi piacciono i criceti e più in particolare i morele.")</f>
        <v>Mi piacciono i criceti e più in particolare i morele.</v>
      </c>
    </row>
    <row r="5695">
      <c r="A5695" s="4">
        <v>5693.0</v>
      </c>
      <c r="B5695" s="5" t="s">
        <v>17086</v>
      </c>
      <c r="C5695" s="4">
        <v>0.0</v>
      </c>
      <c r="D5695" s="5" t="s">
        <v>17087</v>
      </c>
      <c r="E5695" s="5" t="s">
        <v>17088</v>
      </c>
      <c r="F5695" s="6" t="str">
        <f>IFERROR(__xludf.DUMMYFUNCTION("GOOGLETRANSLATE(D5695,""en"",""it"")"),"Mi piacciono i Blackbirds e più specificamente i maiali.")</f>
        <v>Mi piacciono i Blackbirds e più specificamente i maiali.</v>
      </c>
      <c r="G5695" s="6" t="str">
        <f>IFERROR(__xludf.DUMMYFUNCTION("GOOGLETRANSLATE(E5695,""fr"",""it"")"),"Adoro i morele e più in particolare i maiali.")</f>
        <v>Adoro i morele e più in particolare i maiali.</v>
      </c>
    </row>
    <row r="5696">
      <c r="A5696" s="4">
        <v>5694.0</v>
      </c>
      <c r="B5696" s="5" t="s">
        <v>17089</v>
      </c>
      <c r="C5696" s="4">
        <v>0.0</v>
      </c>
      <c r="D5696" s="5" t="s">
        <v>17090</v>
      </c>
      <c r="E5696" s="5" t="s">
        <v>17091</v>
      </c>
      <c r="F5696" s="6" t="str">
        <f>IFERROR(__xludf.DUMMYFUNCTION("GOOGLETRANSLATE(D5696,""en"",""it"")"),"Mi piacciono i maiali e più specificamente i merli.")</f>
        <v>Mi piacciono i maiali e più specificamente i merli.</v>
      </c>
      <c r="G5696" s="6" t="str">
        <f>IFERROR(__xludf.DUMMYFUNCTION("GOOGLETRANSLATE(E5696,""fr"",""it"")"),"Amo i maiali, e più in particolare i morele.")</f>
        <v>Amo i maiali, e più in particolare i morele.</v>
      </c>
    </row>
    <row r="5697">
      <c r="A5697" s="4">
        <v>5695.0</v>
      </c>
      <c r="B5697" s="5" t="s">
        <v>17092</v>
      </c>
      <c r="C5697" s="4">
        <v>0.0</v>
      </c>
      <c r="D5697" s="5" t="s">
        <v>17093</v>
      </c>
      <c r="E5697" s="5" t="s">
        <v>17094</v>
      </c>
      <c r="F5697" s="6" t="str">
        <f>IFERROR(__xludf.DUMMYFUNCTION("GOOGLETRANSLATE(D5697,""en"",""it"")"),"Mi piacciono i blackbirds, e più specificamente i cani.")</f>
        <v>Mi piacciono i blackbirds, e più specificamente i cani.</v>
      </c>
      <c r="G5697" s="6" t="str">
        <f>IFERROR(__xludf.DUMMYFUNCTION("GOOGLETRANSLATE(E5697,""fr"",""it"")"),"Amo i muoi, e più in particolare i cani.")</f>
        <v>Amo i muoi, e più in particolare i cani.</v>
      </c>
    </row>
    <row r="5698">
      <c r="A5698" s="4">
        <v>5696.0</v>
      </c>
      <c r="B5698" s="5" t="s">
        <v>17095</v>
      </c>
      <c r="C5698" s="4">
        <v>0.0</v>
      </c>
      <c r="D5698" s="5" t="s">
        <v>17096</v>
      </c>
      <c r="E5698" s="5" t="s">
        <v>17097</v>
      </c>
      <c r="F5698" s="6" t="str">
        <f>IFERROR(__xludf.DUMMYFUNCTION("GOOGLETRANSLATE(D5698,""en"",""it"")"),"Mi piacciono i cani e più specificamente i nebubi.")</f>
        <v>Mi piacciono i cani e più specificamente i nebubi.</v>
      </c>
      <c r="G5698" s="6" t="str">
        <f>IFERROR(__xludf.DUMMYFUNCTION("GOOGLETRANSLATE(E5698,""fr"",""it"")"),"Amo i cani e più in particolare i nebuni.")</f>
        <v>Amo i cani e più in particolare i nebuni.</v>
      </c>
    </row>
    <row r="5699">
      <c r="A5699" s="4">
        <v>5697.0</v>
      </c>
      <c r="B5699" s="5" t="s">
        <v>17098</v>
      </c>
      <c r="C5699" s="4">
        <v>0.0</v>
      </c>
      <c r="D5699" s="5" t="s">
        <v>17099</v>
      </c>
      <c r="E5699" s="5" t="s">
        <v>17100</v>
      </c>
      <c r="F5699" s="6" t="str">
        <f>IFERROR(__xludf.DUMMYFUNCTION("GOOGLETRANSLATE(D5699,""en"",""it"")"),"Mi piacciono i passeri e più specificamente gatti.")</f>
        <v>Mi piacciono i passeri e più specificamente gatti.</v>
      </c>
      <c r="G5699" s="6" t="str">
        <f>IFERROR(__xludf.DUMMYFUNCTION("GOOGLETRANSLATE(E5699,""fr"",""it"")"),"Amo i passeri, in particolare i gatti.")</f>
        <v>Amo i passeri, in particolare i gatti.</v>
      </c>
    </row>
    <row r="5700">
      <c r="A5700" s="4">
        <v>5698.0</v>
      </c>
      <c r="B5700" s="5" t="s">
        <v>17101</v>
      </c>
      <c r="C5700" s="4">
        <v>0.0</v>
      </c>
      <c r="D5700" s="5" t="s">
        <v>17102</v>
      </c>
      <c r="E5700" s="5" t="s">
        <v>17103</v>
      </c>
      <c r="F5700" s="6" t="str">
        <f>IFERROR(__xludf.DUMMYFUNCTION("GOOGLETRANSLATE(D5700,""en"",""it"")"),"Mi piacciono i gatti e più specificamente passeri.")</f>
        <v>Mi piacciono i gatti e più specificamente passeri.</v>
      </c>
      <c r="G5700" s="6" t="str">
        <f>IFERROR(__xludf.DUMMYFUNCTION("GOOGLETRANSLATE(E5700,""fr"",""it"")"),"Mi piacciono i gatti, in particolare i passeri.")</f>
        <v>Mi piacciono i gatti, in particolare i passeri.</v>
      </c>
    </row>
    <row r="5701">
      <c r="A5701" s="4">
        <v>5699.0</v>
      </c>
      <c r="B5701" s="5" t="s">
        <v>17104</v>
      </c>
      <c r="C5701" s="4">
        <v>0.0</v>
      </c>
      <c r="D5701" s="5" t="s">
        <v>17105</v>
      </c>
      <c r="E5701" s="5" t="s">
        <v>17106</v>
      </c>
      <c r="F5701" s="6" t="str">
        <f>IFERROR(__xludf.DUMMYFUNCTION("GOOGLETRANSLATE(D5701,""en"",""it"")"),"Mi piacciono i passeri e più specificamente gli uccelli.")</f>
        <v>Mi piacciono i passeri e più specificamente gli uccelli.</v>
      </c>
      <c r="G5701" s="6" t="str">
        <f>IFERROR(__xludf.DUMMYFUNCTION("GOOGLETRANSLATE(E5701,""fr"",""it"")"),"Amo i passeri, in particolare gli uccelli.")</f>
        <v>Amo i passeri, in particolare gli uccelli.</v>
      </c>
    </row>
    <row r="5702">
      <c r="A5702" s="4">
        <v>5700.0</v>
      </c>
      <c r="B5702" s="5" t="s">
        <v>17107</v>
      </c>
      <c r="C5702" s="4">
        <v>1.0</v>
      </c>
      <c r="D5702" s="5" t="s">
        <v>17108</v>
      </c>
      <c r="E5702" s="5" t="s">
        <v>17109</v>
      </c>
      <c r="F5702" s="6" t="str">
        <f>IFERROR(__xludf.DUMMYFUNCTION("GOOGLETRANSLATE(D5702,""en"",""it"")"),"Mi piacciono gli uccelli e più specificamente passeri.")</f>
        <v>Mi piacciono gli uccelli e più specificamente passeri.</v>
      </c>
      <c r="G5702" s="6" t="str">
        <f>IFERROR(__xludf.DUMMYFUNCTION("GOOGLETRANSLATE(E5702,""fr"",""it"")"),"Amo gli uccelli, in particolare i passeri.")</f>
        <v>Amo gli uccelli, in particolare i passeri.</v>
      </c>
    </row>
    <row r="5703">
      <c r="A5703" s="4">
        <v>5701.0</v>
      </c>
      <c r="B5703" s="5" t="s">
        <v>17110</v>
      </c>
      <c r="C5703" s="4">
        <v>0.0</v>
      </c>
      <c r="D5703" s="5" t="s">
        <v>17111</v>
      </c>
      <c r="E5703" s="5" t="s">
        <v>17112</v>
      </c>
      <c r="F5703" s="6" t="str">
        <f>IFERROR(__xludf.DUMMYFUNCTION("GOOGLETRANSLATE(D5703,""en"",""it"")"),"Mi piacciono i passeri, e più specificamente criceti.")</f>
        <v>Mi piacciono i passeri, e più specificamente criceti.</v>
      </c>
      <c r="G5703" s="6" t="str">
        <f>IFERROR(__xludf.DUMMYFUNCTION("GOOGLETRANSLATE(E5703,""fr"",""it"")"),"Amo i passeri, in particolare i criceti.")</f>
        <v>Amo i passeri, in particolare i criceti.</v>
      </c>
    </row>
    <row r="5704">
      <c r="A5704" s="4">
        <v>5702.0</v>
      </c>
      <c r="B5704" s="5" t="s">
        <v>17113</v>
      </c>
      <c r="C5704" s="4">
        <v>0.0</v>
      </c>
      <c r="D5704" s="5" t="s">
        <v>17114</v>
      </c>
      <c r="E5704" s="5" t="s">
        <v>17115</v>
      </c>
      <c r="F5704" s="6" t="str">
        <f>IFERROR(__xludf.DUMMYFUNCTION("GOOGLETRANSLATE(D5704,""en"",""it"")"),"Mi piacciono i criceti e più specificamente sparrows.")</f>
        <v>Mi piacciono i criceti e più specificamente sparrows.</v>
      </c>
      <c r="G5704" s="6" t="str">
        <f>IFERROR(__xludf.DUMMYFUNCTION("GOOGLETRANSLATE(E5704,""fr"",""it"")"),"Mi piacciono i criceti, in particolare i passeri.")</f>
        <v>Mi piacciono i criceti, in particolare i passeri.</v>
      </c>
    </row>
    <row r="5705">
      <c r="A5705" s="4">
        <v>5703.0</v>
      </c>
      <c r="B5705" s="5" t="s">
        <v>17116</v>
      </c>
      <c r="C5705" s="4">
        <v>0.0</v>
      </c>
      <c r="D5705" s="5" t="s">
        <v>17117</v>
      </c>
      <c r="E5705" s="5" t="s">
        <v>17118</v>
      </c>
      <c r="F5705" s="6" t="str">
        <f>IFERROR(__xludf.DUMMYFUNCTION("GOOGLETRANSLATE(D5705,""en"",""it"")"),"Mi piacciono i passeri e più specificamente i maiali.")</f>
        <v>Mi piacciono i passeri e più specificamente i maiali.</v>
      </c>
      <c r="G5705" s="6" t="str">
        <f>IFERROR(__xludf.DUMMYFUNCTION("GOOGLETRANSLATE(E5705,""fr"",""it"")"),"Amo i passeri, specialmente i maiali.")</f>
        <v>Amo i passeri, specialmente i maiali.</v>
      </c>
    </row>
    <row r="5706">
      <c r="A5706" s="4">
        <v>5704.0</v>
      </c>
      <c r="B5706" s="5" t="s">
        <v>17119</v>
      </c>
      <c r="C5706" s="4">
        <v>0.0</v>
      </c>
      <c r="D5706" s="5" t="s">
        <v>17120</v>
      </c>
      <c r="E5706" s="5" t="s">
        <v>17121</v>
      </c>
      <c r="F5706" s="6" t="str">
        <f>IFERROR(__xludf.DUMMYFUNCTION("GOOGLETRANSLATE(D5706,""en"",""it"")"),"Mi piacciono i maiali e più specificamente passeri.")</f>
        <v>Mi piacciono i maiali e più specificamente passeri.</v>
      </c>
      <c r="G5706" s="6" t="str">
        <f>IFERROR(__xludf.DUMMYFUNCTION("GOOGLETRANSLATE(E5706,""fr"",""it"")"),"Mi piacciono i maiali, specialmente i passeri.")</f>
        <v>Mi piacciono i maiali, specialmente i passeri.</v>
      </c>
    </row>
    <row r="5707">
      <c r="A5707" s="4">
        <v>5705.0</v>
      </c>
      <c r="B5707" s="5" t="s">
        <v>17122</v>
      </c>
      <c r="C5707" s="4">
        <v>0.0</v>
      </c>
      <c r="D5707" s="5" t="s">
        <v>17123</v>
      </c>
      <c r="E5707" s="5" t="s">
        <v>17124</v>
      </c>
      <c r="F5707" s="6" t="str">
        <f>IFERROR(__xludf.DUMMYFUNCTION("GOOGLETRANSLATE(D5707,""en"",""it"")"),"Mi piacciono i passeri e più specificamente i cani.")</f>
        <v>Mi piacciono i passeri e più specificamente i cani.</v>
      </c>
      <c r="G5707" s="6" t="str">
        <f>IFERROR(__xludf.DUMMYFUNCTION("GOOGLETRANSLATE(E5707,""fr"",""it"")"),"Amo i passeri, in particolare i cani.")</f>
        <v>Amo i passeri, in particolare i cani.</v>
      </c>
    </row>
    <row r="5708">
      <c r="A5708" s="4">
        <v>5706.0</v>
      </c>
      <c r="B5708" s="5" t="s">
        <v>17125</v>
      </c>
      <c r="C5708" s="4">
        <v>0.0</v>
      </c>
      <c r="D5708" s="5" t="s">
        <v>17126</v>
      </c>
      <c r="E5708" s="5" t="s">
        <v>17127</v>
      </c>
      <c r="F5708" s="6" t="str">
        <f>IFERROR(__xludf.DUMMYFUNCTION("GOOGLETRANSLATE(D5708,""en"",""it"")"),"Mi piacciono i cani e più specificamente sparrows.")</f>
        <v>Mi piacciono i cani e più specificamente sparrows.</v>
      </c>
      <c r="G5708" s="6" t="str">
        <f>IFERROR(__xludf.DUMMYFUNCTION("GOOGLETRANSLATE(E5708,""fr"",""it"")"),"Mi piacciono i cani, specialmente i passeri.")</f>
        <v>Mi piacciono i cani, specialmente i passeri.</v>
      </c>
    </row>
    <row r="5709">
      <c r="A5709" s="4">
        <v>5707.0</v>
      </c>
      <c r="B5709" s="5" t="s">
        <v>17128</v>
      </c>
      <c r="C5709" s="4">
        <v>0.0</v>
      </c>
      <c r="D5709" s="5" t="s">
        <v>17129</v>
      </c>
      <c r="E5709" s="5" t="s">
        <v>17130</v>
      </c>
      <c r="F5709" s="6" t="str">
        <f>IFERROR(__xludf.DUMMYFUNCTION("GOOGLETRANSLATE(D5709,""en"",""it"")"),"Mi piacciono i Bulldog, tranne i pappagalli.")</f>
        <v>Mi piacciono i Bulldog, tranne i pappagalli.</v>
      </c>
      <c r="G5709" s="6" t="str">
        <f>IFERROR(__xludf.DUMMYFUNCTION("GOOGLETRANSLATE(E5709,""fr"",""it"")"),"Amo i Bulldog, tranne i perroutqui.")</f>
        <v>Amo i Bulldog, tranne i perroutqui.</v>
      </c>
    </row>
    <row r="5710">
      <c r="A5710" s="4">
        <v>5708.0</v>
      </c>
      <c r="B5710" s="5" t="s">
        <v>17131</v>
      </c>
      <c r="C5710" s="4">
        <v>0.0</v>
      </c>
      <c r="D5710" s="5" t="s">
        <v>17132</v>
      </c>
      <c r="E5710" s="5" t="s">
        <v>17133</v>
      </c>
      <c r="F5710" s="6" t="str">
        <f>IFERROR(__xludf.DUMMYFUNCTION("GOOGLETRANSLATE(D5710,""en"",""it"")"),"Mi piacciono i pappagalli, tranne i bulldogs.")</f>
        <v>Mi piacciono i pappagalli, tranne i bulldogs.</v>
      </c>
      <c r="G5710" s="6" t="str">
        <f>IFERROR(__xludf.DUMMYFUNCTION("GOOGLETRANSLATE(E5710,""fr"",""it"")"),"Amo perrouches, tranne i bulldog.")</f>
        <v>Amo perrouches, tranne i bulldog.</v>
      </c>
    </row>
    <row r="5711">
      <c r="A5711" s="4">
        <v>5709.0</v>
      </c>
      <c r="B5711" s="5" t="s">
        <v>17134</v>
      </c>
      <c r="C5711" s="4">
        <v>0.0</v>
      </c>
      <c r="D5711" s="5" t="s">
        <v>17135</v>
      </c>
      <c r="E5711" s="5" t="s">
        <v>17136</v>
      </c>
      <c r="F5711" s="6" t="str">
        <f>IFERROR(__xludf.DUMMYFUNCTION("GOOGLETRANSLATE(D5711,""en"",""it"")"),"Mi piace Harley-Davidson, e più specificamente navi.")</f>
        <v>Mi piace Harley-Davidson, e più specificamente navi.</v>
      </c>
      <c r="G5711" s="6" t="str">
        <f>IFERROR(__xludf.DUMMYFUNCTION("GOOGLETRANSLATE(E5711,""fr"",""it"")"),"Mi piace l'Harley-Davidson, specialmente le navi.")</f>
        <v>Mi piace l'Harley-Davidson, specialmente le navi.</v>
      </c>
    </row>
    <row r="5712">
      <c r="A5712" s="4">
        <v>5710.0</v>
      </c>
      <c r="B5712" s="5" t="s">
        <v>17137</v>
      </c>
      <c r="C5712" s="4">
        <v>0.0</v>
      </c>
      <c r="D5712" s="5" t="s">
        <v>17138</v>
      </c>
      <c r="E5712" s="5" t="s">
        <v>17139</v>
      </c>
      <c r="F5712" s="6" t="str">
        <f>IFERROR(__xludf.DUMMYFUNCTION("GOOGLETRANSLATE(D5712,""en"",""it"")"),"Mi piacciono le navi e più specificamente Harley-Davidson.")</f>
        <v>Mi piacciono le navi e più specificamente Harley-Davidson.</v>
      </c>
      <c r="G5712" s="6" t="str">
        <f>IFERROR(__xludf.DUMMYFUNCTION("GOOGLETRANSLATE(E5712,""fr"",""it"")"),"Adoro le navi, specialmente l'Harley-Davidson.")</f>
        <v>Adoro le navi, specialmente l'Harley-Davidson.</v>
      </c>
    </row>
    <row r="5713">
      <c r="A5713" s="4">
        <v>5711.0</v>
      </c>
      <c r="B5713" s="5" t="s">
        <v>17140</v>
      </c>
      <c r="C5713" s="4">
        <v>0.0</v>
      </c>
      <c r="D5713" s="5" t="s">
        <v>17141</v>
      </c>
      <c r="E5713" s="5" t="s">
        <v>17142</v>
      </c>
      <c r="F5713" s="6" t="str">
        <f>IFERROR(__xludf.DUMMYFUNCTION("GOOGLETRANSLATE(D5713,""en"",""it"")"),"Mi piace Harley-Davidson, e più specificamente motocicli.")</f>
        <v>Mi piace Harley-Davidson, e più specificamente motocicli.</v>
      </c>
      <c r="G5713" s="6" t="str">
        <f>IFERROR(__xludf.DUMMYFUNCTION("GOOGLETRANSLATE(E5713,""fr"",""it"")"),"Mi piace Harley-Davidson, in particolare motocicli.")</f>
        <v>Mi piace Harley-Davidson, in particolare motocicli.</v>
      </c>
    </row>
    <row r="5714">
      <c r="A5714" s="4">
        <v>5712.0</v>
      </c>
      <c r="B5714" s="5" t="s">
        <v>17143</v>
      </c>
      <c r="C5714" s="4">
        <v>1.0</v>
      </c>
      <c r="D5714" s="5" t="s">
        <v>17144</v>
      </c>
      <c r="E5714" s="5" t="s">
        <v>17145</v>
      </c>
      <c r="F5714" s="6" t="str">
        <f>IFERROR(__xludf.DUMMYFUNCTION("GOOGLETRANSLATE(D5714,""en"",""it"")"),"Mi piacciono le motociclette e più specificamente harley-davidson.")</f>
        <v>Mi piacciono le motociclette e più specificamente harley-davidson.</v>
      </c>
      <c r="G5714" s="6" t="str">
        <f>IFERROR(__xludf.DUMMYFUNCTION("GOOGLETRANSLATE(E5714,""fr"",""it"")"),"Mi piacciono i motocicli, specialmente l'Harley-Davidson.")</f>
        <v>Mi piacciono i motocicli, specialmente l'Harley-Davidson.</v>
      </c>
    </row>
    <row r="5715">
      <c r="A5715" s="4">
        <v>5713.0</v>
      </c>
      <c r="B5715" s="5" t="s">
        <v>17146</v>
      </c>
      <c r="C5715" s="4">
        <v>0.0</v>
      </c>
      <c r="D5715" s="5" t="s">
        <v>17147</v>
      </c>
      <c r="E5715" s="5" t="s">
        <v>17148</v>
      </c>
      <c r="F5715" s="6" t="str">
        <f>IFERROR(__xludf.DUMMYFUNCTION("GOOGLETRANSLATE(D5715,""en"",""it"")"),"Mi piacciono le motociclette e più specificamente navi.")</f>
        <v>Mi piacciono le motociclette e più specificamente navi.</v>
      </c>
      <c r="G5715" s="6" t="str">
        <f>IFERROR(__xludf.DUMMYFUNCTION("GOOGLETRANSLATE(E5715,""fr"",""it"")"),"Mi piacciono le motociclette e più in particolare le navi.")</f>
        <v>Mi piacciono le motociclette e più in particolare le navi.</v>
      </c>
    </row>
    <row r="5716">
      <c r="A5716" s="4">
        <v>5714.0</v>
      </c>
      <c r="B5716" s="5" t="s">
        <v>17149</v>
      </c>
      <c r="C5716" s="4">
        <v>0.0</v>
      </c>
      <c r="D5716" s="5" t="s">
        <v>17150</v>
      </c>
      <c r="E5716" s="5" t="s">
        <v>17151</v>
      </c>
      <c r="F5716" s="6" t="str">
        <f>IFERROR(__xludf.DUMMYFUNCTION("GOOGLETRANSLATE(D5716,""en"",""it"")"),"Mi piace Harley-Davidson, e più specificamente biciclette.")</f>
        <v>Mi piace Harley-Davidson, e più specificamente biciclette.</v>
      </c>
      <c r="G5716" s="6" t="str">
        <f>IFERROR(__xludf.DUMMYFUNCTION("GOOGLETRANSLATE(E5716,""fr"",""it"")"),"Mi piace l'Harley-Davidson, in particolare le biciclette.")</f>
        <v>Mi piace l'Harley-Davidson, in particolare le biciclette.</v>
      </c>
    </row>
    <row r="5717">
      <c r="A5717" s="4">
        <v>5715.0</v>
      </c>
      <c r="B5717" s="5" t="s">
        <v>17152</v>
      </c>
      <c r="C5717" s="4">
        <v>0.0</v>
      </c>
      <c r="D5717" s="5" t="s">
        <v>17153</v>
      </c>
      <c r="E5717" s="5" t="s">
        <v>17154</v>
      </c>
      <c r="F5717" s="6" t="str">
        <f>IFERROR(__xludf.DUMMYFUNCTION("GOOGLETRANSLATE(D5717,""en"",""it"")"),"Mi piacciono le biciclette e più specificamente harley-davidson.")</f>
        <v>Mi piacciono le biciclette e più specificamente harley-davidson.</v>
      </c>
      <c r="G5717" s="6" t="str">
        <f>IFERROR(__xludf.DUMMYFUNCTION("GOOGLETRANSLATE(E5717,""fr"",""it"")"),"Amo le biciclette, specialmente l'Harley-Davidson.")</f>
        <v>Amo le biciclette, specialmente l'Harley-Davidson.</v>
      </c>
    </row>
    <row r="5718">
      <c r="A5718" s="4">
        <v>5716.0</v>
      </c>
      <c r="B5718" s="5" t="s">
        <v>17155</v>
      </c>
      <c r="C5718" s="4">
        <v>0.0</v>
      </c>
      <c r="D5718" s="5" t="s">
        <v>17156</v>
      </c>
      <c r="E5718" s="5" t="s">
        <v>17157</v>
      </c>
      <c r="F5718" s="6" t="str">
        <f>IFERROR(__xludf.DUMMYFUNCTION("GOOGLETRANSLATE(D5718,""en"",""it"")"),"Mi piacciono le motociclette e più specificamente biciclette.")</f>
        <v>Mi piacciono le motociclette e più specificamente biciclette.</v>
      </c>
      <c r="G5718" s="6" t="str">
        <f>IFERROR(__xludf.DUMMYFUNCTION("GOOGLETRANSLATE(E5718,""fr"",""it"")"),"Adoro le motociclette e più in particolare le biciclette.")</f>
        <v>Adoro le motociclette e più in particolare le biciclette.</v>
      </c>
    </row>
    <row r="5719">
      <c r="A5719" s="4">
        <v>5717.0</v>
      </c>
      <c r="B5719" s="5" t="s">
        <v>17158</v>
      </c>
      <c r="C5719" s="4">
        <v>0.0</v>
      </c>
      <c r="D5719" s="5" t="s">
        <v>17159</v>
      </c>
      <c r="E5719" s="5" t="s">
        <v>17160</v>
      </c>
      <c r="F5719" s="6" t="str">
        <f>IFERROR(__xludf.DUMMYFUNCTION("GOOGLETRANSLATE(D5719,""en"",""it"")"),"Mi piace Harley-Davidson, e più specificamente treni in particolare.")</f>
        <v>Mi piace Harley-Davidson, e più specificamente treni in particolare.</v>
      </c>
      <c r="G5719" s="6" t="str">
        <f>IFERROR(__xludf.DUMMYFUNCTION("GOOGLETRANSLATE(E5719,""fr"",""it"")"),"Mi piace l'Harley-Davidson, in particolare i treni.")</f>
        <v>Mi piace l'Harley-Davidson, in particolare i treni.</v>
      </c>
    </row>
    <row r="5720">
      <c r="A5720" s="4">
        <v>5718.0</v>
      </c>
      <c r="B5720" s="5" t="s">
        <v>17161</v>
      </c>
      <c r="C5720" s="4">
        <v>0.0</v>
      </c>
      <c r="D5720" s="5" t="s">
        <v>17162</v>
      </c>
      <c r="E5720" s="5" t="s">
        <v>17163</v>
      </c>
      <c r="F5720" s="6" t="str">
        <f>IFERROR(__xludf.DUMMYFUNCTION("GOOGLETRANSLATE(D5720,""en"",""it"")"),"Mi piacciono i treni e più specificamente harley-davidson.")</f>
        <v>Mi piacciono i treni e più specificamente harley-davidson.</v>
      </c>
      <c r="G5720" s="6" t="str">
        <f>IFERROR(__xludf.DUMMYFUNCTION("GOOGLETRANSLATE(E5720,""fr"",""it"")"),"Mi piacciono i treni, specialmente l'Harley-Davidson.")</f>
        <v>Mi piacciono i treni, specialmente l'Harley-Davidson.</v>
      </c>
    </row>
    <row r="5721">
      <c r="A5721" s="4">
        <v>5719.0</v>
      </c>
      <c r="B5721" s="5" t="s">
        <v>17164</v>
      </c>
      <c r="C5721" s="4">
        <v>0.0</v>
      </c>
      <c r="D5721" s="5" t="s">
        <v>17165</v>
      </c>
      <c r="E5721" s="5" t="s">
        <v>17166</v>
      </c>
      <c r="F5721" s="6" t="str">
        <f>IFERROR(__xludf.DUMMYFUNCTION("GOOGLETRANSLATE(D5721,""en"",""it"")"),"Mi piacciono i motocicli e più specificamente treni.")</f>
        <v>Mi piacciono i motocicli e più specificamente treni.</v>
      </c>
      <c r="G5721" s="6" t="str">
        <f>IFERROR(__xludf.DUMMYFUNCTION("GOOGLETRANSLATE(E5721,""fr"",""it"")"),"Amo i motocicli, in particolare i treni.")</f>
        <v>Amo i motocicli, in particolare i treni.</v>
      </c>
    </row>
    <row r="5722">
      <c r="A5722" s="4">
        <v>5720.0</v>
      </c>
      <c r="B5722" s="5" t="s">
        <v>17167</v>
      </c>
      <c r="C5722" s="4">
        <v>0.0</v>
      </c>
      <c r="D5722" s="5" t="s">
        <v>17168</v>
      </c>
      <c r="E5722" s="5" t="s">
        <v>17169</v>
      </c>
      <c r="F5722" s="6" t="str">
        <f>IFERROR(__xludf.DUMMYFUNCTION("GOOGLETRANSLATE(D5722,""en"",""it"")"),"Mi piace Harley-Davidson, e più specificamente aerei.")</f>
        <v>Mi piace Harley-Davidson, e più specificamente aerei.</v>
      </c>
      <c r="G5722" s="6" t="str">
        <f>IFERROR(__xludf.DUMMYFUNCTION("GOOGLETRANSLATE(E5722,""fr"",""it"")"),"Mi piace l'Harley-Davidson, in particolare gli aerei.")</f>
        <v>Mi piace l'Harley-Davidson, in particolare gli aerei.</v>
      </c>
    </row>
    <row r="5723">
      <c r="A5723" s="4">
        <v>5721.0</v>
      </c>
      <c r="B5723" s="5" t="s">
        <v>17170</v>
      </c>
      <c r="C5723" s="4">
        <v>0.0</v>
      </c>
      <c r="D5723" s="5" t="s">
        <v>17171</v>
      </c>
      <c r="E5723" s="5" t="s">
        <v>17172</v>
      </c>
      <c r="F5723" s="6" t="str">
        <f>IFERROR(__xludf.DUMMYFUNCTION("GOOGLETRANSLATE(D5723,""en"",""it"")"),"Mi piacciono gli aerei e più specificamente harley-davidson.")</f>
        <v>Mi piacciono gli aerei e più specificamente harley-davidson.</v>
      </c>
      <c r="G5723" s="6" t="str">
        <f>IFERROR(__xludf.DUMMYFUNCTION("GOOGLETRANSLATE(E5723,""fr"",""it"")"),"Mi piacciono gli aerei, specialmente l'Harley-Davidson.")</f>
        <v>Mi piacciono gli aerei, specialmente l'Harley-Davidson.</v>
      </c>
    </row>
    <row r="5724">
      <c r="A5724" s="4">
        <v>5722.0</v>
      </c>
      <c r="B5724" s="5" t="s">
        <v>17173</v>
      </c>
      <c r="C5724" s="4">
        <v>0.0</v>
      </c>
      <c r="D5724" s="5" t="s">
        <v>17174</v>
      </c>
      <c r="E5724" s="5" t="s">
        <v>17175</v>
      </c>
      <c r="F5724" s="6" t="str">
        <f>IFERROR(__xludf.DUMMYFUNCTION("GOOGLETRANSLATE(D5724,""en"",""it"")"),"Mi piacciono le motociclette e più specificamente aeroplani.")</f>
        <v>Mi piacciono le motociclette e più specificamente aeroplani.</v>
      </c>
      <c r="G5724" s="6" t="str">
        <f>IFERROR(__xludf.DUMMYFUNCTION("GOOGLETRANSLATE(E5724,""fr"",""it"")"),"Mi piacciono le motociclette e più piani in particolare.")</f>
        <v>Mi piacciono le motociclette e più piani in particolare.</v>
      </c>
    </row>
    <row r="5725">
      <c r="A5725" s="4">
        <v>5723.0</v>
      </c>
      <c r="B5725" s="5" t="s">
        <v>17176</v>
      </c>
      <c r="C5725" s="4">
        <v>0.0</v>
      </c>
      <c r="D5725" s="5" t="s">
        <v>17177</v>
      </c>
      <c r="E5725" s="5" t="s">
        <v>17178</v>
      </c>
      <c r="F5725" s="6" t="str">
        <f>IFERROR(__xludf.DUMMYFUNCTION("GOOGLETRANSLATE(D5725,""en"",""it"")"),"Mi piace Suzukis, e più specificamente navi.")</f>
        <v>Mi piace Suzukis, e più specificamente navi.</v>
      </c>
      <c r="G5725" s="6" t="str">
        <f>IFERROR(__xludf.DUMMYFUNCTION("GOOGLETRANSLATE(E5725,""fr"",""it"")"),"Mi piace Suzukis, e più in particolare le navi.")</f>
        <v>Mi piace Suzukis, e più in particolare le navi.</v>
      </c>
    </row>
    <row r="5726">
      <c r="A5726" s="4">
        <v>5724.0</v>
      </c>
      <c r="B5726" s="5" t="s">
        <v>17179</v>
      </c>
      <c r="C5726" s="4">
        <v>0.0</v>
      </c>
      <c r="D5726" s="5" t="s">
        <v>17180</v>
      </c>
      <c r="E5726" s="5" t="s">
        <v>17181</v>
      </c>
      <c r="F5726" s="6" t="str">
        <f>IFERROR(__xludf.DUMMYFUNCTION("GOOGLETRANSLATE(D5726,""en"",""it"")"),"Mi piacciono le navi e più specificamente suzukis.")</f>
        <v>Mi piacciono le navi e più specificamente suzukis.</v>
      </c>
      <c r="G5726" s="6" t="str">
        <f>IFERROR(__xludf.DUMMYFUNCTION("GOOGLETRANSLATE(E5726,""fr"",""it"")"),"Mi piacciono le navi, specialmente il Suzukis.")</f>
        <v>Mi piacciono le navi, specialmente il Suzukis.</v>
      </c>
    </row>
    <row r="5727">
      <c r="A5727" s="4">
        <v>5725.0</v>
      </c>
      <c r="B5727" s="5" t="s">
        <v>17182</v>
      </c>
      <c r="C5727" s="4">
        <v>0.0</v>
      </c>
      <c r="D5727" s="5" t="s">
        <v>17183</v>
      </c>
      <c r="E5727" s="5" t="s">
        <v>17184</v>
      </c>
      <c r="F5727" s="6" t="str">
        <f>IFERROR(__xludf.DUMMYFUNCTION("GOOGLETRANSLATE(D5727,""en"",""it"")"),"Mi piace Suzukis e più in particolare motocicli.")</f>
        <v>Mi piace Suzukis e più in particolare motocicli.</v>
      </c>
      <c r="G5727" s="6" t="str">
        <f>IFERROR(__xludf.DUMMYFUNCTION("GOOGLETRANSLATE(E5727,""fr"",""it"")"),"Mi piace Suzukis, in particolare motocicli.")</f>
        <v>Mi piace Suzukis, in particolare motocicli.</v>
      </c>
    </row>
    <row r="5728">
      <c r="A5728" s="4">
        <v>5726.0</v>
      </c>
      <c r="B5728" s="5" t="s">
        <v>17185</v>
      </c>
      <c r="C5728" s="4">
        <v>1.0</v>
      </c>
      <c r="D5728" s="5" t="s">
        <v>17186</v>
      </c>
      <c r="E5728" s="5" t="s">
        <v>17187</v>
      </c>
      <c r="F5728" s="6" t="str">
        <f>IFERROR(__xludf.DUMMYFUNCTION("GOOGLETRANSLATE(D5728,""en"",""it"")"),"Mi piacciono le motociclette e più specificamente suzukis.")</f>
        <v>Mi piacciono le motociclette e più specificamente suzukis.</v>
      </c>
      <c r="G5728" s="6" t="str">
        <f>IFERROR(__xludf.DUMMYFUNCTION("GOOGLETRANSLATE(E5728,""fr"",""it"")"),"Mi piacciono le motociclette e più in particolare il Suzukis.")</f>
        <v>Mi piacciono le motociclette e più in particolare il Suzukis.</v>
      </c>
    </row>
    <row r="5729">
      <c r="A5729" s="4">
        <v>5727.0</v>
      </c>
      <c r="B5729" s="5" t="s">
        <v>17188</v>
      </c>
      <c r="C5729" s="4">
        <v>0.0</v>
      </c>
      <c r="D5729" s="5" t="s">
        <v>17189</v>
      </c>
      <c r="E5729" s="5" t="s">
        <v>17190</v>
      </c>
      <c r="F5729" s="6" t="str">
        <f>IFERROR(__xludf.DUMMYFUNCTION("GOOGLETRANSLATE(D5729,""en"",""it"")"),"Mi piacciono Suzukis e più specificamente biciclette.")</f>
        <v>Mi piacciono Suzukis e più specificamente biciclette.</v>
      </c>
      <c r="G5729" s="6" t="str">
        <f>IFERROR(__xludf.DUMMYFUNCTION("GOOGLETRANSLATE(E5729,""fr"",""it"")"),"Mi piace Suzukis, in particolare le biciclette.")</f>
        <v>Mi piace Suzukis, in particolare le biciclette.</v>
      </c>
    </row>
    <row r="5730">
      <c r="A5730" s="4">
        <v>5728.0</v>
      </c>
      <c r="B5730" s="5" t="s">
        <v>17191</v>
      </c>
      <c r="C5730" s="4">
        <v>0.0</v>
      </c>
      <c r="D5730" s="5" t="s">
        <v>17192</v>
      </c>
      <c r="E5730" s="5" t="s">
        <v>17193</v>
      </c>
      <c r="F5730" s="6" t="str">
        <f>IFERROR(__xludf.DUMMYFUNCTION("GOOGLETRANSLATE(D5730,""en"",""it"")"),"Mi piacciono le biciclette e più specificamente suzukis.")</f>
        <v>Mi piacciono le biciclette e più specificamente suzukis.</v>
      </c>
      <c r="G5730" s="6" t="str">
        <f>IFERROR(__xludf.DUMMYFUNCTION("GOOGLETRANSLATE(E5730,""fr"",""it"")"),"Amo le biciclette, specialmente il Suzukis.")</f>
        <v>Amo le biciclette, specialmente il Suzukis.</v>
      </c>
    </row>
    <row r="5731">
      <c r="A5731" s="4">
        <v>5729.0</v>
      </c>
      <c r="B5731" s="5" t="s">
        <v>17194</v>
      </c>
      <c r="C5731" s="4">
        <v>0.0</v>
      </c>
      <c r="D5731" s="5" t="s">
        <v>17195</v>
      </c>
      <c r="E5731" s="5" t="s">
        <v>17196</v>
      </c>
      <c r="F5731" s="6" t="str">
        <f>IFERROR(__xludf.DUMMYFUNCTION("GOOGLETRANSLATE(D5731,""en"",""it"")"),"Mi piace Suzukis, e più specificamente treni.")</f>
        <v>Mi piace Suzukis, e più specificamente treni.</v>
      </c>
      <c r="G5731" s="6" t="str">
        <f>IFERROR(__xludf.DUMMYFUNCTION("GOOGLETRANSLATE(E5731,""fr"",""it"")"),"Mi piace Suzukis, in particolare i treni.")</f>
        <v>Mi piace Suzukis, in particolare i treni.</v>
      </c>
    </row>
    <row r="5732">
      <c r="A5732" s="4">
        <v>5730.0</v>
      </c>
      <c r="B5732" s="5" t="s">
        <v>17197</v>
      </c>
      <c r="C5732" s="4">
        <v>0.0</v>
      </c>
      <c r="D5732" s="5" t="s">
        <v>17198</v>
      </c>
      <c r="E5732" s="5" t="s">
        <v>17199</v>
      </c>
      <c r="F5732" s="6" t="str">
        <f>IFERROR(__xludf.DUMMYFUNCTION("GOOGLETRANSLATE(D5732,""en"",""it"")"),"Mi piacciono i treni e più specificamente suzukis.")</f>
        <v>Mi piacciono i treni e più specificamente suzukis.</v>
      </c>
      <c r="G5732" s="6" t="str">
        <f>IFERROR(__xludf.DUMMYFUNCTION("GOOGLETRANSLATE(E5732,""fr"",""it"")"),"Mi piacciono i treni, specialmente i Suzukis.")</f>
        <v>Mi piacciono i treni, specialmente i Suzukis.</v>
      </c>
    </row>
    <row r="5733">
      <c r="A5733" s="4">
        <v>5731.0</v>
      </c>
      <c r="B5733" s="5" t="s">
        <v>17200</v>
      </c>
      <c r="C5733" s="4">
        <v>0.0</v>
      </c>
      <c r="D5733" s="5" t="s">
        <v>17201</v>
      </c>
      <c r="E5733" s="5" t="s">
        <v>17202</v>
      </c>
      <c r="F5733" s="6" t="str">
        <f>IFERROR(__xludf.DUMMYFUNCTION("GOOGLETRANSLATE(D5733,""en"",""it"")"),"Mi piace Suzukis, e più specificamente aeroplani.")</f>
        <v>Mi piace Suzukis, e più specificamente aeroplani.</v>
      </c>
      <c r="G5733" s="6" t="str">
        <f>IFERROR(__xludf.DUMMYFUNCTION("GOOGLETRANSLATE(E5733,""fr"",""it"")"),"Mi piace Suzukis e più piani in particolare.")</f>
        <v>Mi piace Suzukis e più piani in particolare.</v>
      </c>
    </row>
    <row r="5734">
      <c r="A5734" s="4">
        <v>5732.0</v>
      </c>
      <c r="B5734" s="5" t="s">
        <v>17203</v>
      </c>
      <c r="C5734" s="4">
        <v>0.0</v>
      </c>
      <c r="D5734" s="5" t="s">
        <v>17204</v>
      </c>
      <c r="E5734" s="5" t="s">
        <v>17205</v>
      </c>
      <c r="F5734" s="6" t="str">
        <f>IFERROR(__xludf.DUMMYFUNCTION("GOOGLETRANSLATE(D5734,""en"",""it"")"),"Mi piacciono gli aerei e più specificamente suzukis.")</f>
        <v>Mi piacciono gli aerei e più specificamente suzukis.</v>
      </c>
      <c r="G5734" s="6" t="str">
        <f>IFERROR(__xludf.DUMMYFUNCTION("GOOGLETRANSLATE(E5734,""fr"",""it"")"),"Mi piacciono gli aerei, specialmente i Suzukis.")</f>
        <v>Mi piacciono gli aerei, specialmente i Suzukis.</v>
      </c>
    </row>
    <row r="5735">
      <c r="A5735" s="4">
        <v>5733.0</v>
      </c>
      <c r="B5735" s="5" t="s">
        <v>17206</v>
      </c>
      <c r="C5735" s="4">
        <v>0.0</v>
      </c>
      <c r="D5735" s="5" t="s">
        <v>17207</v>
      </c>
      <c r="E5735" s="5" t="s">
        <v>17208</v>
      </c>
      <c r="F5735" s="6" t="str">
        <f>IFERROR(__xludf.DUMMYFUNCTION("GOOGLETRANSLATE(D5735,""en"",""it"")"),"Mi piacciono Enduros, e più specificamente navi.")</f>
        <v>Mi piacciono Enduros, e più specificamente navi.</v>
      </c>
      <c r="G5735" s="6" t="str">
        <f>IFERROR(__xludf.DUMMYFUNCTION("GOOGLETRANSLATE(E5735,""fr"",""it"")"),"Adoro Enduros e più in particolare le navi.")</f>
        <v>Adoro Enduros e più in particolare le navi.</v>
      </c>
    </row>
    <row r="5736">
      <c r="A5736" s="4">
        <v>5734.0</v>
      </c>
      <c r="B5736" s="5" t="s">
        <v>17209</v>
      </c>
      <c r="C5736" s="4">
        <v>0.0</v>
      </c>
      <c r="D5736" s="5" t="s">
        <v>17210</v>
      </c>
      <c r="E5736" s="5" t="s">
        <v>17211</v>
      </c>
      <c r="F5736" s="6" t="str">
        <f>IFERROR(__xludf.DUMMYFUNCTION("GOOGLETRANSLATE(D5736,""en"",""it"")"),"Mi piacciono le navi e più specificamente enduroso.")</f>
        <v>Mi piacciono le navi e più specificamente enduroso.</v>
      </c>
      <c r="G5736" s="6" t="str">
        <f>IFERROR(__xludf.DUMMYFUNCTION("GOOGLETRANSLATE(E5736,""fr"",""it"")"),"Adoro le navi e più in particolare gli enduroso.")</f>
        <v>Adoro le navi e più in particolare gli enduroso.</v>
      </c>
    </row>
    <row r="5737">
      <c r="A5737" s="4">
        <v>5735.0</v>
      </c>
      <c r="B5737" s="5" t="s">
        <v>17212</v>
      </c>
      <c r="C5737" s="4">
        <v>0.0</v>
      </c>
      <c r="D5737" s="5" t="s">
        <v>17213</v>
      </c>
      <c r="E5737" s="5" t="s">
        <v>17214</v>
      </c>
      <c r="F5737" s="6" t="str">
        <f>IFERROR(__xludf.DUMMYFUNCTION("GOOGLETRANSLATE(D5737,""en"",""it"")"),"Mi piacciono Enduros, e più in particolare motocicli.")</f>
        <v>Mi piacciono Enduros, e più in particolare motocicli.</v>
      </c>
      <c r="G5737" s="6" t="str">
        <f>IFERROR(__xludf.DUMMYFUNCTION("GOOGLETRANSLATE(E5737,""fr"",""it"")"),"Adoro Enduros, in particolare motocicli.")</f>
        <v>Adoro Enduros, in particolare motocicli.</v>
      </c>
    </row>
    <row r="5738">
      <c r="A5738" s="4">
        <v>5736.0</v>
      </c>
      <c r="B5738" s="5" t="s">
        <v>17215</v>
      </c>
      <c r="C5738" s="4">
        <v>1.0</v>
      </c>
      <c r="D5738" s="5" t="s">
        <v>17216</v>
      </c>
      <c r="E5738" s="5" t="s">
        <v>17217</v>
      </c>
      <c r="F5738" s="6" t="str">
        <f>IFERROR(__xludf.DUMMYFUNCTION("GOOGLETRANSLATE(D5738,""en"",""it"")"),"Mi piacciono le motociclette e più specificamente enduroso.")</f>
        <v>Mi piacciono le motociclette e più specificamente enduroso.</v>
      </c>
      <c r="G5738" s="6" t="str">
        <f>IFERROR(__xludf.DUMMYFUNCTION("GOOGLETRANSLATE(E5738,""fr"",""it"")"),"Mi piacciono le motociclette e più in particolare gli enduroso.")</f>
        <v>Mi piacciono le motociclette e più in particolare gli enduroso.</v>
      </c>
    </row>
    <row r="5739">
      <c r="A5739" s="4">
        <v>5737.0</v>
      </c>
      <c r="B5739" s="5" t="s">
        <v>17218</v>
      </c>
      <c r="C5739" s="4">
        <v>0.0</v>
      </c>
      <c r="D5739" s="5" t="s">
        <v>17219</v>
      </c>
      <c r="E5739" s="5" t="s">
        <v>17220</v>
      </c>
      <c r="F5739" s="6" t="str">
        <f>IFERROR(__xludf.DUMMYFUNCTION("GOOGLETRANSLATE(D5739,""en"",""it"")"),"Mi piacciono gli Enduros, e più specificamente biciclette.")</f>
        <v>Mi piacciono gli Enduros, e più specificamente biciclette.</v>
      </c>
      <c r="G5739" s="6" t="str">
        <f>IFERROR(__xludf.DUMMYFUNCTION("GOOGLETRANSLATE(E5739,""fr"",""it"")"),"Adoro Enduros, e più in particolare le biciclette.")</f>
        <v>Adoro Enduros, e più in particolare le biciclette.</v>
      </c>
    </row>
    <row r="5740">
      <c r="A5740" s="4">
        <v>5738.0</v>
      </c>
      <c r="B5740" s="5" t="s">
        <v>17221</v>
      </c>
      <c r="C5740" s="4">
        <v>0.0</v>
      </c>
      <c r="D5740" s="5" t="s">
        <v>17222</v>
      </c>
      <c r="E5740" s="5" t="s">
        <v>17223</v>
      </c>
      <c r="F5740" s="6" t="str">
        <f>IFERROR(__xludf.DUMMYFUNCTION("GOOGLETRANSLATE(D5740,""en"",""it"")"),"Mi piacciono le biciclette e più specificamente enduroso.")</f>
        <v>Mi piacciono le biciclette e più specificamente enduroso.</v>
      </c>
      <c r="G5740" s="6" t="str">
        <f>IFERROR(__xludf.DUMMYFUNCTION("GOOGLETRANSLATE(E5740,""fr"",""it"")"),"Amo le biciclette e più in particolare gli enduroso.")</f>
        <v>Amo le biciclette e più in particolare gli enduroso.</v>
      </c>
    </row>
    <row r="5741">
      <c r="A5741" s="4">
        <v>5739.0</v>
      </c>
      <c r="B5741" s="5" t="s">
        <v>17224</v>
      </c>
      <c r="C5741" s="4">
        <v>0.0</v>
      </c>
      <c r="D5741" s="5" t="s">
        <v>17225</v>
      </c>
      <c r="E5741" s="5" t="s">
        <v>17226</v>
      </c>
      <c r="F5741" s="6" t="str">
        <f>IFERROR(__xludf.DUMMYFUNCTION("GOOGLETRANSLATE(D5741,""en"",""it"")"),"Mi piacciono gli Enduros, e più specificamente treni.")</f>
        <v>Mi piacciono gli Enduros, e più specificamente treni.</v>
      </c>
      <c r="G5741" s="6" t="str">
        <f>IFERROR(__xludf.DUMMYFUNCTION("GOOGLETRANSLATE(E5741,""fr"",""it"")"),"Adoro Endurus, in particolare i treni.")</f>
        <v>Adoro Endurus, in particolare i treni.</v>
      </c>
    </row>
    <row r="5742">
      <c r="A5742" s="4">
        <v>5740.0</v>
      </c>
      <c r="B5742" s="5" t="s">
        <v>17227</v>
      </c>
      <c r="C5742" s="4">
        <v>0.0</v>
      </c>
      <c r="D5742" s="5" t="s">
        <v>17228</v>
      </c>
      <c r="E5742" s="5" t="s">
        <v>17229</v>
      </c>
      <c r="F5742" s="6" t="str">
        <f>IFERROR(__xludf.DUMMYFUNCTION("GOOGLETRANSLATE(D5742,""en"",""it"")"),"Mi piacciono i treni e più specificamente enduroso.")</f>
        <v>Mi piacciono i treni e più specificamente enduroso.</v>
      </c>
      <c r="G5742" s="6" t="str">
        <f>IFERROR(__xludf.DUMMYFUNCTION("GOOGLETRANSLATE(E5742,""fr"",""it"")"),"Mi piacciono i treni, specialmente gli enduroso.")</f>
        <v>Mi piacciono i treni, specialmente gli enduroso.</v>
      </c>
    </row>
    <row r="5743">
      <c r="A5743" s="4">
        <v>5741.0</v>
      </c>
      <c r="B5743" s="5" t="s">
        <v>17230</v>
      </c>
      <c r="C5743" s="4">
        <v>0.0</v>
      </c>
      <c r="D5743" s="5" t="s">
        <v>17231</v>
      </c>
      <c r="E5743" s="5" t="s">
        <v>17232</v>
      </c>
      <c r="F5743" s="6" t="str">
        <f>IFERROR(__xludf.DUMMYFUNCTION("GOOGLETRANSLATE(D5743,""en"",""it"")"),"Mi piacciono Enduros, e più specificamente aerei.")</f>
        <v>Mi piacciono Enduros, e più specificamente aerei.</v>
      </c>
      <c r="G5743" s="6" t="str">
        <f>IFERROR(__xludf.DUMMYFUNCTION("GOOGLETRANSLATE(E5743,""fr"",""it"")"),"Adoro Enduros e più pianifichi in particolare.")</f>
        <v>Adoro Enduros e più pianifichi in particolare.</v>
      </c>
    </row>
    <row r="5744">
      <c r="A5744" s="4">
        <v>5742.0</v>
      </c>
      <c r="B5744" s="5" t="s">
        <v>17233</v>
      </c>
      <c r="C5744" s="4">
        <v>0.0</v>
      </c>
      <c r="D5744" s="5" t="s">
        <v>17234</v>
      </c>
      <c r="E5744" s="5" t="s">
        <v>17235</v>
      </c>
      <c r="F5744" s="6" t="str">
        <f>IFERROR(__xludf.DUMMYFUNCTION("GOOGLETRANSLATE(D5744,""en"",""it"")"),"Mi piacciono gli aerei e più specificamente enduroso.")</f>
        <v>Mi piacciono gli aerei e più specificamente enduroso.</v>
      </c>
      <c r="G5744" s="6" t="str">
        <f>IFERROR(__xludf.DUMMYFUNCTION("GOOGLETRANSLATE(E5744,""fr"",""it"")"),"Mi piacciono gli aerei e più in particolare gli enduroso.")</f>
        <v>Mi piacciono gli aerei e più in particolare gli enduroso.</v>
      </c>
    </row>
    <row r="5745">
      <c r="A5745" s="4">
        <v>5743.0</v>
      </c>
      <c r="B5745" s="5" t="s">
        <v>17236</v>
      </c>
      <c r="C5745" s="4">
        <v>0.0</v>
      </c>
      <c r="D5745" s="5" t="s">
        <v>17237</v>
      </c>
      <c r="E5745" s="5" t="s">
        <v>17238</v>
      </c>
      <c r="F5745" s="6" t="str">
        <f>IFERROR(__xludf.DUMMYFUNCTION("GOOGLETRANSLATE(D5745,""en"",""it"")"),"Mi piacciono Kawasakis e più specificamente navi.")</f>
        <v>Mi piacciono Kawasakis e più specificamente navi.</v>
      </c>
      <c r="G5745" s="6" t="str">
        <f>IFERROR(__xludf.DUMMYFUNCTION("GOOGLETRANSLATE(E5745,""fr"",""it"")"),"Mi piace Kawasakis, specialmente le navi.")</f>
        <v>Mi piace Kawasakis, specialmente le navi.</v>
      </c>
    </row>
    <row r="5746">
      <c r="A5746" s="4">
        <v>5744.0</v>
      </c>
      <c r="B5746" s="5" t="s">
        <v>17239</v>
      </c>
      <c r="C5746" s="4">
        <v>0.0</v>
      </c>
      <c r="D5746" s="5" t="s">
        <v>17240</v>
      </c>
      <c r="E5746" s="5" t="s">
        <v>17241</v>
      </c>
      <c r="F5746" s="6" t="str">
        <f>IFERROR(__xludf.DUMMYFUNCTION("GOOGLETRANSLATE(D5746,""en"",""it"")"),"Mi piacciono le navi e più specificamente Kawasakis.")</f>
        <v>Mi piacciono le navi e più specificamente Kawasakis.</v>
      </c>
      <c r="G5746" s="6" t="str">
        <f>IFERROR(__xludf.DUMMYFUNCTION("GOOGLETRANSLATE(E5746,""fr"",""it"")"),"Adoro le navi, specialmente il Kawasakis.")</f>
        <v>Adoro le navi, specialmente il Kawasakis.</v>
      </c>
    </row>
    <row r="5747">
      <c r="A5747" s="4">
        <v>5745.0</v>
      </c>
      <c r="B5747" s="5" t="s">
        <v>17242</v>
      </c>
      <c r="C5747" s="4">
        <v>0.0</v>
      </c>
      <c r="D5747" s="5" t="s">
        <v>17243</v>
      </c>
      <c r="E5747" s="5" t="s">
        <v>17244</v>
      </c>
      <c r="F5747" s="6" t="str">
        <f>IFERROR(__xludf.DUMMYFUNCTION("GOOGLETRANSLATE(D5747,""en"",""it"")"),"Mi piacciono Kawasakis e più specificamente motocicli.")</f>
        <v>Mi piacciono Kawasakis e più specificamente motocicli.</v>
      </c>
      <c r="G5747" s="6" t="str">
        <f>IFERROR(__xludf.DUMMYFUNCTION("GOOGLETRANSLATE(E5747,""fr"",""it"")"),"Amo Kawasakis, in particolare motocicli.")</f>
        <v>Amo Kawasakis, in particolare motocicli.</v>
      </c>
    </row>
    <row r="5748">
      <c r="A5748" s="4">
        <v>5746.0</v>
      </c>
      <c r="B5748" s="5" t="s">
        <v>17245</v>
      </c>
      <c r="C5748" s="4">
        <v>1.0</v>
      </c>
      <c r="D5748" s="5" t="s">
        <v>17246</v>
      </c>
      <c r="E5748" s="5" t="s">
        <v>17247</v>
      </c>
      <c r="F5748" s="6" t="str">
        <f>IFERROR(__xludf.DUMMYFUNCTION("GOOGLETRANSLATE(D5748,""en"",""it"")"),"Mi piacciono le motociclette e più specificamente kawasakis.")</f>
        <v>Mi piacciono le motociclette e più specificamente kawasakis.</v>
      </c>
      <c r="G5748" s="6" t="str">
        <f>IFERROR(__xludf.DUMMYFUNCTION("GOOGLETRANSLATE(E5748,""fr"",""it"")"),"Adoro le motociclette, in particolare Kawasakis.")</f>
        <v>Adoro le motociclette, in particolare Kawasakis.</v>
      </c>
    </row>
    <row r="5749">
      <c r="A5749" s="4">
        <v>5747.0</v>
      </c>
      <c r="B5749" s="5" t="s">
        <v>17248</v>
      </c>
      <c r="C5749" s="4">
        <v>0.0</v>
      </c>
      <c r="D5749" s="5" t="s">
        <v>17249</v>
      </c>
      <c r="E5749" s="5" t="s">
        <v>17250</v>
      </c>
      <c r="F5749" s="6" t="str">
        <f>IFERROR(__xludf.DUMMYFUNCTION("GOOGLETRANSLATE(D5749,""en"",""it"")"),"Mi piacciono Kawasakis e più specificamente biciclette.")</f>
        <v>Mi piacciono Kawasakis e più specificamente biciclette.</v>
      </c>
      <c r="G5749" s="6" t="str">
        <f>IFERROR(__xludf.DUMMYFUNCTION("GOOGLETRANSLATE(E5749,""fr"",""it"")"),"Amo Kawasakis, in particolare le biciclette.")</f>
        <v>Amo Kawasakis, in particolare le biciclette.</v>
      </c>
    </row>
    <row r="5750">
      <c r="A5750" s="4">
        <v>5748.0</v>
      </c>
      <c r="B5750" s="5" t="s">
        <v>17251</v>
      </c>
      <c r="C5750" s="4">
        <v>0.0</v>
      </c>
      <c r="D5750" s="5" t="s">
        <v>17252</v>
      </c>
      <c r="E5750" s="5" t="s">
        <v>17253</v>
      </c>
      <c r="F5750" s="6" t="str">
        <f>IFERROR(__xludf.DUMMYFUNCTION("GOOGLETRANSLATE(D5750,""en"",""it"")"),"Mi piacciono le biciclette e più specificamente Kawasakis.")</f>
        <v>Mi piacciono le biciclette e più specificamente Kawasakis.</v>
      </c>
      <c r="G5750" s="6" t="str">
        <f>IFERROR(__xludf.DUMMYFUNCTION("GOOGLETRANSLATE(E5750,""fr"",""it"")"),"Amo le biciclette, in particolare Kawasakis.")</f>
        <v>Amo le biciclette, in particolare Kawasakis.</v>
      </c>
    </row>
    <row r="5751">
      <c r="A5751" s="4">
        <v>5749.0</v>
      </c>
      <c r="B5751" s="5" t="s">
        <v>17254</v>
      </c>
      <c r="C5751" s="4">
        <v>0.0</v>
      </c>
      <c r="D5751" s="5" t="s">
        <v>17255</v>
      </c>
      <c r="E5751" s="5" t="s">
        <v>17256</v>
      </c>
      <c r="F5751" s="6" t="str">
        <f>IFERROR(__xludf.DUMMYFUNCTION("GOOGLETRANSLATE(D5751,""en"",""it"")"),"Mi piace Kawasakis e più specificamente treni.")</f>
        <v>Mi piace Kawasakis e più specificamente treni.</v>
      </c>
      <c r="G5751" s="6" t="str">
        <f>IFERROR(__xludf.DUMMYFUNCTION("GOOGLETRANSLATE(E5751,""fr"",""it"")"),"Mi piace Kawasakis, in particolare i treni.")</f>
        <v>Mi piace Kawasakis, in particolare i treni.</v>
      </c>
    </row>
    <row r="5752">
      <c r="A5752" s="4">
        <v>5750.0</v>
      </c>
      <c r="B5752" s="5" t="s">
        <v>17257</v>
      </c>
      <c r="C5752" s="4">
        <v>0.0</v>
      </c>
      <c r="D5752" s="5" t="s">
        <v>17258</v>
      </c>
      <c r="E5752" s="5" t="s">
        <v>17259</v>
      </c>
      <c r="F5752" s="6" t="str">
        <f>IFERROR(__xludf.DUMMYFUNCTION("GOOGLETRANSLATE(D5752,""en"",""it"")"),"Mi piacciono i treni e più specificamente Kawasakis.")</f>
        <v>Mi piacciono i treni e più specificamente Kawasakis.</v>
      </c>
      <c r="G5752" s="6" t="str">
        <f>IFERROR(__xludf.DUMMYFUNCTION("GOOGLETRANSLATE(E5752,""fr"",""it"")"),"Mi piacciono i treni, in particolare il kawasakis.")</f>
        <v>Mi piacciono i treni, in particolare il kawasakis.</v>
      </c>
    </row>
    <row r="5753">
      <c r="A5753" s="4">
        <v>5751.0</v>
      </c>
      <c r="B5753" s="5" t="s">
        <v>17260</v>
      </c>
      <c r="C5753" s="4">
        <v>0.0</v>
      </c>
      <c r="D5753" s="5" t="s">
        <v>17261</v>
      </c>
      <c r="E5753" s="5" t="s">
        <v>17262</v>
      </c>
      <c r="F5753" s="6" t="str">
        <f>IFERROR(__xludf.DUMMYFUNCTION("GOOGLETRANSLATE(D5753,""en"",""it"")"),"Mi piacciono Kawasakis e più aeroplani in particolare.")</f>
        <v>Mi piacciono Kawasakis e più aeroplani in particolare.</v>
      </c>
      <c r="G5753" s="6" t="str">
        <f>IFERROR(__xludf.DUMMYFUNCTION("GOOGLETRANSLATE(E5753,""fr"",""it"")"),"Mi piacciono Kawasakis, in particolare gli aerei.")</f>
        <v>Mi piacciono Kawasakis, in particolare gli aerei.</v>
      </c>
    </row>
    <row r="5754">
      <c r="A5754" s="4">
        <v>5752.0</v>
      </c>
      <c r="B5754" s="5" t="s">
        <v>17263</v>
      </c>
      <c r="C5754" s="4">
        <v>0.0</v>
      </c>
      <c r="D5754" s="5" t="s">
        <v>17264</v>
      </c>
      <c r="E5754" s="5" t="s">
        <v>17265</v>
      </c>
      <c r="F5754" s="6" t="str">
        <f>IFERROR(__xludf.DUMMYFUNCTION("GOOGLETRANSLATE(D5754,""en"",""it"")"),"Mi piacciono gli aerei e più specificamente Kawasakis.")</f>
        <v>Mi piacciono gli aerei e più specificamente Kawasakis.</v>
      </c>
      <c r="G5754" s="6" t="str">
        <f>IFERROR(__xludf.DUMMYFUNCTION("GOOGLETRANSLATE(E5754,""fr"",""it"")"),"Mi piacciono gli aerei, in particolare Kawasakis.")</f>
        <v>Mi piacciono gli aerei, in particolare Kawasakis.</v>
      </c>
    </row>
    <row r="5755">
      <c r="A5755" s="4">
        <v>5753.0</v>
      </c>
      <c r="B5755" s="5" t="s">
        <v>17266</v>
      </c>
      <c r="C5755" s="4">
        <v>0.0</v>
      </c>
      <c r="D5755" s="5" t="s">
        <v>17267</v>
      </c>
      <c r="E5755" s="5" t="s">
        <v>17268</v>
      </c>
      <c r="F5755" s="6" t="str">
        <f>IFERROR(__xludf.DUMMYFUNCTION("GOOGLETRANSLATE(D5755,""en"",""it"")"),"Mi piacciono le camicie, tranne le scarpe.")</f>
        <v>Mi piacciono le camicie, tranne le scarpe.</v>
      </c>
      <c r="G5755" s="6" t="str">
        <f>IFERROR(__xludf.DUMMYFUNCTION("GOOGLETRANSLATE(E5755,""fr"",""it"")"),"Mi piacciono le camicie, tranne le scarpe.")</f>
        <v>Mi piacciono le camicie, tranne le scarpe.</v>
      </c>
    </row>
    <row r="5756">
      <c r="A5756" s="4">
        <v>5754.0</v>
      </c>
      <c r="B5756" s="5" t="s">
        <v>17269</v>
      </c>
      <c r="C5756" s="4">
        <v>0.0</v>
      </c>
      <c r="D5756" s="5" t="s">
        <v>17270</v>
      </c>
      <c r="E5756" s="5" t="s">
        <v>17271</v>
      </c>
      <c r="F5756" s="6" t="str">
        <f>IFERROR(__xludf.DUMMYFUNCTION("GOOGLETRANSLATE(D5756,""en"",""it"")"),"Mi piacciono le camicie e più specificamente animali domestici.")</f>
        <v>Mi piacciono le camicie e più specificamente animali domestici.</v>
      </c>
      <c r="G5756" s="6" t="str">
        <f>IFERROR(__xludf.DUMMYFUNCTION("GOOGLETRANSLATE(E5756,""fr"",""it"")"),"Mi piacciono le camicie, specialmente gli animali domestici.")</f>
        <v>Mi piacciono le camicie, specialmente gli animali domestici.</v>
      </c>
    </row>
    <row r="5757">
      <c r="A5757" s="4">
        <v>5755.0</v>
      </c>
      <c r="B5757" s="5" t="s">
        <v>17272</v>
      </c>
      <c r="C5757" s="4">
        <v>0.0</v>
      </c>
      <c r="D5757" s="5" t="s">
        <v>17273</v>
      </c>
      <c r="E5757" s="5" t="s">
        <v>17274</v>
      </c>
      <c r="F5757" s="6" t="str">
        <f>IFERROR(__xludf.DUMMYFUNCTION("GOOGLETRANSLATE(D5757,""en"",""it"")"),"Mi piacciono gli animali domestici e più specificamente camicie.")</f>
        <v>Mi piacciono gli animali domestici e più specificamente camicie.</v>
      </c>
      <c r="G5757" s="6" t="str">
        <f>IFERROR(__xludf.DUMMYFUNCTION("GOOGLETRANSLATE(E5757,""fr"",""it"")"),"Amo gli animali domestici, e più in particolare le camicie.")</f>
        <v>Amo gli animali domestici, e più in particolare le camicie.</v>
      </c>
    </row>
    <row r="5758">
      <c r="A5758" s="4">
        <v>5756.0</v>
      </c>
      <c r="B5758" s="5" t="s">
        <v>17275</v>
      </c>
      <c r="C5758" s="4">
        <v>0.0</v>
      </c>
      <c r="D5758" s="5" t="s">
        <v>17276</v>
      </c>
      <c r="E5758" s="5" t="s">
        <v>17277</v>
      </c>
      <c r="F5758" s="6" t="str">
        <f>IFERROR(__xludf.DUMMYFUNCTION("GOOGLETRANSLATE(D5758,""en"",""it"")"),"Mi piacciono le camicie e più specificamente vestiti.")</f>
        <v>Mi piacciono le camicie e più specificamente vestiti.</v>
      </c>
      <c r="G5758" s="6" t="str">
        <f>IFERROR(__xludf.DUMMYFUNCTION("GOOGLETRANSLATE(E5758,""fr"",""it"")"),"Mi piacciono le camicie e più vestiti in particolare.")</f>
        <v>Mi piacciono le camicie e più vestiti in particolare.</v>
      </c>
    </row>
    <row r="5759">
      <c r="A5759" s="4">
        <v>5757.0</v>
      </c>
      <c r="B5759" s="5" t="s">
        <v>17278</v>
      </c>
      <c r="C5759" s="4">
        <v>1.0</v>
      </c>
      <c r="D5759" s="5" t="s">
        <v>17279</v>
      </c>
      <c r="E5759" s="5" t="s">
        <v>17280</v>
      </c>
      <c r="F5759" s="6" t="str">
        <f>IFERROR(__xludf.DUMMYFUNCTION("GOOGLETRANSLATE(D5759,""en"",""it"")"),"Mi piacciono i vestiti e più chiare specificamente.")</f>
        <v>Mi piacciono i vestiti e più chiare specificamente.</v>
      </c>
      <c r="G5759" s="6" t="str">
        <f>IFERROR(__xludf.DUMMYFUNCTION("GOOGLETRANSLATE(E5759,""fr"",""it"")"),"Mi piacciono i vestiti e più in particolare le camicie.")</f>
        <v>Mi piacciono i vestiti e più in particolare le camicie.</v>
      </c>
    </row>
    <row r="5760">
      <c r="A5760" s="4">
        <v>5758.0</v>
      </c>
      <c r="B5760" s="5" t="s">
        <v>17281</v>
      </c>
      <c r="C5760" s="4">
        <v>0.0</v>
      </c>
      <c r="D5760" s="5" t="s">
        <v>17282</v>
      </c>
      <c r="E5760" s="5" t="s">
        <v>17283</v>
      </c>
      <c r="F5760" s="6" t="str">
        <f>IFERROR(__xludf.DUMMYFUNCTION("GOOGLETRANSLATE(D5760,""en"",""it"")"),"Mi piacciono i vestiti, e più specificamente animali domestici.")</f>
        <v>Mi piacciono i vestiti, e più specificamente animali domestici.</v>
      </c>
      <c r="G5760" s="6" t="str">
        <f>IFERROR(__xludf.DUMMYFUNCTION("GOOGLETRANSLATE(E5760,""fr"",""it"")"),"Mi piacciono i vestiti, specialmente gli animali domestici.")</f>
        <v>Mi piacciono i vestiti, specialmente gli animali domestici.</v>
      </c>
    </row>
    <row r="5761">
      <c r="A5761" s="4">
        <v>5759.0</v>
      </c>
      <c r="B5761" s="5" t="s">
        <v>17284</v>
      </c>
      <c r="C5761" s="4">
        <v>0.0</v>
      </c>
      <c r="D5761" s="5" t="s">
        <v>17285</v>
      </c>
      <c r="E5761" s="5" t="s">
        <v>17286</v>
      </c>
      <c r="F5761" s="6" t="str">
        <f>IFERROR(__xludf.DUMMYFUNCTION("GOOGLETRANSLATE(D5761,""en"",""it"")"),"Mi piacciono le camicie e più specificamente gioielli.")</f>
        <v>Mi piacciono le camicie e più specificamente gioielli.</v>
      </c>
      <c r="G5761" s="6" t="str">
        <f>IFERROR(__xludf.DUMMYFUNCTION("GOOGLETRANSLATE(E5761,""fr"",""it"")"),"Mi piacciono le camicie, soprattutto gioielli.")</f>
        <v>Mi piacciono le camicie, soprattutto gioielli.</v>
      </c>
    </row>
    <row r="5762">
      <c r="A5762" s="4">
        <v>5760.0</v>
      </c>
      <c r="B5762" s="5" t="s">
        <v>17287</v>
      </c>
      <c r="C5762" s="4">
        <v>0.0</v>
      </c>
      <c r="D5762" s="5" t="s">
        <v>17288</v>
      </c>
      <c r="E5762" s="5" t="s">
        <v>17289</v>
      </c>
      <c r="F5762" s="6" t="str">
        <f>IFERROR(__xludf.DUMMYFUNCTION("GOOGLETRANSLATE(D5762,""en"",""it"")"),"Mi piacciono i gioielli e le camicie più specificamente.")</f>
        <v>Mi piacciono i gioielli e le camicie più specificamente.</v>
      </c>
      <c r="G5762" s="6" t="str">
        <f>IFERROR(__xludf.DUMMYFUNCTION("GOOGLETRANSLATE(E5762,""fr"",""it"")"),"Mi piacciono i gioielli e più in particolare le camicie.")</f>
        <v>Mi piacciono i gioielli e più in particolare le camicie.</v>
      </c>
    </row>
    <row r="5763">
      <c r="A5763" s="4">
        <v>5761.0</v>
      </c>
      <c r="B5763" s="5" t="s">
        <v>17290</v>
      </c>
      <c r="C5763" s="4">
        <v>0.0</v>
      </c>
      <c r="D5763" s="5" t="s">
        <v>17291</v>
      </c>
      <c r="E5763" s="5" t="s">
        <v>17292</v>
      </c>
      <c r="F5763" s="6" t="str">
        <f>IFERROR(__xludf.DUMMYFUNCTION("GOOGLETRANSLATE(D5763,""en"",""it"")"),"Mi piacciono le scarpe, eccetto le camicie.")</f>
        <v>Mi piacciono le scarpe, eccetto le camicie.</v>
      </c>
      <c r="G5763" s="6" t="str">
        <f>IFERROR(__xludf.DUMMYFUNCTION("GOOGLETRANSLATE(E5763,""fr"",""it"")"),"Adoro le scarpe tranne le camicie.")</f>
        <v>Adoro le scarpe tranne le camicie.</v>
      </c>
    </row>
    <row r="5764">
      <c r="A5764" s="4">
        <v>5762.0</v>
      </c>
      <c r="B5764" s="5" t="s">
        <v>17293</v>
      </c>
      <c r="C5764" s="4">
        <v>0.0</v>
      </c>
      <c r="D5764" s="5" t="s">
        <v>17294</v>
      </c>
      <c r="E5764" s="5" t="s">
        <v>17295</v>
      </c>
      <c r="F5764" s="6" t="str">
        <f>IFERROR(__xludf.DUMMYFUNCTION("GOOGLETRANSLATE(D5764,""en"",""it"")"),"Mi piacciono i vestiti, e più specificamente gioielli.")</f>
        <v>Mi piacciono i vestiti, e più specificamente gioielli.</v>
      </c>
      <c r="G5764" s="6" t="str">
        <f>IFERROR(__xludf.DUMMYFUNCTION("GOOGLETRANSLATE(E5764,""fr"",""it"")"),"Mi piacciono i vestiti, in particolare i gioielli.")</f>
        <v>Mi piacciono i vestiti, in particolare i gioielli.</v>
      </c>
    </row>
    <row r="5765">
      <c r="A5765" s="4">
        <v>5763.0</v>
      </c>
      <c r="B5765" s="5" t="s">
        <v>17296</v>
      </c>
      <c r="C5765" s="4">
        <v>0.0</v>
      </c>
      <c r="D5765" s="5" t="s">
        <v>17297</v>
      </c>
      <c r="E5765" s="5" t="s">
        <v>17298</v>
      </c>
      <c r="F5765" s="6" t="str">
        <f>IFERROR(__xludf.DUMMYFUNCTION("GOOGLETRANSLATE(D5765,""en"",""it"")"),"Mi piacciono le camicie e più specificamente occhiali.")</f>
        <v>Mi piacciono le camicie e più specificamente occhiali.</v>
      </c>
      <c r="G5765" s="6" t="str">
        <f>IFERROR(__xludf.DUMMYFUNCTION("GOOGLETRANSLATE(E5765,""fr"",""it"")"),"Mi piacciono le camicie e più in particolare gli occhiali.")</f>
        <v>Mi piacciono le camicie e più in particolare gli occhiali.</v>
      </c>
    </row>
    <row r="5766">
      <c r="A5766" s="4">
        <v>5764.0</v>
      </c>
      <c r="B5766" s="5" t="s">
        <v>17299</v>
      </c>
      <c r="C5766" s="4">
        <v>0.0</v>
      </c>
      <c r="D5766" s="5" t="s">
        <v>17300</v>
      </c>
      <c r="E5766" s="5" t="s">
        <v>17301</v>
      </c>
      <c r="F5766" s="6" t="str">
        <f>IFERROR(__xludf.DUMMYFUNCTION("GOOGLETRANSLATE(D5766,""en"",""it"")"),"Mi piacciono gli occhiali e le camicie più specificamente.")</f>
        <v>Mi piacciono gli occhiali e le camicie più specificamente.</v>
      </c>
      <c r="G5766" s="6" t="str">
        <f>IFERROR(__xludf.DUMMYFUNCTION("GOOGLETRANSLATE(E5766,""fr"",""it"")"),"Amo gli occhiali e più in particolare le camicie.")</f>
        <v>Amo gli occhiali e più in particolare le camicie.</v>
      </c>
    </row>
    <row r="5767">
      <c r="A5767" s="4">
        <v>5765.0</v>
      </c>
      <c r="B5767" s="5" t="s">
        <v>17302</v>
      </c>
      <c r="C5767" s="4">
        <v>0.0</v>
      </c>
      <c r="D5767" s="5" t="s">
        <v>17303</v>
      </c>
      <c r="E5767" s="5" t="s">
        <v>17304</v>
      </c>
      <c r="F5767" s="6" t="str">
        <f>IFERROR(__xludf.DUMMYFUNCTION("GOOGLETRANSLATE(D5767,""en"",""it"")"),"Mi piacciono i vestiti e più specificamente occhiali.")</f>
        <v>Mi piacciono i vestiti e più specificamente occhiali.</v>
      </c>
      <c r="G5767" s="6" t="str">
        <f>IFERROR(__xludf.DUMMYFUNCTION("GOOGLETRANSLATE(E5767,""fr"",""it"")"),"Mi piacciono i vestiti e più in particolare gli occhiali.")</f>
        <v>Mi piacciono i vestiti e più in particolare gli occhiali.</v>
      </c>
    </row>
    <row r="5768">
      <c r="A5768" s="4">
        <v>5766.0</v>
      </c>
      <c r="B5768" s="5" t="s">
        <v>17305</v>
      </c>
      <c r="C5768" s="4">
        <v>0.0</v>
      </c>
      <c r="D5768" s="5" t="s">
        <v>17306</v>
      </c>
      <c r="E5768" s="5" t="s">
        <v>17307</v>
      </c>
      <c r="F5768" s="6" t="str">
        <f>IFERROR(__xludf.DUMMYFUNCTION("GOOGLETRANSLATE(D5768,""en"",""it"")"),"Mi piacciono le camicie e più precisamente orecchini.")</f>
        <v>Mi piacciono le camicie e più precisamente orecchini.</v>
      </c>
      <c r="G5768" s="6" t="str">
        <f>IFERROR(__xludf.DUMMYFUNCTION("GOOGLETRANSLATE(E5768,""fr"",""it"")"),"Mi piacciono le camicie e più particolarmente gli orecchini.")</f>
        <v>Mi piacciono le camicie e più particolarmente gli orecchini.</v>
      </c>
    </row>
    <row r="5769">
      <c r="A5769" s="4">
        <v>5767.0</v>
      </c>
      <c r="B5769" s="5" t="s">
        <v>17308</v>
      </c>
      <c r="C5769" s="4">
        <v>0.0</v>
      </c>
      <c r="D5769" s="5" t="s">
        <v>17309</v>
      </c>
      <c r="E5769" s="5" t="s">
        <v>17310</v>
      </c>
      <c r="F5769" s="6" t="str">
        <f>IFERROR(__xludf.DUMMYFUNCTION("GOOGLETRANSLATE(D5769,""en"",""it"")"),"Mi piacciono gli orecchini e le camicie più specificamente.")</f>
        <v>Mi piacciono gli orecchini e le camicie più specificamente.</v>
      </c>
      <c r="G5769" s="6" t="str">
        <f>IFERROR(__xludf.DUMMYFUNCTION("GOOGLETRANSLATE(E5769,""fr"",""it"")"),"Mi piacciono gli orecchini, e più in particolare le camicie.")</f>
        <v>Mi piacciono gli orecchini, e più in particolare le camicie.</v>
      </c>
    </row>
    <row r="5770">
      <c r="A5770" s="4">
        <v>5768.0</v>
      </c>
      <c r="B5770" s="5" t="s">
        <v>17311</v>
      </c>
      <c r="C5770" s="4">
        <v>0.0</v>
      </c>
      <c r="D5770" s="5" t="s">
        <v>17312</v>
      </c>
      <c r="E5770" s="5" t="s">
        <v>17313</v>
      </c>
      <c r="F5770" s="6" t="str">
        <f>IFERROR(__xludf.DUMMYFUNCTION("GOOGLETRANSLATE(D5770,""en"",""it"")"),"Mi piacciono le camicie, tranne i vestiti.")</f>
        <v>Mi piacciono le camicie, tranne i vestiti.</v>
      </c>
      <c r="G5770" s="6" t="str">
        <f>IFERROR(__xludf.DUMMYFUNCTION("GOOGLETRANSLATE(E5770,""fr"",""it"")"),"Mi piacciono le camicie, tranne i vestiti.")</f>
        <v>Mi piacciono le camicie, tranne i vestiti.</v>
      </c>
    </row>
    <row r="5771">
      <c r="A5771" s="4">
        <v>5769.0</v>
      </c>
      <c r="B5771" s="5" t="s">
        <v>17314</v>
      </c>
      <c r="C5771" s="4">
        <v>0.0</v>
      </c>
      <c r="D5771" s="5" t="s">
        <v>17315</v>
      </c>
      <c r="E5771" s="5" t="s">
        <v>17316</v>
      </c>
      <c r="F5771" s="6" t="str">
        <f>IFERROR(__xludf.DUMMYFUNCTION("GOOGLETRANSLATE(D5771,""en"",""it"")"),"Mi piacciono i vestiti, e più specificamente orecchini.")</f>
        <v>Mi piacciono i vestiti, e più specificamente orecchini.</v>
      </c>
      <c r="G5771" s="6" t="str">
        <f>IFERROR(__xludf.DUMMYFUNCTION("GOOGLETRANSLATE(E5771,""fr"",""it"")"),"Mi piacciono i vestiti e più in particolare gli orecchini.")</f>
        <v>Mi piacciono i vestiti e più in particolare gli orecchini.</v>
      </c>
    </row>
    <row r="5772">
      <c r="A5772" s="4">
        <v>5770.0</v>
      </c>
      <c r="B5772" s="5" t="s">
        <v>17317</v>
      </c>
      <c r="C5772" s="4">
        <v>1.0</v>
      </c>
      <c r="D5772" s="5" t="s">
        <v>17318</v>
      </c>
      <c r="E5772" s="5" t="s">
        <v>17319</v>
      </c>
      <c r="F5772" s="6" t="str">
        <f>IFERROR(__xludf.DUMMYFUNCTION("GOOGLETRANSLATE(D5772,""en"",""it"")"),"Mi piacciono i vestiti, tranne le camicie.")</f>
        <v>Mi piacciono i vestiti, tranne le camicie.</v>
      </c>
      <c r="G5772" s="6" t="str">
        <f>IFERROR(__xludf.DUMMYFUNCTION("GOOGLETRANSLATE(E5772,""fr"",""it"")"),"Mi piacciono i vestiti, tranne le camicie.")</f>
        <v>Mi piacciono i vestiti, tranne le camicie.</v>
      </c>
    </row>
    <row r="5773">
      <c r="A5773" s="4">
        <v>5771.0</v>
      </c>
      <c r="B5773" s="5" t="s">
        <v>17320</v>
      </c>
      <c r="C5773" s="4">
        <v>0.0</v>
      </c>
      <c r="D5773" s="5" t="s">
        <v>17321</v>
      </c>
      <c r="E5773" s="5" t="s">
        <v>17322</v>
      </c>
      <c r="F5773" s="6" t="str">
        <f>IFERROR(__xludf.DUMMYFUNCTION("GOOGLETRANSLATE(D5773,""en"",""it"")"),"Mi piacciono i vestiti, tranne le scarpe.")</f>
        <v>Mi piacciono i vestiti, tranne le scarpe.</v>
      </c>
      <c r="G5773" s="6" t="str">
        <f>IFERROR(__xludf.DUMMYFUNCTION("GOOGLETRANSLATE(E5773,""fr"",""it"")"),"Mi piacciono i vestiti tranne le scarpe.")</f>
        <v>Mi piacciono i vestiti tranne le scarpe.</v>
      </c>
    </row>
    <row r="5774">
      <c r="A5774" s="4">
        <v>5772.0</v>
      </c>
      <c r="B5774" s="5" t="s">
        <v>17323</v>
      </c>
      <c r="C5774" s="4">
        <v>0.0</v>
      </c>
      <c r="D5774" s="5" t="s">
        <v>17324</v>
      </c>
      <c r="E5774" s="5" t="s">
        <v>17325</v>
      </c>
      <c r="F5774" s="6" t="str">
        <f>IFERROR(__xludf.DUMMYFUNCTION("GOOGLETRANSLATE(D5774,""en"",""it"")"),"Mi piacciono i pantaloni e più specificamente animali domestici.")</f>
        <v>Mi piacciono i pantaloni e più specificamente animali domestici.</v>
      </c>
      <c r="G5774" s="6" t="str">
        <f>IFERROR(__xludf.DUMMYFUNCTION("GOOGLETRANSLATE(E5774,""fr"",""it"")"),"Mi piacciono i pantaloni, specialmente gli animali domestici.")</f>
        <v>Mi piacciono i pantaloni, specialmente gli animali domestici.</v>
      </c>
    </row>
    <row r="5775">
      <c r="A5775" s="4">
        <v>5773.0</v>
      </c>
      <c r="B5775" s="5" t="s">
        <v>17326</v>
      </c>
      <c r="C5775" s="4">
        <v>0.0</v>
      </c>
      <c r="D5775" s="5" t="s">
        <v>17327</v>
      </c>
      <c r="E5775" s="5" t="s">
        <v>17328</v>
      </c>
      <c r="F5775" s="6" t="str">
        <f>IFERROR(__xludf.DUMMYFUNCTION("GOOGLETRANSLATE(D5775,""en"",""it"")"),"Mi piacciono gli animali domestici e più specificamente pantaloni.")</f>
        <v>Mi piacciono gli animali domestici e più specificamente pantaloni.</v>
      </c>
      <c r="G5775" s="6" t="str">
        <f>IFERROR(__xludf.DUMMYFUNCTION("GOOGLETRANSLATE(E5775,""fr"",""it"")"),"Amo gli animali domestici, e più in particolare i pantaloni.")</f>
        <v>Amo gli animali domestici, e più in particolare i pantaloni.</v>
      </c>
    </row>
    <row r="5776">
      <c r="A5776" s="4">
        <v>5774.0</v>
      </c>
      <c r="B5776" s="5" t="s">
        <v>17329</v>
      </c>
      <c r="C5776" s="4">
        <v>0.0</v>
      </c>
      <c r="D5776" s="5" t="s">
        <v>17330</v>
      </c>
      <c r="E5776" s="5" t="s">
        <v>17331</v>
      </c>
      <c r="F5776" s="6" t="str">
        <f>IFERROR(__xludf.DUMMYFUNCTION("GOOGLETRANSLATE(D5776,""en"",""it"")"),"Mi piacciono i pantaloni, e più specificamente vestiti.")</f>
        <v>Mi piacciono i pantaloni, e più specificamente vestiti.</v>
      </c>
      <c r="G5776" s="6" t="str">
        <f>IFERROR(__xludf.DUMMYFUNCTION("GOOGLETRANSLATE(E5776,""fr"",""it"")"),"Mi piacciono i pantaloni e più vestiti in particolare.")</f>
        <v>Mi piacciono i pantaloni e più vestiti in particolare.</v>
      </c>
    </row>
    <row r="5777">
      <c r="A5777" s="4">
        <v>5775.0</v>
      </c>
      <c r="B5777" s="5" t="s">
        <v>17332</v>
      </c>
      <c r="C5777" s="4">
        <v>1.0</v>
      </c>
      <c r="D5777" s="5" t="s">
        <v>17333</v>
      </c>
      <c r="E5777" s="5" t="s">
        <v>17334</v>
      </c>
      <c r="F5777" s="6" t="str">
        <f>IFERROR(__xludf.DUMMYFUNCTION("GOOGLETRANSLATE(D5777,""en"",""it"")"),"Mi piacciono i vestiti e più specificamente pantaloni.")</f>
        <v>Mi piacciono i vestiti e più specificamente pantaloni.</v>
      </c>
      <c r="G5777" s="6" t="str">
        <f>IFERROR(__xludf.DUMMYFUNCTION("GOOGLETRANSLATE(E5777,""fr"",""it"")"),"Mi piacciono i vestiti e più in particolare i pantaloni.")</f>
        <v>Mi piacciono i vestiti e più in particolare i pantaloni.</v>
      </c>
    </row>
    <row r="5778">
      <c r="A5778" s="4">
        <v>5776.0</v>
      </c>
      <c r="B5778" s="5" t="s">
        <v>17335</v>
      </c>
      <c r="C5778" s="4">
        <v>0.0</v>
      </c>
      <c r="D5778" s="5" t="s">
        <v>17336</v>
      </c>
      <c r="E5778" s="5" t="s">
        <v>17337</v>
      </c>
      <c r="F5778" s="6" t="str">
        <f>IFERROR(__xludf.DUMMYFUNCTION("GOOGLETRANSLATE(D5778,""en"",""it"")"),"Mi piacciono i pantaloni e più specificamente gioielli.")</f>
        <v>Mi piacciono i pantaloni e più specificamente gioielli.</v>
      </c>
      <c r="G5778" s="6" t="str">
        <f>IFERROR(__xludf.DUMMYFUNCTION("GOOGLETRANSLATE(E5778,""fr"",""it"")"),"Mi piacciono i pantaloni, in particolare i gioielli.")</f>
        <v>Mi piacciono i pantaloni, in particolare i gioielli.</v>
      </c>
    </row>
    <row r="5779">
      <c r="A5779" s="4">
        <v>5777.0</v>
      </c>
      <c r="B5779" s="5" t="s">
        <v>17338</v>
      </c>
      <c r="C5779" s="4">
        <v>0.0</v>
      </c>
      <c r="D5779" s="5" t="s">
        <v>17339</v>
      </c>
      <c r="E5779" s="5" t="s">
        <v>17340</v>
      </c>
      <c r="F5779" s="6" t="str">
        <f>IFERROR(__xludf.DUMMYFUNCTION("GOOGLETRANSLATE(D5779,""en"",""it"")"),"Mi piacciono i gioielli, e più specificamente pantaloni.")</f>
        <v>Mi piacciono i gioielli, e più specificamente pantaloni.</v>
      </c>
      <c r="G5779" s="6" t="str">
        <f>IFERROR(__xludf.DUMMYFUNCTION("GOOGLETRANSLATE(E5779,""fr"",""it"")"),"Mi piacciono i gioielli e più in particolare i pantaloni.")</f>
        <v>Mi piacciono i gioielli e più in particolare i pantaloni.</v>
      </c>
    </row>
    <row r="5780">
      <c r="A5780" s="4">
        <v>5778.0</v>
      </c>
      <c r="B5780" s="5" t="s">
        <v>17341</v>
      </c>
      <c r="C5780" s="4">
        <v>0.0</v>
      </c>
      <c r="D5780" s="5" t="s">
        <v>17342</v>
      </c>
      <c r="E5780" s="5" t="s">
        <v>17343</v>
      </c>
      <c r="F5780" s="6" t="str">
        <f>IFERROR(__xludf.DUMMYFUNCTION("GOOGLETRANSLATE(D5780,""en"",""it"")"),"Mi piacciono le camicie, tranne i gioielli.")</f>
        <v>Mi piacciono le camicie, tranne i gioielli.</v>
      </c>
      <c r="G5780" s="6" t="str">
        <f>IFERROR(__xludf.DUMMYFUNCTION("GOOGLETRANSLATE(E5780,""fr"",""it"")"),"Mi piacciono le camicie, tranne i gioielli.")</f>
        <v>Mi piacciono le camicie, tranne i gioielli.</v>
      </c>
    </row>
    <row r="5781">
      <c r="A5781" s="4">
        <v>5779.0</v>
      </c>
      <c r="B5781" s="5" t="s">
        <v>17344</v>
      </c>
      <c r="C5781" s="4">
        <v>0.0</v>
      </c>
      <c r="D5781" s="5" t="s">
        <v>17345</v>
      </c>
      <c r="E5781" s="5" t="s">
        <v>17346</v>
      </c>
      <c r="F5781" s="6" t="str">
        <f>IFERROR(__xludf.DUMMYFUNCTION("GOOGLETRANSLATE(D5781,""en"",""it"")"),"Mi piacciono i pantaloni e più appositamente occhiali.")</f>
        <v>Mi piacciono i pantaloni e più appositamente occhiali.</v>
      </c>
      <c r="G5781" s="6" t="str">
        <f>IFERROR(__xludf.DUMMYFUNCTION("GOOGLETRANSLATE(E5781,""fr"",""it"")"),"Mi piacciono i pantaloni, e più in particolare gli occhiali.")</f>
        <v>Mi piacciono i pantaloni, e più in particolare gli occhiali.</v>
      </c>
    </row>
    <row r="5782">
      <c r="A5782" s="4">
        <v>5780.0</v>
      </c>
      <c r="B5782" s="5" t="s">
        <v>17347</v>
      </c>
      <c r="C5782" s="4">
        <v>0.0</v>
      </c>
      <c r="D5782" s="5" t="s">
        <v>17348</v>
      </c>
      <c r="E5782" s="5" t="s">
        <v>17349</v>
      </c>
      <c r="F5782" s="6" t="str">
        <f>IFERROR(__xludf.DUMMYFUNCTION("GOOGLETRANSLATE(D5782,""en"",""it"")"),"Mi piacciono gli occhiali e più specificamente pantaloni.")</f>
        <v>Mi piacciono gli occhiali e più specificamente pantaloni.</v>
      </c>
      <c r="G5782" s="6" t="str">
        <f>IFERROR(__xludf.DUMMYFUNCTION("GOOGLETRANSLATE(E5782,""fr"",""it"")"),"Mi piacciono gli occhiali e più in particolare i pantaloni.")</f>
        <v>Mi piacciono gli occhiali e più in particolare i pantaloni.</v>
      </c>
    </row>
    <row r="5783">
      <c r="A5783" s="4">
        <v>5781.0</v>
      </c>
      <c r="B5783" s="5" t="s">
        <v>17350</v>
      </c>
      <c r="C5783" s="4">
        <v>0.0</v>
      </c>
      <c r="D5783" s="5" t="s">
        <v>17351</v>
      </c>
      <c r="E5783" s="5" t="s">
        <v>17352</v>
      </c>
      <c r="F5783" s="6" t="str">
        <f>IFERROR(__xludf.DUMMYFUNCTION("GOOGLETRANSLATE(D5783,""en"",""it"")"),"Mi piacciono i pantaloni e gli orecchini più specificamente.")</f>
        <v>Mi piacciono i pantaloni e gli orecchini più specificamente.</v>
      </c>
      <c r="G5783" s="6" t="str">
        <f>IFERROR(__xludf.DUMMYFUNCTION("GOOGLETRANSLATE(E5783,""fr"",""it"")"),"Mi piacciono i pantaloni e più in particolare gli orecchini.")</f>
        <v>Mi piacciono i pantaloni e più in particolare gli orecchini.</v>
      </c>
    </row>
    <row r="5784">
      <c r="A5784" s="4">
        <v>5782.0</v>
      </c>
      <c r="B5784" s="5" t="s">
        <v>17353</v>
      </c>
      <c r="C5784" s="4">
        <v>0.0</v>
      </c>
      <c r="D5784" s="5" t="s">
        <v>17354</v>
      </c>
      <c r="E5784" s="5" t="s">
        <v>17355</v>
      </c>
      <c r="F5784" s="6" t="str">
        <f>IFERROR(__xludf.DUMMYFUNCTION("GOOGLETRANSLATE(D5784,""en"",""it"")"),"Mi piacciono gli orecchini, e più specificamente pantaloni.")</f>
        <v>Mi piacciono gli orecchini, e più specificamente pantaloni.</v>
      </c>
      <c r="G5784" s="6" t="str">
        <f>IFERROR(__xludf.DUMMYFUNCTION("GOOGLETRANSLATE(E5784,""fr"",""it"")"),"Mi piacciono gli orecchini, e più in particolare i pantaloni.")</f>
        <v>Mi piacciono gli orecchini, e più in particolare i pantaloni.</v>
      </c>
    </row>
    <row r="5785">
      <c r="A5785" s="4">
        <v>5783.0</v>
      </c>
      <c r="B5785" s="5" t="s">
        <v>17356</v>
      </c>
      <c r="C5785" s="4">
        <v>0.0</v>
      </c>
      <c r="D5785" s="5" t="s">
        <v>17357</v>
      </c>
      <c r="E5785" s="5" t="s">
        <v>17358</v>
      </c>
      <c r="F5785" s="6" t="str">
        <f>IFERROR(__xludf.DUMMYFUNCTION("GOOGLETRANSLATE(D5785,""en"",""it"")"),"Mi piacciono i gioielli, eccetto le camicie.")</f>
        <v>Mi piacciono i gioielli, eccetto le camicie.</v>
      </c>
      <c r="G5785" s="6" t="str">
        <f>IFERROR(__xludf.DUMMYFUNCTION("GOOGLETRANSLATE(E5785,""fr"",""it"")"),"Amo i gioielli tranne le camicie.")</f>
        <v>Amo i gioielli tranne le camicie.</v>
      </c>
    </row>
    <row r="5786">
      <c r="A5786" s="4">
        <v>5784.0</v>
      </c>
      <c r="B5786" s="5" t="s">
        <v>17359</v>
      </c>
      <c r="C5786" s="4">
        <v>0.0</v>
      </c>
      <c r="D5786" s="5" t="s">
        <v>17360</v>
      </c>
      <c r="E5786" s="5" t="s">
        <v>17361</v>
      </c>
      <c r="F5786" s="6" t="str">
        <f>IFERROR(__xludf.DUMMYFUNCTION("GOOGLETRANSLATE(D5786,""en"",""it"")"),"Mi piacciono i Bulldog, tranne i conigli.")</f>
        <v>Mi piacciono i Bulldog, tranne i conigli.</v>
      </c>
      <c r="G5786" s="6" t="str">
        <f>IFERROR(__xludf.DUMMYFUNCTION("GOOGLETRANSLATE(E5786,""fr"",""it"")"),"Amo i Bulldog, tranne i conigli.")</f>
        <v>Amo i Bulldog, tranne i conigli.</v>
      </c>
    </row>
    <row r="5787">
      <c r="A5787" s="4">
        <v>5785.0</v>
      </c>
      <c r="B5787" s="5" t="s">
        <v>17362</v>
      </c>
      <c r="C5787" s="4">
        <v>0.0</v>
      </c>
      <c r="D5787" s="5" t="s">
        <v>17363</v>
      </c>
      <c r="E5787" s="5" t="s">
        <v>17364</v>
      </c>
      <c r="F5787" s="6" t="str">
        <f>IFERROR(__xludf.DUMMYFUNCTION("GOOGLETRANSLATE(D5787,""en"",""it"")"),"Mi piacciono i calzini e più specificamente animali domestici.")</f>
        <v>Mi piacciono i calzini e più specificamente animali domestici.</v>
      </c>
      <c r="G5787" s="6" t="str">
        <f>IFERROR(__xludf.DUMMYFUNCTION("GOOGLETRANSLATE(E5787,""fr"",""it"")"),"Adoro le scarpe, specialmente animali domestici.")</f>
        <v>Adoro le scarpe, specialmente animali domestici.</v>
      </c>
    </row>
    <row r="5788">
      <c r="A5788" s="4">
        <v>5786.0</v>
      </c>
      <c r="B5788" s="5" t="s">
        <v>17365</v>
      </c>
      <c r="C5788" s="4">
        <v>0.0</v>
      </c>
      <c r="D5788" s="5" t="s">
        <v>17366</v>
      </c>
      <c r="E5788" s="5" t="s">
        <v>17367</v>
      </c>
      <c r="F5788" s="6" t="str">
        <f>IFERROR(__xludf.DUMMYFUNCTION("GOOGLETRANSLATE(D5788,""en"",""it"")"),"Mi piacciono gli animali domestici e più appositamente calzini.")</f>
        <v>Mi piacciono gli animali domestici e più appositamente calzini.</v>
      </c>
      <c r="G5788" s="6" t="str">
        <f>IFERROR(__xludf.DUMMYFUNCTION("GOOGLETRANSLATE(E5788,""fr"",""it"")"),"Amo gli animali domestici, e più in particolare le scarpe.")</f>
        <v>Amo gli animali domestici, e più in particolare le scarpe.</v>
      </c>
    </row>
    <row r="5789">
      <c r="A5789" s="4">
        <v>5787.0</v>
      </c>
      <c r="B5789" s="5" t="s">
        <v>17368</v>
      </c>
      <c r="C5789" s="4">
        <v>0.0</v>
      </c>
      <c r="D5789" s="5" t="s">
        <v>17369</v>
      </c>
      <c r="E5789" s="5" t="s">
        <v>17370</v>
      </c>
      <c r="F5789" s="6" t="str">
        <f>IFERROR(__xludf.DUMMYFUNCTION("GOOGLETRANSLATE(D5789,""en"",""it"")"),"Mi piacciono i calzini e più specificamente vestiti.")</f>
        <v>Mi piacciono i calzini e più specificamente vestiti.</v>
      </c>
      <c r="G5789" s="6" t="str">
        <f>IFERROR(__xludf.DUMMYFUNCTION("GOOGLETRANSLATE(E5789,""fr"",""it"")"),"Adoro le scarpe e più in particolare i vestiti.")</f>
        <v>Adoro le scarpe e più in particolare i vestiti.</v>
      </c>
    </row>
    <row r="5790">
      <c r="A5790" s="4">
        <v>5788.0</v>
      </c>
      <c r="B5790" s="5" t="s">
        <v>17371</v>
      </c>
      <c r="C5790" s="4">
        <v>1.0</v>
      </c>
      <c r="D5790" s="5" t="s">
        <v>17372</v>
      </c>
      <c r="E5790" s="5" t="s">
        <v>17373</v>
      </c>
      <c r="F5790" s="6" t="str">
        <f>IFERROR(__xludf.DUMMYFUNCTION("GOOGLETRANSLATE(D5790,""en"",""it"")"),"Mi piacciono i vestiti e più appositamente calzini.")</f>
        <v>Mi piacciono i vestiti e più appositamente calzini.</v>
      </c>
      <c r="G5790" s="6" t="str">
        <f>IFERROR(__xludf.DUMMYFUNCTION("GOOGLETRANSLATE(E5790,""fr"",""it"")"),"Mi piacciono i vestiti, specialmente le scarpe.")</f>
        <v>Mi piacciono i vestiti, specialmente le scarpe.</v>
      </c>
    </row>
    <row r="5791">
      <c r="A5791" s="4">
        <v>5789.0</v>
      </c>
      <c r="B5791" s="5" t="s">
        <v>17374</v>
      </c>
      <c r="C5791" s="4">
        <v>0.0</v>
      </c>
      <c r="D5791" s="5" t="s">
        <v>17375</v>
      </c>
      <c r="E5791" s="5" t="s">
        <v>17376</v>
      </c>
      <c r="F5791" s="6" t="str">
        <f>IFERROR(__xludf.DUMMYFUNCTION("GOOGLETRANSLATE(D5791,""en"",""it"")"),"Mi piacciono i calzini e più specificamente gioielli.")</f>
        <v>Mi piacciono i calzini e più specificamente gioielli.</v>
      </c>
      <c r="G5791" s="6" t="str">
        <f>IFERROR(__xludf.DUMMYFUNCTION("GOOGLETRANSLATE(E5791,""fr"",""it"")"),"Mi piacciono le scarpe e soprattutto gioielli.")</f>
        <v>Mi piacciono le scarpe e soprattutto gioielli.</v>
      </c>
    </row>
    <row r="5792">
      <c r="A5792" s="4">
        <v>5790.0</v>
      </c>
      <c r="B5792" s="5" t="s">
        <v>17377</v>
      </c>
      <c r="C5792" s="4">
        <v>0.0</v>
      </c>
      <c r="D5792" s="5" t="s">
        <v>17378</v>
      </c>
      <c r="E5792" s="5" t="s">
        <v>17379</v>
      </c>
      <c r="F5792" s="6" t="str">
        <f>IFERROR(__xludf.DUMMYFUNCTION("GOOGLETRANSLATE(D5792,""en"",""it"")"),"Mi piacciono i gioielli, e più appositamente calzini.")</f>
        <v>Mi piacciono i gioielli, e più appositamente calzini.</v>
      </c>
      <c r="G5792" s="6" t="str">
        <f>IFERROR(__xludf.DUMMYFUNCTION("GOOGLETRANSLATE(E5792,""fr"",""it"")"),"Amo i gioielli, e più in particolare le scarpe.")</f>
        <v>Amo i gioielli, e più in particolare le scarpe.</v>
      </c>
    </row>
    <row r="5793">
      <c r="A5793" s="4">
        <v>5791.0</v>
      </c>
      <c r="B5793" s="5" t="s">
        <v>17380</v>
      </c>
      <c r="C5793" s="4">
        <v>0.0</v>
      </c>
      <c r="D5793" s="5" t="s">
        <v>17381</v>
      </c>
      <c r="E5793" s="5" t="s">
        <v>17382</v>
      </c>
      <c r="F5793" s="6" t="str">
        <f>IFERROR(__xludf.DUMMYFUNCTION("GOOGLETRANSLATE(D5793,""en"",""it"")"),"Mi piacciono i vestiti, tranne i gioielli.")</f>
        <v>Mi piacciono i vestiti, tranne i gioielli.</v>
      </c>
      <c r="G5793" s="6" t="str">
        <f>IFERROR(__xludf.DUMMYFUNCTION("GOOGLETRANSLATE(E5793,""fr"",""it"")"),"Mi piacciono i vestiti tranne i gioielli.")</f>
        <v>Mi piacciono i vestiti tranne i gioielli.</v>
      </c>
    </row>
    <row r="5794">
      <c r="A5794" s="4">
        <v>5792.0</v>
      </c>
      <c r="B5794" s="5" t="s">
        <v>17383</v>
      </c>
      <c r="C5794" s="4">
        <v>0.0</v>
      </c>
      <c r="D5794" s="5" t="s">
        <v>17384</v>
      </c>
      <c r="E5794" s="5" t="s">
        <v>17385</v>
      </c>
      <c r="F5794" s="6" t="str">
        <f>IFERROR(__xludf.DUMMYFUNCTION("GOOGLETRANSLATE(D5794,""en"",""it"")"),"Mi piacciono i calzini e più appositamente occhiali.")</f>
        <v>Mi piacciono i calzini e più appositamente occhiali.</v>
      </c>
      <c r="G5794" s="6" t="str">
        <f>IFERROR(__xludf.DUMMYFUNCTION("GOOGLETRANSLATE(E5794,""fr"",""it"")"),"Amo le scarpe e più in particolare gli occhiali.")</f>
        <v>Amo le scarpe e più in particolare gli occhiali.</v>
      </c>
    </row>
    <row r="5795">
      <c r="A5795" s="4">
        <v>5793.0</v>
      </c>
      <c r="B5795" s="5" t="s">
        <v>17386</v>
      </c>
      <c r="C5795" s="4">
        <v>0.0</v>
      </c>
      <c r="D5795" s="5" t="s">
        <v>17387</v>
      </c>
      <c r="E5795" s="5" t="s">
        <v>17388</v>
      </c>
      <c r="F5795" s="6" t="str">
        <f>IFERROR(__xludf.DUMMYFUNCTION("GOOGLETRANSLATE(D5795,""en"",""it"")"),"Mi piacciono gli occhiali e più appositamente calzini.")</f>
        <v>Mi piacciono gli occhiali e più appositamente calzini.</v>
      </c>
      <c r="G5795" s="6" t="str">
        <f>IFERROR(__xludf.DUMMYFUNCTION("GOOGLETRANSLATE(E5795,""fr"",""it"")"),"Amo gli occhiali e più in particolare le scarpe.")</f>
        <v>Amo gli occhiali e più in particolare le scarpe.</v>
      </c>
    </row>
    <row r="5796">
      <c r="A5796" s="4">
        <v>5794.0</v>
      </c>
      <c r="B5796" s="5" t="s">
        <v>17389</v>
      </c>
      <c r="C5796" s="4">
        <v>0.0</v>
      </c>
      <c r="D5796" s="5" t="s">
        <v>17390</v>
      </c>
      <c r="E5796" s="5" t="s">
        <v>17391</v>
      </c>
      <c r="F5796" s="6" t="str">
        <f>IFERROR(__xludf.DUMMYFUNCTION("GOOGLETRANSLATE(D5796,""en"",""it"")"),"Mi piacciono i calzini e più specificamente orecchini.")</f>
        <v>Mi piacciono i calzini e più specificamente orecchini.</v>
      </c>
      <c r="G5796" s="6" t="str">
        <f>IFERROR(__xludf.DUMMYFUNCTION("GOOGLETRANSLATE(E5796,""fr"",""it"")"),"Adoro le scarpe e più in particolare gli orecchini.")</f>
        <v>Adoro le scarpe e più in particolare gli orecchini.</v>
      </c>
    </row>
    <row r="5797">
      <c r="A5797" s="4">
        <v>5795.0</v>
      </c>
      <c r="B5797" s="5" t="s">
        <v>17392</v>
      </c>
      <c r="C5797" s="4">
        <v>0.0</v>
      </c>
      <c r="D5797" s="5" t="s">
        <v>17393</v>
      </c>
      <c r="E5797" s="5" t="s">
        <v>17394</v>
      </c>
      <c r="F5797" s="6" t="str">
        <f>IFERROR(__xludf.DUMMYFUNCTION("GOOGLETRANSLATE(D5797,""en"",""it"")"),"Mi piacciono gli orecchini e più appositamente calzini.")</f>
        <v>Mi piacciono gli orecchini e più appositamente calzini.</v>
      </c>
      <c r="G5797" s="6" t="str">
        <f>IFERROR(__xludf.DUMMYFUNCTION("GOOGLETRANSLATE(E5797,""fr"",""it"")"),"Mi piacciono gli orecchini e più in particolare le scarpe.")</f>
        <v>Mi piacciono gli orecchini e più in particolare le scarpe.</v>
      </c>
    </row>
    <row r="5798">
      <c r="A5798" s="4">
        <v>5796.0</v>
      </c>
      <c r="B5798" s="5" t="s">
        <v>17395</v>
      </c>
      <c r="C5798" s="4">
        <v>0.0</v>
      </c>
      <c r="D5798" s="5" t="s">
        <v>17396</v>
      </c>
      <c r="E5798" s="5" t="s">
        <v>17397</v>
      </c>
      <c r="F5798" s="6" t="str">
        <f>IFERROR(__xludf.DUMMYFUNCTION("GOOGLETRANSLATE(D5798,""en"",""it"")"),"Mi piacciono le camicie, tranne gli occhiali.")</f>
        <v>Mi piacciono le camicie, tranne gli occhiali.</v>
      </c>
      <c r="G5798" s="6" t="str">
        <f>IFERROR(__xludf.DUMMYFUNCTION("GOOGLETRANSLATE(E5798,""fr"",""it"")"),"Mi piacciono le camicie tranne gli occhiali.")</f>
        <v>Mi piacciono le camicie tranne gli occhiali.</v>
      </c>
    </row>
    <row r="5799">
      <c r="A5799" s="4">
        <v>5797.0</v>
      </c>
      <c r="B5799" s="5" t="s">
        <v>17398</v>
      </c>
      <c r="C5799" s="4">
        <v>0.0</v>
      </c>
      <c r="D5799" s="5" t="s">
        <v>17399</v>
      </c>
      <c r="E5799" s="5" t="s">
        <v>17400</v>
      </c>
      <c r="F5799" s="6" t="str">
        <f>IFERROR(__xludf.DUMMYFUNCTION("GOOGLETRANSLATE(D5799,""en"",""it"")"),"Mi piacciono gli occhiali, eccetto le camicie.")</f>
        <v>Mi piacciono gli occhiali, eccetto le camicie.</v>
      </c>
      <c r="G5799" s="6" t="str">
        <f>IFERROR(__xludf.DUMMYFUNCTION("GOOGLETRANSLATE(E5799,""fr"",""it"")"),"Amo gli occhiali tranne le camicie.")</f>
        <v>Amo gli occhiali tranne le camicie.</v>
      </c>
    </row>
    <row r="5800">
      <c r="A5800" s="4">
        <v>5798.0</v>
      </c>
      <c r="B5800" s="5" t="s">
        <v>17401</v>
      </c>
      <c r="C5800" s="4">
        <v>0.0</v>
      </c>
      <c r="D5800" s="5" t="s">
        <v>17402</v>
      </c>
      <c r="E5800" s="5" t="s">
        <v>17403</v>
      </c>
      <c r="F5800" s="6" t="str">
        <f>IFERROR(__xludf.DUMMYFUNCTION("GOOGLETRANSLATE(D5800,""en"",""it"")"),"Mi piacciono le gonne e più specificamente animali domestici.")</f>
        <v>Mi piacciono le gonne e più specificamente animali domestici.</v>
      </c>
      <c r="G5800" s="6" t="str">
        <f>IFERROR(__xludf.DUMMYFUNCTION("GOOGLETRANSLATE(E5800,""fr"",""it"")"),"Mi piacciono le gonne, specialmente animali domestici.")</f>
        <v>Mi piacciono le gonne, specialmente animali domestici.</v>
      </c>
    </row>
    <row r="5801">
      <c r="A5801" s="4">
        <v>5799.0</v>
      </c>
      <c r="B5801" s="5" t="s">
        <v>17404</v>
      </c>
      <c r="C5801" s="4">
        <v>0.0</v>
      </c>
      <c r="D5801" s="5" t="s">
        <v>17405</v>
      </c>
      <c r="E5801" s="5" t="s">
        <v>17406</v>
      </c>
      <c r="F5801" s="6" t="str">
        <f>IFERROR(__xludf.DUMMYFUNCTION("GOOGLETRANSLATE(D5801,""en"",""it"")"),"Mi piacciono gli animali domestici e più specificamente gonne.")</f>
        <v>Mi piacciono gli animali domestici e più specificamente gonne.</v>
      </c>
      <c r="G5801" s="6" t="str">
        <f>IFERROR(__xludf.DUMMYFUNCTION("GOOGLETRANSLATE(E5801,""fr"",""it"")"),"Amo gli animali domestici, in particolare le gonne.")</f>
        <v>Amo gli animali domestici, in particolare le gonne.</v>
      </c>
    </row>
    <row r="5802">
      <c r="A5802" s="4">
        <v>5800.0</v>
      </c>
      <c r="B5802" s="5" t="s">
        <v>17407</v>
      </c>
      <c r="C5802" s="4">
        <v>0.0</v>
      </c>
      <c r="D5802" s="5" t="s">
        <v>17408</v>
      </c>
      <c r="E5802" s="5" t="s">
        <v>17409</v>
      </c>
      <c r="F5802" s="6" t="str">
        <f>IFERROR(__xludf.DUMMYFUNCTION("GOOGLETRANSLATE(D5802,""en"",""it"")"),"Mi piacciono le gonne e più specificamente vestiti.")</f>
        <v>Mi piacciono le gonne e più specificamente vestiti.</v>
      </c>
      <c r="G5802" s="6" t="str">
        <f>IFERROR(__xludf.DUMMYFUNCTION("GOOGLETRANSLATE(E5802,""fr"",""it"")"),"Mi piacciono le gonne e più vestiti in particolare.")</f>
        <v>Mi piacciono le gonne e più vestiti in particolare.</v>
      </c>
    </row>
    <row r="5803">
      <c r="A5803" s="4">
        <v>5801.0</v>
      </c>
      <c r="B5803" s="5" t="s">
        <v>17410</v>
      </c>
      <c r="C5803" s="4">
        <v>1.0</v>
      </c>
      <c r="D5803" s="5" t="s">
        <v>17411</v>
      </c>
      <c r="E5803" s="5" t="s">
        <v>17412</v>
      </c>
      <c r="F5803" s="6" t="str">
        <f>IFERROR(__xludf.DUMMYFUNCTION("GOOGLETRANSLATE(D5803,""en"",""it"")"),"Mi piacciono i vestiti, e più specificamente gonne.")</f>
        <v>Mi piacciono i vestiti, e più specificamente gonne.</v>
      </c>
      <c r="G5803" s="6" t="str">
        <f>IFERROR(__xludf.DUMMYFUNCTION("GOOGLETRANSLATE(E5803,""fr"",""it"")"),"Mi piacciono i vestiti, in particolare le gonne.")</f>
        <v>Mi piacciono i vestiti, in particolare le gonne.</v>
      </c>
    </row>
    <row r="5804">
      <c r="A5804" s="4">
        <v>5802.0</v>
      </c>
      <c r="B5804" s="5" t="s">
        <v>17413</v>
      </c>
      <c r="C5804" s="4">
        <v>0.0</v>
      </c>
      <c r="D5804" s="5" t="s">
        <v>17414</v>
      </c>
      <c r="E5804" s="5" t="s">
        <v>17415</v>
      </c>
      <c r="F5804" s="6" t="str">
        <f>IFERROR(__xludf.DUMMYFUNCTION("GOOGLETRANSLATE(D5804,""en"",""it"")"),"Mi piacciono le gonne e più specificamente gioielli.")</f>
        <v>Mi piacciono le gonne e più specificamente gioielli.</v>
      </c>
      <c r="G5804" s="6" t="str">
        <f>IFERROR(__xludf.DUMMYFUNCTION("GOOGLETRANSLATE(E5804,""fr"",""it"")"),"Amo le gonne, in particolare i gioielli.")</f>
        <v>Amo le gonne, in particolare i gioielli.</v>
      </c>
    </row>
    <row r="5805">
      <c r="A5805" s="4">
        <v>5803.0</v>
      </c>
      <c r="B5805" s="5" t="s">
        <v>17416</v>
      </c>
      <c r="C5805" s="4">
        <v>0.0</v>
      </c>
      <c r="D5805" s="5" t="s">
        <v>17417</v>
      </c>
      <c r="E5805" s="5" t="s">
        <v>17418</v>
      </c>
      <c r="F5805" s="6" t="str">
        <f>IFERROR(__xludf.DUMMYFUNCTION("GOOGLETRANSLATE(D5805,""en"",""it"")"),"Mi piacciono i gioielli e più specificamente gonne.")</f>
        <v>Mi piacciono i gioielli e più specificamente gonne.</v>
      </c>
      <c r="G5805" s="6" t="str">
        <f>IFERROR(__xludf.DUMMYFUNCTION("GOOGLETRANSLATE(E5805,""fr"",""it"")"),"Mi piacciono i gioielli e più gonne in particolare.")</f>
        <v>Mi piacciono i gioielli e più gonne in particolare.</v>
      </c>
    </row>
    <row r="5806">
      <c r="A5806" s="4">
        <v>5804.0</v>
      </c>
      <c r="B5806" s="5" t="s">
        <v>17419</v>
      </c>
      <c r="C5806" s="4">
        <v>0.0</v>
      </c>
      <c r="D5806" s="5" t="s">
        <v>17420</v>
      </c>
      <c r="E5806" s="5" t="s">
        <v>17421</v>
      </c>
      <c r="F5806" s="6" t="str">
        <f>IFERROR(__xludf.DUMMYFUNCTION("GOOGLETRANSLATE(D5806,""en"",""it"")"),"Mi piacciono le gonne e più appositamente occhiali.")</f>
        <v>Mi piacciono le gonne e più appositamente occhiali.</v>
      </c>
      <c r="G5806" s="6" t="str">
        <f>IFERROR(__xludf.DUMMYFUNCTION("GOOGLETRANSLATE(E5806,""fr"",""it"")"),"Mi piacciono le gonne, e più particolarmente gli occhiali.")</f>
        <v>Mi piacciono le gonne, e più particolarmente gli occhiali.</v>
      </c>
    </row>
    <row r="5807">
      <c r="A5807" s="4">
        <v>5805.0</v>
      </c>
      <c r="B5807" s="5" t="s">
        <v>17422</v>
      </c>
      <c r="C5807" s="4">
        <v>0.0</v>
      </c>
      <c r="D5807" s="5" t="s">
        <v>17423</v>
      </c>
      <c r="E5807" s="5" t="s">
        <v>17424</v>
      </c>
      <c r="F5807" s="6" t="str">
        <f>IFERROR(__xludf.DUMMYFUNCTION("GOOGLETRANSLATE(D5807,""en"",""it"")"),"Mi piacciono gli occhiali e più specificamente gonne.")</f>
        <v>Mi piacciono gli occhiali e più specificamente gonne.</v>
      </c>
      <c r="G5807" s="6" t="str">
        <f>IFERROR(__xludf.DUMMYFUNCTION("GOOGLETRANSLATE(E5807,""fr"",""it"")"),"Mi piacciono gli occhiali e più gonne in particolare.")</f>
        <v>Mi piacciono gli occhiali e più gonne in particolare.</v>
      </c>
    </row>
    <row r="5808">
      <c r="A5808" s="4">
        <v>5806.0</v>
      </c>
      <c r="B5808" s="5" t="s">
        <v>17425</v>
      </c>
      <c r="C5808" s="4">
        <v>0.0</v>
      </c>
      <c r="D5808" s="5" t="s">
        <v>17426</v>
      </c>
      <c r="E5808" s="5" t="s">
        <v>17427</v>
      </c>
      <c r="F5808" s="6" t="str">
        <f>IFERROR(__xludf.DUMMYFUNCTION("GOOGLETRANSLATE(D5808,""en"",""it"")"),"Mi piacciono le gonne e più precisamente orecchini.")</f>
        <v>Mi piacciono le gonne e più precisamente orecchini.</v>
      </c>
      <c r="G5808" s="6" t="str">
        <f>IFERROR(__xludf.DUMMYFUNCTION("GOOGLETRANSLATE(E5808,""fr"",""it"")"),"Amo le gonne e più particolarmente gli orecchini.")</f>
        <v>Amo le gonne e più particolarmente gli orecchini.</v>
      </c>
    </row>
    <row r="5809">
      <c r="A5809" s="4">
        <v>5807.0</v>
      </c>
      <c r="B5809" s="5" t="s">
        <v>17428</v>
      </c>
      <c r="C5809" s="4">
        <v>0.0</v>
      </c>
      <c r="D5809" s="5" t="s">
        <v>17429</v>
      </c>
      <c r="E5809" s="5" t="s">
        <v>17430</v>
      </c>
      <c r="F5809" s="6" t="str">
        <f>IFERROR(__xludf.DUMMYFUNCTION("GOOGLETRANSLATE(D5809,""en"",""it"")"),"Mi piacciono gli orecchini, e più specificamente gonne.")</f>
        <v>Mi piacciono gli orecchini, e più specificamente gonne.</v>
      </c>
      <c r="G5809" s="6" t="str">
        <f>IFERROR(__xludf.DUMMYFUNCTION("GOOGLETRANSLATE(E5809,""fr"",""it"")"),"Mi piacciono gli orecchini, in particolare le gonne.")</f>
        <v>Mi piacciono gli orecchini, in particolare le gonne.</v>
      </c>
    </row>
    <row r="5810">
      <c r="A5810" s="4">
        <v>5808.0</v>
      </c>
      <c r="B5810" s="5" t="s">
        <v>17431</v>
      </c>
      <c r="C5810" s="4">
        <v>0.0</v>
      </c>
      <c r="D5810" s="5" t="s">
        <v>17432</v>
      </c>
      <c r="E5810" s="5" t="s">
        <v>17433</v>
      </c>
      <c r="F5810" s="6" t="str">
        <f>IFERROR(__xludf.DUMMYFUNCTION("GOOGLETRANSLATE(D5810,""en"",""it"")"),"Mi piacciono i vestiti, tranne gli occhiali.")</f>
        <v>Mi piacciono i vestiti, tranne gli occhiali.</v>
      </c>
      <c r="G5810" s="6" t="str">
        <f>IFERROR(__xludf.DUMMYFUNCTION("GOOGLETRANSLATE(E5810,""fr"",""it"")"),"Mi piacciono i vestiti, tranne gli occhiali.")</f>
        <v>Mi piacciono i vestiti, tranne gli occhiali.</v>
      </c>
    </row>
    <row r="5811">
      <c r="A5811" s="4">
        <v>5809.0</v>
      </c>
      <c r="B5811" s="5" t="s">
        <v>17434</v>
      </c>
      <c r="C5811" s="4">
        <v>0.0</v>
      </c>
      <c r="D5811" s="5" t="s">
        <v>17435</v>
      </c>
      <c r="E5811" s="5" t="s">
        <v>17436</v>
      </c>
      <c r="F5811" s="6" t="str">
        <f>IFERROR(__xludf.DUMMYFUNCTION("GOOGLETRANSLATE(D5811,""en"",""it"")"),"Mi piacciono le camicie, tranne gli orecchini.")</f>
        <v>Mi piacciono le camicie, tranne gli orecchini.</v>
      </c>
      <c r="G5811" s="6" t="str">
        <f>IFERROR(__xludf.DUMMYFUNCTION("GOOGLETRANSLATE(E5811,""fr"",""it"")"),"Mi piacciono le camicie, tranne gli orecchini.")</f>
        <v>Mi piacciono le camicie, tranne gli orecchini.</v>
      </c>
    </row>
    <row r="5812">
      <c r="A5812" s="4">
        <v>5810.0</v>
      </c>
      <c r="B5812" s="5" t="s">
        <v>17437</v>
      </c>
      <c r="C5812" s="4">
        <v>0.0</v>
      </c>
      <c r="D5812" s="5" t="s">
        <v>17438</v>
      </c>
      <c r="E5812" s="5" t="s">
        <v>17439</v>
      </c>
      <c r="F5812" s="6" t="str">
        <f>IFERROR(__xludf.DUMMYFUNCTION("GOOGLETRANSLATE(D5812,""en"",""it"")"),"Mi piacciono gli orecchini, eccetto le camicie.")</f>
        <v>Mi piacciono gli orecchini, eccetto le camicie.</v>
      </c>
      <c r="G5812" s="6" t="str">
        <f>IFERROR(__xludf.DUMMYFUNCTION("GOOGLETRANSLATE(E5812,""fr"",""it"")"),"Mi piacciono gli orecchini, tranne le camicie.")</f>
        <v>Mi piacciono gli orecchini, tranne le camicie.</v>
      </c>
    </row>
    <row r="5813">
      <c r="A5813" s="4">
        <v>5811.0</v>
      </c>
      <c r="B5813" s="5" t="s">
        <v>17440</v>
      </c>
      <c r="C5813" s="4">
        <v>0.0</v>
      </c>
      <c r="D5813" s="5" t="s">
        <v>17441</v>
      </c>
      <c r="E5813" s="5" t="s">
        <v>17442</v>
      </c>
      <c r="F5813" s="6" t="str">
        <f>IFERROR(__xludf.DUMMYFUNCTION("GOOGLETRANSLATE(D5813,""en"",""it"")"),"Mi piacciono i conigli, tranne i bulldog.")</f>
        <v>Mi piacciono i conigli, tranne i bulldog.</v>
      </c>
      <c r="G5813" s="6" t="str">
        <f>IFERROR(__xludf.DUMMYFUNCTION("GOOGLETRANSLATE(E5813,""fr"",""it"")"),"Amo i conigli, tranne i bulldog.")</f>
        <v>Amo i conigli, tranne i bulldog.</v>
      </c>
    </row>
    <row r="5814">
      <c r="A5814" s="4">
        <v>5812.0</v>
      </c>
      <c r="B5814" s="5" t="s">
        <v>17443</v>
      </c>
      <c r="C5814" s="4">
        <v>0.0</v>
      </c>
      <c r="D5814" s="5" t="s">
        <v>17444</v>
      </c>
      <c r="E5814" s="5" t="s">
        <v>17445</v>
      </c>
      <c r="F5814" s="6" t="str">
        <f>IFERROR(__xludf.DUMMYFUNCTION("GOOGLETRANSLATE(D5814,""en"",""it"")"),"Mi piacciono i vestiti, tranne gli orecchini.")</f>
        <v>Mi piacciono i vestiti, tranne gli orecchini.</v>
      </c>
      <c r="G5814" s="6" t="str">
        <f>IFERROR(__xludf.DUMMYFUNCTION("GOOGLETRANSLATE(E5814,""fr"",""it"")"),"Mi piacciono i vestiti, tranne gli orecchini.")</f>
        <v>Mi piacciono i vestiti, tranne gli orecchini.</v>
      </c>
    </row>
    <row r="5815">
      <c r="A5815" s="4">
        <v>5813.0</v>
      </c>
      <c r="B5815" s="5" t="s">
        <v>17446</v>
      </c>
      <c r="C5815" s="4">
        <v>0.0</v>
      </c>
      <c r="D5815" s="5" t="s">
        <v>17447</v>
      </c>
      <c r="E5815" s="5" t="s">
        <v>17448</v>
      </c>
      <c r="F5815" s="6" t="str">
        <f>IFERROR(__xludf.DUMMYFUNCTION("GOOGLETRANSLATE(D5815,""en"",""it"")"),"Mi piacciono le querce e più specificamente erba.")</f>
        <v>Mi piacciono le querce e più specificamente erba.</v>
      </c>
      <c r="G5815" s="6" t="str">
        <f>IFERROR(__xludf.DUMMYFUNCTION("GOOGLETRANSLATE(E5815,""fr"",""it"")"),"Adoro le querce e più in particolare il prato.")</f>
        <v>Adoro le querce e più in particolare il prato.</v>
      </c>
    </row>
    <row r="5816">
      <c r="A5816" s="4">
        <v>5814.0</v>
      </c>
      <c r="B5816" s="5" t="s">
        <v>17449</v>
      </c>
      <c r="C5816" s="4">
        <v>0.0</v>
      </c>
      <c r="D5816" s="5" t="s">
        <v>17450</v>
      </c>
      <c r="E5816" s="5" t="s">
        <v>17451</v>
      </c>
      <c r="F5816" s="6" t="str">
        <f>IFERROR(__xludf.DUMMYFUNCTION("GOOGLETRANSLATE(D5816,""en"",""it"")"),"Mi piace l'erba e le più specificamente querce.")</f>
        <v>Mi piace l'erba e le più specificamente querce.</v>
      </c>
      <c r="G5816" s="6" t="str">
        <f>IFERROR(__xludf.DUMMYFUNCTION("GOOGLETRANSLATE(E5816,""fr"",""it"")"),"Adoro il prato e più in particolare le querce.")</f>
        <v>Adoro il prato e più in particolare le querce.</v>
      </c>
    </row>
    <row r="5817">
      <c r="A5817" s="4">
        <v>5815.0</v>
      </c>
      <c r="B5817" s="5" t="s">
        <v>17452</v>
      </c>
      <c r="C5817" s="4">
        <v>0.0</v>
      </c>
      <c r="D5817" s="5" t="s">
        <v>17453</v>
      </c>
      <c r="E5817" s="5" t="s">
        <v>17454</v>
      </c>
      <c r="F5817" s="6" t="str">
        <f>IFERROR(__xludf.DUMMYFUNCTION("GOOGLETRANSLATE(D5817,""en"",""it"")"),"Mi piacciono le querce e più specificamente alberi.")</f>
        <v>Mi piacciono le querce e più specificamente alberi.</v>
      </c>
      <c r="G5817" s="6" t="str">
        <f>IFERROR(__xludf.DUMMYFUNCTION("GOOGLETRANSLATE(E5817,""fr"",""it"")"),"Adoro le querce e più in particolare gli alberi.")</f>
        <v>Adoro le querce e più in particolare gli alberi.</v>
      </c>
    </row>
    <row r="5818">
      <c r="A5818" s="4">
        <v>5816.0</v>
      </c>
      <c r="B5818" s="5" t="s">
        <v>17455</v>
      </c>
      <c r="C5818" s="4">
        <v>1.0</v>
      </c>
      <c r="D5818" s="5" t="s">
        <v>17456</v>
      </c>
      <c r="E5818" s="5" t="s">
        <v>17457</v>
      </c>
      <c r="F5818" s="6" t="str">
        <f>IFERROR(__xludf.DUMMYFUNCTION("GOOGLETRANSLATE(D5818,""en"",""it"")"),"Mi piacciono gli alberi e più specificamente querce.")</f>
        <v>Mi piacciono gli alberi e più specificamente querce.</v>
      </c>
      <c r="G5818" s="6" t="str">
        <f>IFERROR(__xludf.DUMMYFUNCTION("GOOGLETRANSLATE(E5818,""fr"",""it"")"),"Amo gli alberi, e più in particolare le querce.")</f>
        <v>Amo gli alberi, e più in particolare le querce.</v>
      </c>
    </row>
    <row r="5819">
      <c r="A5819" s="4">
        <v>5817.0</v>
      </c>
      <c r="B5819" s="5" t="s">
        <v>17458</v>
      </c>
      <c r="C5819" s="4">
        <v>0.0</v>
      </c>
      <c r="D5819" s="5" t="s">
        <v>17459</v>
      </c>
      <c r="E5819" s="5" t="s">
        <v>17460</v>
      </c>
      <c r="F5819" s="6" t="str">
        <f>IFERROR(__xludf.DUMMYFUNCTION("GOOGLETRANSLATE(D5819,""en"",""it"")"),"Mi piacciono gli alberi, e più specificamente erba.")</f>
        <v>Mi piacciono gli alberi, e più specificamente erba.</v>
      </c>
      <c r="G5819" s="6" t="str">
        <f>IFERROR(__xludf.DUMMYFUNCTION("GOOGLETRANSLATE(E5819,""fr"",""it"")"),"Mi piacciono gli alberi e più in particolare il prato.")</f>
        <v>Mi piacciono gli alberi e più in particolare il prato.</v>
      </c>
    </row>
    <row r="5820">
      <c r="A5820" s="4">
        <v>5818.0</v>
      </c>
      <c r="B5820" s="5" t="s">
        <v>17461</v>
      </c>
      <c r="C5820" s="4">
        <v>0.0</v>
      </c>
      <c r="D5820" s="5" t="s">
        <v>17462</v>
      </c>
      <c r="E5820" s="5" t="s">
        <v>17463</v>
      </c>
      <c r="F5820" s="6" t="str">
        <f>IFERROR(__xludf.DUMMYFUNCTION("GOOGLETRANSLATE(D5820,""en"",""it"")"),"Mi piacciono le querce, e più specificamente animali.")</f>
        <v>Mi piacciono le querce, e più specificamente animali.</v>
      </c>
      <c r="G5820" s="6" t="str">
        <f>IFERROR(__xludf.DUMMYFUNCTION("GOOGLETRANSLATE(E5820,""fr"",""it"")"),"Adoro querce, in particolare animali.")</f>
        <v>Adoro querce, in particolare animali.</v>
      </c>
    </row>
    <row r="5821">
      <c r="A5821" s="4">
        <v>5819.0</v>
      </c>
      <c r="B5821" s="5" t="s">
        <v>17464</v>
      </c>
      <c r="C5821" s="4">
        <v>0.0</v>
      </c>
      <c r="D5821" s="5" t="s">
        <v>17465</v>
      </c>
      <c r="E5821" s="5" t="s">
        <v>17466</v>
      </c>
      <c r="F5821" s="6" t="str">
        <f>IFERROR(__xludf.DUMMYFUNCTION("GOOGLETRANSLATE(D5821,""en"",""it"")"),"Mi piacciono gli animali, e più specificamente querce.")</f>
        <v>Mi piacciono gli animali, e più specificamente querce.</v>
      </c>
      <c r="G5821" s="6" t="str">
        <f>IFERROR(__xludf.DUMMYFUNCTION("GOOGLETRANSLATE(E5821,""fr"",""it"")"),"Amo gli animali, specialmente le querce.")</f>
        <v>Amo gli animali, specialmente le querce.</v>
      </c>
    </row>
    <row r="5822">
      <c r="A5822" s="4">
        <v>5820.0</v>
      </c>
      <c r="B5822" s="5" t="s">
        <v>17467</v>
      </c>
      <c r="C5822" s="4">
        <v>0.0</v>
      </c>
      <c r="D5822" s="5" t="s">
        <v>17468</v>
      </c>
      <c r="E5822" s="5" t="s">
        <v>17469</v>
      </c>
      <c r="F5822" s="6" t="str">
        <f>IFERROR(__xludf.DUMMYFUNCTION("GOOGLETRANSLATE(D5822,""en"",""it"")"),"Mi piacciono gli alberi e più specificamente animali.")</f>
        <v>Mi piacciono gli alberi e più specificamente animali.</v>
      </c>
      <c r="G5822" s="6" t="str">
        <f>IFERROR(__xludf.DUMMYFUNCTION("GOOGLETRANSLATE(E5822,""fr"",""it"")"),"Mi piacciono gli alberi, in particolare gli animali.")</f>
        <v>Mi piacciono gli alberi, in particolare gli animali.</v>
      </c>
    </row>
    <row r="5823">
      <c r="A5823" s="4">
        <v>5821.0</v>
      </c>
      <c r="B5823" s="5" t="s">
        <v>17470</v>
      </c>
      <c r="C5823" s="4">
        <v>0.0</v>
      </c>
      <c r="D5823" s="5" t="s">
        <v>17471</v>
      </c>
      <c r="E5823" s="5" t="s">
        <v>17472</v>
      </c>
      <c r="F5823" s="6" t="str">
        <f>IFERROR(__xludf.DUMMYFUNCTION("GOOGLETRANSLATE(D5823,""en"",""it"")"),"Mi piacciono le querce e più specificamente cespugli.")</f>
        <v>Mi piacciono le querce e più specificamente cespugli.</v>
      </c>
      <c r="G5823" s="6" t="str">
        <f>IFERROR(__xludf.DUMMYFUNCTION("GOOGLETRANSLATE(E5823,""fr"",""it"")"),"Adoro le querce e più in particolare i cespugli.")</f>
        <v>Adoro le querce e più in particolare i cespugli.</v>
      </c>
    </row>
    <row r="5824">
      <c r="A5824" s="4">
        <v>5822.0</v>
      </c>
      <c r="B5824" s="5" t="s">
        <v>17473</v>
      </c>
      <c r="C5824" s="4">
        <v>0.0</v>
      </c>
      <c r="D5824" s="5" t="s">
        <v>17474</v>
      </c>
      <c r="E5824" s="5" t="s">
        <v>17475</v>
      </c>
      <c r="F5824" s="6" t="str">
        <f>IFERROR(__xludf.DUMMYFUNCTION("GOOGLETRANSLATE(D5824,""en"",""it"")"),"Mi piacciono i cespugli e più specificamente querce.")</f>
        <v>Mi piacciono i cespugli e più specificamente querce.</v>
      </c>
      <c r="G5824" s="6" t="str">
        <f>IFERROR(__xludf.DUMMYFUNCTION("GOOGLETRANSLATE(E5824,""fr"",""it"")"),"Mi piacciono i cespugli e più in particolare le querce.")</f>
        <v>Mi piacciono i cespugli e più in particolare le querce.</v>
      </c>
    </row>
    <row r="5825">
      <c r="A5825" s="4">
        <v>5823.0</v>
      </c>
      <c r="B5825" s="5" t="s">
        <v>17476</v>
      </c>
      <c r="C5825" s="4">
        <v>0.0</v>
      </c>
      <c r="D5825" s="5" t="s">
        <v>17477</v>
      </c>
      <c r="E5825" s="5" t="s">
        <v>17478</v>
      </c>
      <c r="F5825" s="6" t="str">
        <f>IFERROR(__xludf.DUMMYFUNCTION("GOOGLETRANSLATE(D5825,""en"",""it"")"),"Mi piacciono gli alberi, e più specificamente cespugli.")</f>
        <v>Mi piacciono gli alberi, e più specificamente cespugli.</v>
      </c>
      <c r="G5825" s="6" t="str">
        <f>IFERROR(__xludf.DUMMYFUNCTION("GOOGLETRANSLATE(E5825,""fr"",""it"")"),"Mi piacciono gli alberi e più cespugli in particolare.")</f>
        <v>Mi piacciono gli alberi e più cespugli in particolare.</v>
      </c>
    </row>
    <row r="5826">
      <c r="A5826" s="4">
        <v>5824.0</v>
      </c>
      <c r="B5826" s="5" t="s">
        <v>17479</v>
      </c>
      <c r="C5826" s="4">
        <v>0.0</v>
      </c>
      <c r="D5826" s="5" t="s">
        <v>17480</v>
      </c>
      <c r="E5826" s="5" t="s">
        <v>17481</v>
      </c>
      <c r="F5826" s="6" t="str">
        <f>IFERROR(__xludf.DUMMYFUNCTION("GOOGLETRANSLATE(D5826,""en"",""it"")"),"Mi piacciono le querce e più specificamente arbusti.")</f>
        <v>Mi piacciono le querce e più specificamente arbusti.</v>
      </c>
      <c r="G5826" s="6" t="str">
        <f>IFERROR(__xludf.DUMMYFUNCTION("GOOGLETRANSLATE(E5826,""fr"",""it"")"),"Adoro le querce e più in particolare gli arbusti.")</f>
        <v>Adoro le querce e più in particolare gli arbusti.</v>
      </c>
    </row>
    <row r="5827">
      <c r="A5827" s="4">
        <v>5825.0</v>
      </c>
      <c r="B5827" s="5" t="s">
        <v>17482</v>
      </c>
      <c r="C5827" s="4">
        <v>0.0</v>
      </c>
      <c r="D5827" s="5" t="s">
        <v>17483</v>
      </c>
      <c r="E5827" s="5" t="s">
        <v>17484</v>
      </c>
      <c r="F5827" s="6" t="str">
        <f>IFERROR(__xludf.DUMMYFUNCTION("GOOGLETRANSLATE(D5827,""en"",""it"")"),"Mi piacciono gli arbusti, e più specificamente querce.")</f>
        <v>Mi piacciono gli arbusti, e più specificamente querce.</v>
      </c>
      <c r="G5827" s="6" t="str">
        <f>IFERROR(__xludf.DUMMYFUNCTION("GOOGLETRANSLATE(E5827,""fr"",""it"")"),"Mi piacciono gli arbusti, specialmente le querce.")</f>
        <v>Mi piacciono gli arbusti, specialmente le querce.</v>
      </c>
    </row>
    <row r="5828">
      <c r="A5828" s="4">
        <v>5826.0</v>
      </c>
      <c r="B5828" s="5" t="s">
        <v>17485</v>
      </c>
      <c r="C5828" s="4">
        <v>0.0</v>
      </c>
      <c r="D5828" s="5" t="s">
        <v>17486</v>
      </c>
      <c r="E5828" s="5" t="s">
        <v>17487</v>
      </c>
      <c r="F5828" s="6" t="str">
        <f>IFERROR(__xludf.DUMMYFUNCTION("GOOGLETRANSLATE(D5828,""en"",""it"")"),"Mi piacciono gli alberi e più specificamente arbusti.")</f>
        <v>Mi piacciono gli alberi e più specificamente arbusti.</v>
      </c>
      <c r="G5828" s="6" t="str">
        <f>IFERROR(__xludf.DUMMYFUNCTION("GOOGLETRANSLATE(E5828,""fr"",""it"")"),"Mi piacciono gli alberi, in particolare gli arbusti.")</f>
        <v>Mi piacciono gli alberi, in particolare gli arbusti.</v>
      </c>
    </row>
    <row r="5829">
      <c r="A5829" s="4">
        <v>5827.0</v>
      </c>
      <c r="B5829" s="5" t="s">
        <v>17488</v>
      </c>
      <c r="C5829" s="4">
        <v>0.0</v>
      </c>
      <c r="D5829" s="5" t="s">
        <v>17489</v>
      </c>
      <c r="E5829" s="5" t="s">
        <v>17490</v>
      </c>
      <c r="F5829" s="6" t="str">
        <f>IFERROR(__xludf.DUMMYFUNCTION("GOOGLETRANSLATE(D5829,""en"",""it"")"),"Mi piacciono le betulle e più specificamente erba.")</f>
        <v>Mi piacciono le betulle e più specificamente erba.</v>
      </c>
      <c r="G5829" s="6" t="str">
        <f>IFERROR(__xludf.DUMMYFUNCTION("GOOGLETRANSLATE(E5829,""fr"",""it"")"),"Amo la betulla, e più in particolare il prato.")</f>
        <v>Amo la betulla, e più in particolare il prato.</v>
      </c>
    </row>
    <row r="5830">
      <c r="A5830" s="4">
        <v>5828.0</v>
      </c>
      <c r="B5830" s="5" t="s">
        <v>17491</v>
      </c>
      <c r="C5830" s="4">
        <v>0.0</v>
      </c>
      <c r="D5830" s="5" t="s">
        <v>17492</v>
      </c>
      <c r="E5830" s="5" t="s">
        <v>17493</v>
      </c>
      <c r="F5830" s="6" t="str">
        <f>IFERROR(__xludf.DUMMYFUNCTION("GOOGLETRANSLATE(D5830,""en"",""it"")"),"Mi piace l'erba e più specificamente betulle.")</f>
        <v>Mi piace l'erba e più specificamente betulle.</v>
      </c>
      <c r="G5830" s="6" t="str">
        <f>IFERROR(__xludf.DUMMYFUNCTION("GOOGLETRANSLATE(E5830,""fr"",""it"")"),"Adoro il prato e più in particolare betulla.")</f>
        <v>Adoro il prato e più in particolare betulla.</v>
      </c>
    </row>
    <row r="5831">
      <c r="A5831" s="4">
        <v>5829.0</v>
      </c>
      <c r="B5831" s="5" t="s">
        <v>17494</v>
      </c>
      <c r="C5831" s="4">
        <v>0.0</v>
      </c>
      <c r="D5831" s="5" t="s">
        <v>17495</v>
      </c>
      <c r="E5831" s="5" t="s">
        <v>17496</v>
      </c>
      <c r="F5831" s="6" t="str">
        <f>IFERROR(__xludf.DUMMYFUNCTION("GOOGLETRANSLATE(D5831,""en"",""it"")"),"Mi piacciono le betulle e più specificamente alberi.")</f>
        <v>Mi piacciono le betulle e più specificamente alberi.</v>
      </c>
      <c r="G5831" s="6" t="str">
        <f>IFERROR(__xludf.DUMMYFUNCTION("GOOGLETRANSLATE(E5831,""fr"",""it"")"),"Mi piace la betulla e più in particolare gli alberi.")</f>
        <v>Mi piace la betulla e più in particolare gli alberi.</v>
      </c>
    </row>
    <row r="5832">
      <c r="A5832" s="4">
        <v>5830.0</v>
      </c>
      <c r="B5832" s="5" t="s">
        <v>17497</v>
      </c>
      <c r="C5832" s="4">
        <v>1.0</v>
      </c>
      <c r="D5832" s="5" t="s">
        <v>17498</v>
      </c>
      <c r="E5832" s="5" t="s">
        <v>17499</v>
      </c>
      <c r="F5832" s="6" t="str">
        <f>IFERROR(__xludf.DUMMYFUNCTION("GOOGLETRANSLATE(D5832,""en"",""it"")"),"Mi piacciono gli alberi e più specificamente betulle.")</f>
        <v>Mi piacciono gli alberi e più specificamente betulle.</v>
      </c>
      <c r="G5832" s="6" t="str">
        <f>IFERROR(__xludf.DUMMYFUNCTION("GOOGLETRANSLATE(E5832,""fr"",""it"")"),"Mi piacciono gli alberi e più in particolare la betulla.")</f>
        <v>Mi piacciono gli alberi e più in particolare la betulla.</v>
      </c>
    </row>
    <row r="5833">
      <c r="A5833" s="4">
        <v>5831.0</v>
      </c>
      <c r="B5833" s="5" t="s">
        <v>17500</v>
      </c>
      <c r="C5833" s="4">
        <v>0.0</v>
      </c>
      <c r="D5833" s="5" t="s">
        <v>17501</v>
      </c>
      <c r="E5833" s="5" t="s">
        <v>17502</v>
      </c>
      <c r="F5833" s="6" t="str">
        <f>IFERROR(__xludf.DUMMYFUNCTION("GOOGLETRANSLATE(D5833,""en"",""it"")"),"Mi piacciono le betulle e più specificamente animali.")</f>
        <v>Mi piacciono le betulle e più specificamente animali.</v>
      </c>
      <c r="G5833" s="6" t="str">
        <f>IFERROR(__xludf.DUMMYFUNCTION("GOOGLETRANSLATE(E5833,""fr"",""it"")"),"Mi piace la betulla, in particolare gli animali.")</f>
        <v>Mi piace la betulla, in particolare gli animali.</v>
      </c>
    </row>
    <row r="5834">
      <c r="A5834" s="4">
        <v>5832.0</v>
      </c>
      <c r="B5834" s="5" t="s">
        <v>17503</v>
      </c>
      <c r="C5834" s="4">
        <v>0.0</v>
      </c>
      <c r="D5834" s="5" t="s">
        <v>17504</v>
      </c>
      <c r="E5834" s="5" t="s">
        <v>17505</v>
      </c>
      <c r="F5834" s="6" t="str">
        <f>IFERROR(__xludf.DUMMYFUNCTION("GOOGLETRANSLATE(D5834,""en"",""it"")"),"Mi piacciono gli animali, e più specificamente betulle.")</f>
        <v>Mi piacciono gli animali, e più specificamente betulle.</v>
      </c>
      <c r="G5834" s="6" t="str">
        <f>IFERROR(__xludf.DUMMYFUNCTION("GOOGLETRANSLATE(E5834,""fr"",""it"")"),"Amo gli animali, e più in particolare betulla.")</f>
        <v>Amo gli animali, e più in particolare betulla.</v>
      </c>
    </row>
    <row r="5835">
      <c r="A5835" s="4">
        <v>5833.0</v>
      </c>
      <c r="B5835" s="5" t="s">
        <v>17506</v>
      </c>
      <c r="C5835" s="4">
        <v>0.0</v>
      </c>
      <c r="D5835" s="5" t="s">
        <v>17507</v>
      </c>
      <c r="E5835" s="5" t="s">
        <v>17508</v>
      </c>
      <c r="F5835" s="6" t="str">
        <f>IFERROR(__xludf.DUMMYFUNCTION("GOOGLETRANSLATE(D5835,""en"",""it"")"),"Mi piacciono le betulle e più specificamente cespugli.")</f>
        <v>Mi piacciono le betulle e più specificamente cespugli.</v>
      </c>
      <c r="G5835" s="6" t="str">
        <f>IFERROR(__xludf.DUMMYFUNCTION("GOOGLETRANSLATE(E5835,""fr"",""it"")"),"Mi piace la betulla e più in particolare i cespugli.")</f>
        <v>Mi piace la betulla e più in particolare i cespugli.</v>
      </c>
    </row>
    <row r="5836">
      <c r="A5836" s="4">
        <v>5834.0</v>
      </c>
      <c r="B5836" s="5" t="s">
        <v>17509</v>
      </c>
      <c r="C5836" s="4">
        <v>0.0</v>
      </c>
      <c r="D5836" s="5" t="s">
        <v>17510</v>
      </c>
      <c r="E5836" s="5" t="s">
        <v>17511</v>
      </c>
      <c r="F5836" s="6" t="str">
        <f>IFERROR(__xludf.DUMMYFUNCTION("GOOGLETRANSLATE(D5836,""en"",""it"")"),"Mi piacciono i cespugli e più specificamente betulle.")</f>
        <v>Mi piacciono i cespugli e più specificamente betulle.</v>
      </c>
      <c r="G5836" s="6" t="str">
        <f>IFERROR(__xludf.DUMMYFUNCTION("GOOGLETRANSLATE(E5836,""fr"",""it"")"),"Amo i cespugli e più in particolare di betulla.")</f>
        <v>Amo i cespugli e più in particolare di betulla.</v>
      </c>
    </row>
    <row r="5837">
      <c r="A5837" s="4">
        <v>5835.0</v>
      </c>
      <c r="B5837" s="5" t="s">
        <v>17512</v>
      </c>
      <c r="C5837" s="4">
        <v>0.0</v>
      </c>
      <c r="D5837" s="5" t="s">
        <v>17513</v>
      </c>
      <c r="E5837" s="5" t="s">
        <v>17514</v>
      </c>
      <c r="F5837" s="6" t="str">
        <f>IFERROR(__xludf.DUMMYFUNCTION("GOOGLETRANSLATE(D5837,""en"",""it"")"),"Mi piacciono le betulle e più specificamente arbusti.")</f>
        <v>Mi piacciono le betulle e più specificamente arbusti.</v>
      </c>
      <c r="G5837" s="6" t="str">
        <f>IFERROR(__xludf.DUMMYFUNCTION("GOOGLETRANSLATE(E5837,""fr"",""it"")"),"Amo le betulle e più in particolare gli arbusti.")</f>
        <v>Amo le betulle e più in particolare gli arbusti.</v>
      </c>
    </row>
    <row r="5838">
      <c r="A5838" s="4">
        <v>5836.0</v>
      </c>
      <c r="B5838" s="5" t="s">
        <v>17515</v>
      </c>
      <c r="C5838" s="4">
        <v>0.0</v>
      </c>
      <c r="D5838" s="5" t="s">
        <v>17516</v>
      </c>
      <c r="E5838" s="5" t="s">
        <v>17517</v>
      </c>
      <c r="F5838" s="6" t="str">
        <f>IFERROR(__xludf.DUMMYFUNCTION("GOOGLETRANSLATE(D5838,""en"",""it"")"),"Mi piacciono gli arbusti e più specificamente betulle.")</f>
        <v>Mi piacciono gli arbusti e più specificamente betulle.</v>
      </c>
      <c r="G5838" s="6" t="str">
        <f>IFERROR(__xludf.DUMMYFUNCTION("GOOGLETRANSLATE(E5838,""fr"",""it"")"),"Mi piacciono gli arbusti e più in particolare betulla.")</f>
        <v>Mi piacciono gli arbusti e più in particolare betulla.</v>
      </c>
    </row>
    <row r="5839">
      <c r="A5839" s="5"/>
      <c r="B5839" s="5"/>
      <c r="C5839" s="5"/>
    </row>
    <row r="5840">
      <c r="A5840" s="5"/>
      <c r="B5840" s="5"/>
      <c r="C5840" s="5"/>
    </row>
    <row r="5841">
      <c r="A5841" s="5"/>
      <c r="B5841" s="5"/>
      <c r="C5841" s="5"/>
    </row>
    <row r="5842">
      <c r="A5842" s="5"/>
      <c r="B5842" s="5"/>
      <c r="C5842" s="5"/>
    </row>
    <row r="5843">
      <c r="A5843" s="5"/>
      <c r="B5843" s="5"/>
      <c r="C5843" s="5"/>
    </row>
    <row r="5844">
      <c r="A5844" s="5"/>
      <c r="B5844" s="5"/>
      <c r="C5844" s="5"/>
    </row>
  </sheetData>
  <drawing r:id="rId1"/>
</worksheet>
</file>