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park\Desktop\"/>
    </mc:Choice>
  </mc:AlternateContent>
  <bookViews>
    <workbookView xWindow="122" yWindow="54" windowWidth="22700" windowHeight="14957" activeTab="1"/>
  </bookViews>
  <sheets>
    <sheet name="Meizu" sheetId="5" r:id="rId1"/>
    <sheet name="Meizu (2)" sheetId="6" r:id="rId2"/>
  </sheets>
  <definedNames>
    <definedName name="solver_adj" localSheetId="0" hidden="1">Meizu!$N$3:$O$3</definedName>
    <definedName name="solver_adj" localSheetId="1" hidden="1">'Meizu (2)'!$Q$3:$R$3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1000</definedName>
    <definedName name="solver_lhs1" localSheetId="0" hidden="1">Meizu!$O$5</definedName>
    <definedName name="solver_lhs1" localSheetId="1" hidden="1">'Meizu (2)'!$Q$3</definedName>
    <definedName name="solver_lhs2" localSheetId="0" hidden="1">Meizu!$O$5</definedName>
    <definedName name="solver_lhs2" localSheetId="1" hidden="1">'Meizu (2)'!$R$3</definedName>
    <definedName name="solver_lhs3" localSheetId="0" hidden="1">Meizu!$O$5</definedName>
    <definedName name="solver_lhs3" localSheetId="1" hidden="1">'Meizu (2)'!$R$3</definedName>
    <definedName name="solver_lhs4" localSheetId="0" hidden="1">Meizu!$O$5</definedName>
    <definedName name="solver_lhs4" localSheetId="1" hidden="1">'Meizu (2)'!$R$3</definedName>
    <definedName name="solver_lhs5" localSheetId="1" hidden="1">'Meizu (2)'!$R$3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Meizu!$AC$25</definedName>
    <definedName name="solver_opt" localSheetId="1" hidden="1">'Meizu (2)'!$AI$25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4</definedName>
    <definedName name="solver_rel2" localSheetId="0" hidden="1">3</definedName>
    <definedName name="solver_rel2" localSheetId="1" hidden="1">4</definedName>
    <definedName name="solver_rel3" localSheetId="0" hidden="1">1</definedName>
    <definedName name="solver_rel3" localSheetId="1" hidden="1">3</definedName>
    <definedName name="solver_rel4" localSheetId="0" hidden="1">3</definedName>
    <definedName name="solver_rel4" localSheetId="1" hidden="1">3</definedName>
    <definedName name="solver_rel5" localSheetId="1" hidden="1">3</definedName>
    <definedName name="solver_rhs1" localSheetId="0" hidden="1">576</definedName>
    <definedName name="solver_rhs1" localSheetId="1" hidden="1">integer</definedName>
    <definedName name="solver_rhs2" localSheetId="0" hidden="1">555</definedName>
    <definedName name="solver_rhs2" localSheetId="1" hidden="1">integer</definedName>
    <definedName name="solver_rhs3" localSheetId="0" hidden="1">576</definedName>
    <definedName name="solver_rhs3" localSheetId="1" hidden="1">-65535</definedName>
    <definedName name="solver_rhs4" localSheetId="0" hidden="1">555</definedName>
    <definedName name="solver_rhs4" localSheetId="1" hidden="1">-65535</definedName>
    <definedName name="solver_rhs5" localSheetId="1" hidden="1">-65535</definedName>
    <definedName name="solver_rlx" localSheetId="0" hidden="1">1</definedName>
    <definedName name="solver_rlx" localSheetId="1" hidden="1">1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1000</definedName>
    <definedName name="solver_tim" localSheetId="0" hidden="1">100</definedName>
    <definedName name="solver_tim" localSheetId="1" hidden="1">1000</definedName>
    <definedName name="solver_tol" localSheetId="0" hidden="1">0.05</definedName>
    <definedName name="solver_tol" localSheetId="1" hidden="1">0.05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52511"/>
</workbook>
</file>

<file path=xl/calcChain.xml><?xml version="1.0" encoding="utf-8"?>
<calcChain xmlns="http://schemas.openxmlformats.org/spreadsheetml/2006/main">
  <c r="AD4" i="6" l="1"/>
  <c r="AE4" i="6" s="1"/>
  <c r="AD5" i="6"/>
  <c r="AD6" i="6"/>
  <c r="AD7" i="6"/>
  <c r="AD8" i="6"/>
  <c r="AD9" i="6"/>
  <c r="AE9" i="6" s="1"/>
  <c r="AD10" i="6"/>
  <c r="AD11" i="6"/>
  <c r="AD12" i="6"/>
  <c r="AD13" i="6"/>
  <c r="AD3" i="6"/>
  <c r="AC4" i="6"/>
  <c r="AC5" i="6"/>
  <c r="AC6" i="6"/>
  <c r="AC7" i="6"/>
  <c r="AC8" i="6"/>
  <c r="AC9" i="6"/>
  <c r="AC10" i="6"/>
  <c r="AC11" i="6"/>
  <c r="AC12" i="6"/>
  <c r="AC13" i="6"/>
  <c r="AC3" i="6"/>
  <c r="AE3" i="6" s="1"/>
  <c r="AE5" i="6"/>
  <c r="AE6" i="6"/>
  <c r="AE8" i="6"/>
  <c r="AE10" i="6"/>
  <c r="AE12" i="6"/>
  <c r="AE13" i="6"/>
  <c r="V3" i="6"/>
  <c r="S3" i="6"/>
  <c r="P3" i="6"/>
  <c r="F4" i="6"/>
  <c r="G4" i="6"/>
  <c r="H4" i="6"/>
  <c r="F5" i="6"/>
  <c r="G5" i="6"/>
  <c r="H5" i="6"/>
  <c r="F6" i="6"/>
  <c r="G6" i="6"/>
  <c r="H6" i="6"/>
  <c r="F7" i="6"/>
  <c r="G7" i="6"/>
  <c r="H7" i="6"/>
  <c r="F8" i="6"/>
  <c r="G8" i="6"/>
  <c r="H8" i="6"/>
  <c r="F9" i="6"/>
  <c r="G9" i="6"/>
  <c r="H9" i="6"/>
  <c r="F10" i="6"/>
  <c r="G10" i="6"/>
  <c r="H10" i="6"/>
  <c r="F11" i="6"/>
  <c r="G11" i="6"/>
  <c r="H11" i="6"/>
  <c r="F12" i="6"/>
  <c r="G12" i="6"/>
  <c r="H12" i="6"/>
  <c r="F13" i="6"/>
  <c r="G13" i="6"/>
  <c r="H13" i="6"/>
  <c r="G3" i="6"/>
  <c r="H3" i="6"/>
  <c r="F3" i="6"/>
  <c r="C3" i="6"/>
  <c r="D3" i="6"/>
  <c r="U3" i="6"/>
  <c r="R3" i="5"/>
  <c r="P3" i="5"/>
  <c r="S3" i="5" s="1"/>
  <c r="P4" i="6"/>
  <c r="P5" i="6"/>
  <c r="P6" i="6"/>
  <c r="P7" i="6"/>
  <c r="P8" i="6"/>
  <c r="P9" i="6"/>
  <c r="P10" i="6"/>
  <c r="P11" i="6"/>
  <c r="P12" i="6"/>
  <c r="P13" i="6"/>
  <c r="M3" i="5"/>
  <c r="S15" i="6"/>
  <c r="T13" i="6"/>
  <c r="O13" i="6"/>
  <c r="N13" i="6"/>
  <c r="M13" i="6"/>
  <c r="E13" i="6"/>
  <c r="T12" i="6"/>
  <c r="O12" i="6"/>
  <c r="N12" i="6"/>
  <c r="M12" i="6"/>
  <c r="E12" i="6"/>
  <c r="T11" i="6"/>
  <c r="O11" i="6"/>
  <c r="N11" i="6"/>
  <c r="M11" i="6"/>
  <c r="E11" i="6"/>
  <c r="D11" i="6"/>
  <c r="C11" i="6"/>
  <c r="T10" i="6"/>
  <c r="O10" i="6"/>
  <c r="N10" i="6"/>
  <c r="M10" i="6"/>
  <c r="E10" i="6"/>
  <c r="T9" i="6"/>
  <c r="O9" i="6"/>
  <c r="N9" i="6"/>
  <c r="M9" i="6"/>
  <c r="E9" i="6"/>
  <c r="T8" i="6"/>
  <c r="O8" i="6"/>
  <c r="N8" i="6"/>
  <c r="M8" i="6"/>
  <c r="E8" i="6"/>
  <c r="C8" i="6"/>
  <c r="T7" i="6"/>
  <c r="O7" i="6"/>
  <c r="N7" i="6"/>
  <c r="M7" i="6"/>
  <c r="E7" i="6"/>
  <c r="T6" i="6"/>
  <c r="O6" i="6"/>
  <c r="N6" i="6"/>
  <c r="M6" i="6"/>
  <c r="E6" i="6"/>
  <c r="T5" i="6"/>
  <c r="O5" i="6"/>
  <c r="N5" i="6"/>
  <c r="M5" i="6"/>
  <c r="E5" i="6"/>
  <c r="T4" i="6"/>
  <c r="R4" i="6"/>
  <c r="U4" i="6" s="1"/>
  <c r="Q4" i="6"/>
  <c r="S4" i="6" s="1"/>
  <c r="O4" i="6"/>
  <c r="N4" i="6"/>
  <c r="M4" i="6"/>
  <c r="E4" i="6"/>
  <c r="T3" i="6"/>
  <c r="O3" i="6"/>
  <c r="N3" i="6"/>
  <c r="M3" i="6"/>
  <c r="AF22" i="6" s="1" a="1"/>
  <c r="E3" i="6"/>
  <c r="AE11" i="6" l="1"/>
  <c r="AE7" i="6"/>
  <c r="X4" i="6"/>
  <c r="V4" i="6"/>
  <c r="W4" i="6"/>
  <c r="W3" i="6"/>
  <c r="X3" i="6"/>
  <c r="R5" i="6"/>
  <c r="U5" i="6" s="1"/>
  <c r="Q5" i="6"/>
  <c r="S5" i="6" s="1"/>
  <c r="AG22" i="6"/>
  <c r="AH22" i="6"/>
  <c r="AF22" i="6"/>
  <c r="AF20" i="6" a="1"/>
  <c r="AF21" i="6" a="1"/>
  <c r="M4" i="5"/>
  <c r="M5" i="5"/>
  <c r="M6" i="5"/>
  <c r="M7" i="5"/>
  <c r="M8" i="5"/>
  <c r="M9" i="5"/>
  <c r="M10" i="5"/>
  <c r="M11" i="5"/>
  <c r="M12" i="5"/>
  <c r="M13" i="5"/>
  <c r="D11" i="5"/>
  <c r="C11" i="5"/>
  <c r="C8" i="5"/>
  <c r="Q13" i="5"/>
  <c r="L13" i="5"/>
  <c r="K13" i="5"/>
  <c r="J13" i="5"/>
  <c r="Q12" i="5"/>
  <c r="L12" i="5"/>
  <c r="K12" i="5"/>
  <c r="J12" i="5"/>
  <c r="E12" i="5"/>
  <c r="Q11" i="5"/>
  <c r="L11" i="5"/>
  <c r="K11" i="5"/>
  <c r="J11" i="5"/>
  <c r="Q10" i="5"/>
  <c r="L10" i="5"/>
  <c r="K10" i="5"/>
  <c r="J10" i="5"/>
  <c r="E10" i="5"/>
  <c r="Q9" i="5"/>
  <c r="L9" i="5"/>
  <c r="K9" i="5"/>
  <c r="J9" i="5"/>
  <c r="E9" i="5"/>
  <c r="Q8" i="5"/>
  <c r="L8" i="5"/>
  <c r="K8" i="5"/>
  <c r="J8" i="5"/>
  <c r="Q7" i="5"/>
  <c r="L7" i="5"/>
  <c r="K7" i="5"/>
  <c r="J7" i="5"/>
  <c r="E7" i="5"/>
  <c r="Q6" i="5"/>
  <c r="L6" i="5"/>
  <c r="K6" i="5"/>
  <c r="J6" i="5"/>
  <c r="E6" i="5"/>
  <c r="Q5" i="5"/>
  <c r="L5" i="5"/>
  <c r="K5" i="5"/>
  <c r="J5" i="5"/>
  <c r="E5" i="5"/>
  <c r="Q4" i="5"/>
  <c r="O4" i="5"/>
  <c r="N4" i="5"/>
  <c r="L4" i="5"/>
  <c r="K4" i="5"/>
  <c r="J4" i="5"/>
  <c r="E4" i="5"/>
  <c r="Q3" i="5"/>
  <c r="L3" i="5"/>
  <c r="K3" i="5"/>
  <c r="J3" i="5"/>
  <c r="E3" i="5"/>
  <c r="X5" i="6" l="1"/>
  <c r="W5" i="6"/>
  <c r="V5" i="6"/>
  <c r="Q6" i="6"/>
  <c r="S6" i="6" s="1"/>
  <c r="R6" i="6"/>
  <c r="U6" i="6" s="1"/>
  <c r="N5" i="5"/>
  <c r="P5" i="5" s="1"/>
  <c r="P4" i="5"/>
  <c r="O5" i="5"/>
  <c r="R5" i="5" s="1"/>
  <c r="R4" i="5"/>
  <c r="AG21" i="6"/>
  <c r="AH21" i="6"/>
  <c r="AF21" i="6"/>
  <c r="AG20" i="6"/>
  <c r="AH20" i="6"/>
  <c r="AF20" i="6"/>
  <c r="E8" i="5"/>
  <c r="E13" i="5"/>
  <c r="E11" i="5"/>
  <c r="Z20" i="5" a="1"/>
  <c r="Z21" i="5" a="1"/>
  <c r="Z22" i="5" a="1"/>
  <c r="W6" i="6" l="1"/>
  <c r="X6" i="6"/>
  <c r="V6" i="6"/>
  <c r="R7" i="6"/>
  <c r="U7" i="6" s="1"/>
  <c r="X7" i="6" s="1"/>
  <c r="Q7" i="6"/>
  <c r="S7" i="6" s="1"/>
  <c r="N6" i="5"/>
  <c r="N7" i="5" s="1"/>
  <c r="P7" i="5" s="1"/>
  <c r="O6" i="5"/>
  <c r="R6" i="5" s="1"/>
  <c r="Y11" i="6"/>
  <c r="Y9" i="6"/>
  <c r="Y6" i="6"/>
  <c r="Y13" i="6"/>
  <c r="Y4" i="6"/>
  <c r="Y12" i="6"/>
  <c r="Y10" i="6"/>
  <c r="Y7" i="6"/>
  <c r="Y3" i="6"/>
  <c r="Y8" i="6"/>
  <c r="Y5" i="6"/>
  <c r="Z8" i="6"/>
  <c r="Z5" i="6"/>
  <c r="Z4" i="6"/>
  <c r="Z12" i="6"/>
  <c r="Z10" i="6"/>
  <c r="Z7" i="6"/>
  <c r="Z3" i="6"/>
  <c r="Z11" i="6"/>
  <c r="Z9" i="6"/>
  <c r="Z6" i="6"/>
  <c r="Z13" i="6"/>
  <c r="U3" i="5"/>
  <c r="T3" i="5"/>
  <c r="U5" i="5"/>
  <c r="U4" i="5"/>
  <c r="S5" i="5"/>
  <c r="AB21" i="5"/>
  <c r="AA21" i="5"/>
  <c r="Z21" i="5"/>
  <c r="T4" i="5"/>
  <c r="T5" i="5"/>
  <c r="S4" i="5"/>
  <c r="AB22" i="5"/>
  <c r="AA22" i="5"/>
  <c r="Z22" i="5"/>
  <c r="AB20" i="5"/>
  <c r="Z20" i="5"/>
  <c r="AA20" i="5"/>
  <c r="V7" i="6" l="1"/>
  <c r="AF17" i="6" s="1" a="1"/>
  <c r="W7" i="6"/>
  <c r="Q8" i="6"/>
  <c r="S8" i="6" s="1"/>
  <c r="R8" i="6"/>
  <c r="U8" i="6" s="1"/>
  <c r="X8" i="6" s="1"/>
  <c r="P6" i="5"/>
  <c r="T6" i="5" s="1"/>
  <c r="O7" i="5"/>
  <c r="R7" i="5" s="1"/>
  <c r="N8" i="5"/>
  <c r="N9" i="5" s="1"/>
  <c r="P9" i="5" s="1"/>
  <c r="W11" i="5"/>
  <c r="W7" i="5"/>
  <c r="W3" i="5"/>
  <c r="W8" i="5"/>
  <c r="W10" i="5"/>
  <c r="W6" i="5"/>
  <c r="W12" i="5"/>
  <c r="W13" i="5"/>
  <c r="W9" i="5"/>
  <c r="W5" i="5"/>
  <c r="W4" i="5"/>
  <c r="V12" i="5"/>
  <c r="V8" i="5"/>
  <c r="V4" i="5"/>
  <c r="V11" i="5"/>
  <c r="V7" i="5"/>
  <c r="V3" i="5"/>
  <c r="V13" i="5"/>
  <c r="V5" i="5"/>
  <c r="V10" i="5"/>
  <c r="V6" i="5"/>
  <c r="V9" i="5"/>
  <c r="AF17" i="6" l="1"/>
  <c r="AA17" i="6" s="1"/>
  <c r="AH17" i="6"/>
  <c r="AG17" i="6"/>
  <c r="AB17" i="6" s="1"/>
  <c r="AF18" i="6" a="1"/>
  <c r="V8" i="6"/>
  <c r="W8" i="6"/>
  <c r="R9" i="6"/>
  <c r="U9" i="6" s="1"/>
  <c r="Q9" i="6"/>
  <c r="S9" i="6" s="1"/>
  <c r="U6" i="5"/>
  <c r="S6" i="5"/>
  <c r="P8" i="5"/>
  <c r="O8" i="5"/>
  <c r="R8" i="5" s="1"/>
  <c r="N10" i="5"/>
  <c r="P10" i="5" s="1"/>
  <c r="U7" i="5"/>
  <c r="T7" i="5"/>
  <c r="S7" i="5"/>
  <c r="AF18" i="6" l="1"/>
  <c r="AA18" i="6" s="1"/>
  <c r="AH18" i="6"/>
  <c r="AG18" i="6"/>
  <c r="AB18" i="6" s="1"/>
  <c r="AA7" i="6"/>
  <c r="AA3" i="6"/>
  <c r="AC17" i="6"/>
  <c r="AA4" i="6"/>
  <c r="AA5" i="6"/>
  <c r="AA9" i="6"/>
  <c r="AA6" i="6"/>
  <c r="AA8" i="6"/>
  <c r="W9" i="6"/>
  <c r="V9" i="6"/>
  <c r="X9" i="6"/>
  <c r="Q10" i="6"/>
  <c r="S10" i="6" s="1"/>
  <c r="R10" i="6"/>
  <c r="U10" i="6" s="1"/>
  <c r="O9" i="5"/>
  <c r="R9" i="5" s="1"/>
  <c r="N11" i="5"/>
  <c r="P11" i="5" s="1"/>
  <c r="Z17" i="5" a="1"/>
  <c r="AB17" i="5" s="1"/>
  <c r="U8" i="5"/>
  <c r="T8" i="5"/>
  <c r="S8" i="5"/>
  <c r="Z18" i="5" a="1"/>
  <c r="AF7" i="6" l="1"/>
  <c r="AB4" i="6"/>
  <c r="AF4" i="6" s="1"/>
  <c r="AB8" i="6"/>
  <c r="AF8" i="6" s="1"/>
  <c r="AB6" i="6"/>
  <c r="AF6" i="6" s="1"/>
  <c r="AC18" i="6"/>
  <c r="AB7" i="6"/>
  <c r="AB3" i="6"/>
  <c r="AF3" i="6" s="1"/>
  <c r="AB5" i="6"/>
  <c r="AF5" i="6" s="1"/>
  <c r="AB9" i="6"/>
  <c r="AF9" i="6" s="1"/>
  <c r="V10" i="6"/>
  <c r="W10" i="6"/>
  <c r="AB10" i="6" s="1"/>
  <c r="X10" i="6"/>
  <c r="R11" i="6"/>
  <c r="U11" i="6" s="1"/>
  <c r="Q11" i="6"/>
  <c r="S11" i="6" s="1"/>
  <c r="O10" i="5"/>
  <c r="R10" i="5" s="1"/>
  <c r="N12" i="5"/>
  <c r="P12" i="5" s="1"/>
  <c r="AA17" i="5"/>
  <c r="Z17" i="5"/>
  <c r="AB18" i="5"/>
  <c r="AA18" i="5"/>
  <c r="Z18" i="5"/>
  <c r="U9" i="5"/>
  <c r="T9" i="5"/>
  <c r="S9" i="5"/>
  <c r="AG11" i="6" l="1"/>
  <c r="AG8" i="6"/>
  <c r="AG10" i="6"/>
  <c r="AG6" i="6"/>
  <c r="AG4" i="6"/>
  <c r="AG9" i="6"/>
  <c r="AG12" i="6"/>
  <c r="AG13" i="6"/>
  <c r="AG7" i="6"/>
  <c r="AG3" i="6"/>
  <c r="AG5" i="6"/>
  <c r="AA10" i="6"/>
  <c r="AF10" i="6" s="1"/>
  <c r="X11" i="6"/>
  <c r="V11" i="6"/>
  <c r="W11" i="6"/>
  <c r="R12" i="6"/>
  <c r="U12" i="6" s="1"/>
  <c r="Q12" i="6"/>
  <c r="S12" i="6" s="1"/>
  <c r="O11" i="5"/>
  <c r="R11" i="5" s="1"/>
  <c r="N13" i="5"/>
  <c r="P13" i="5" s="1"/>
  <c r="X7" i="5"/>
  <c r="X4" i="5"/>
  <c r="X6" i="5"/>
  <c r="X9" i="5"/>
  <c r="X5" i="5"/>
  <c r="X8" i="5"/>
  <c r="X3" i="5"/>
  <c r="U10" i="5"/>
  <c r="T10" i="5"/>
  <c r="S10" i="5"/>
  <c r="Y9" i="5"/>
  <c r="Y5" i="5"/>
  <c r="Y6" i="5"/>
  <c r="Y8" i="5"/>
  <c r="Y4" i="5"/>
  <c r="Y7" i="5"/>
  <c r="Y3" i="5"/>
  <c r="AA11" i="6" l="1"/>
  <c r="AB11" i="6"/>
  <c r="X12" i="6"/>
  <c r="V12" i="6"/>
  <c r="W12" i="6"/>
  <c r="Q13" i="6"/>
  <c r="S13" i="6" s="1"/>
  <c r="R13" i="6"/>
  <c r="U13" i="6" s="1"/>
  <c r="X13" i="6" s="1"/>
  <c r="O12" i="5"/>
  <c r="R12" i="5" s="1"/>
  <c r="AH7" i="6"/>
  <c r="AI3" i="6"/>
  <c r="AH4" i="6"/>
  <c r="AH8" i="6"/>
  <c r="AI6" i="6"/>
  <c r="AH5" i="6"/>
  <c r="AH9" i="6"/>
  <c r="Z8" i="5"/>
  <c r="AA8" i="5" s="1"/>
  <c r="AC8" i="5" s="1"/>
  <c r="Z3" i="5"/>
  <c r="AA3" i="5" s="1"/>
  <c r="AC3" i="5" s="1"/>
  <c r="Z6" i="5"/>
  <c r="AA6" i="5" s="1"/>
  <c r="AC6" i="5" s="1"/>
  <c r="Z9" i="5"/>
  <c r="AA9" i="5" s="1"/>
  <c r="Z4" i="5"/>
  <c r="AA4" i="5" s="1"/>
  <c r="Z5" i="5"/>
  <c r="AA5" i="5" s="1"/>
  <c r="Z7" i="5"/>
  <c r="AA7" i="5" s="1"/>
  <c r="Y10" i="5"/>
  <c r="X10" i="5"/>
  <c r="U11" i="5"/>
  <c r="T11" i="5"/>
  <c r="S11" i="5"/>
  <c r="O13" i="5"/>
  <c r="R13" i="5" s="1"/>
  <c r="AA12" i="6" l="1"/>
  <c r="AB12" i="6"/>
  <c r="AF11" i="6"/>
  <c r="W13" i="6"/>
  <c r="V13" i="6"/>
  <c r="AI7" i="6"/>
  <c r="AH6" i="6"/>
  <c r="AH3" i="6"/>
  <c r="AI4" i="6"/>
  <c r="AI8" i="6"/>
  <c r="AI5" i="6"/>
  <c r="AI9" i="6"/>
  <c r="AI10" i="6"/>
  <c r="AB8" i="5"/>
  <c r="AB3" i="5"/>
  <c r="AB6" i="5"/>
  <c r="AC7" i="5"/>
  <c r="AB7" i="5"/>
  <c r="Z10" i="5"/>
  <c r="AA10" i="5" s="1"/>
  <c r="AC4" i="5"/>
  <c r="AB4" i="5"/>
  <c r="AC9" i="5"/>
  <c r="AB9" i="5"/>
  <c r="AB5" i="5"/>
  <c r="AC5" i="5"/>
  <c r="U13" i="5"/>
  <c r="S13" i="5"/>
  <c r="T13" i="5"/>
  <c r="X11" i="5"/>
  <c r="Y11" i="5"/>
  <c r="U12" i="5"/>
  <c r="S12" i="5"/>
  <c r="T12" i="5"/>
  <c r="AA13" i="6" l="1"/>
  <c r="AB13" i="6"/>
  <c r="AF12" i="6"/>
  <c r="AI24" i="6"/>
  <c r="AI23" i="6"/>
  <c r="AH10" i="6"/>
  <c r="AI11" i="6"/>
  <c r="AC24" i="5"/>
  <c r="Z11" i="5"/>
  <c r="AA11" i="5" s="1"/>
  <c r="AB11" i="5" s="1"/>
  <c r="AC23" i="5"/>
  <c r="AC10" i="5"/>
  <c r="AB10" i="5"/>
  <c r="X13" i="5"/>
  <c r="Y13" i="5"/>
  <c r="X12" i="5"/>
  <c r="Y12" i="5"/>
  <c r="AF13" i="6" l="1"/>
  <c r="AI25" i="6"/>
  <c r="AH11" i="6"/>
  <c r="AC25" i="5"/>
  <c r="AC11" i="5"/>
  <c r="Z12" i="5"/>
  <c r="AA12" i="5" s="1"/>
  <c r="Z13" i="5"/>
  <c r="AA13" i="5" s="1"/>
  <c r="AH13" i="6" l="1"/>
  <c r="AI13" i="6"/>
  <c r="AI12" i="6"/>
  <c r="AH12" i="6"/>
  <c r="AC13" i="5"/>
  <c r="AB13" i="5"/>
  <c r="AB12" i="5"/>
  <c r="AC12" i="5"/>
</calcChain>
</file>

<file path=xl/sharedStrings.xml><?xml version="1.0" encoding="utf-8"?>
<sst xmlns="http://schemas.openxmlformats.org/spreadsheetml/2006/main" count="83" uniqueCount="39">
  <si>
    <t xml:space="preserve">DUT </t>
  </si>
  <si>
    <t>Source</t>
  </si>
  <si>
    <t>x</t>
  </si>
  <si>
    <t>y</t>
  </si>
  <si>
    <t>kr</t>
  </si>
  <si>
    <t>kb</t>
  </si>
  <si>
    <t>CCT</t>
  </si>
  <si>
    <t>G91</t>
  </si>
  <si>
    <t>R0</t>
  </si>
  <si>
    <t>G0</t>
  </si>
  <si>
    <t>B0</t>
  </si>
  <si>
    <t>xyCCM</t>
  </si>
  <si>
    <t>n</t>
  </si>
  <si>
    <t>dCCT</t>
  </si>
  <si>
    <t>CCT err</t>
  </si>
  <si>
    <t>z</t>
  </si>
  <si>
    <t>nr</t>
  </si>
  <si>
    <t>ng</t>
  </si>
  <si>
    <t>nb</t>
  </si>
  <si>
    <t>S</t>
  </si>
  <si>
    <t>s</t>
  </si>
  <si>
    <t>f</t>
  </si>
  <si>
    <t>d65</t>
  </si>
  <si>
    <t>genR</t>
  </si>
  <si>
    <t>genB</t>
  </si>
  <si>
    <t>genG</t>
  </si>
  <si>
    <t>gen_nr</t>
  </si>
  <si>
    <t>gen_nb</t>
  </si>
  <si>
    <t>gen_ng</t>
  </si>
  <si>
    <t>gen_nx</t>
  </si>
  <si>
    <t>gen_ny</t>
  </si>
  <si>
    <t>nx</t>
  </si>
  <si>
    <t>ny</t>
  </si>
  <si>
    <t>CL200A</t>
  </si>
  <si>
    <t>solver</t>
  </si>
  <si>
    <t>G0/G91-1</t>
  </si>
  <si>
    <t>e-4</t>
  </si>
  <si>
    <t>nn</t>
  </si>
  <si>
    <t>xyCCM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</si>
</sst>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2" borderId="0" xfId="0" applyNumberFormat="1" applyFill="1"/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/>
    <xf numFmtId="0" fontId="0" fillId="0" borderId="1" xfId="0" applyFill="1" applyBorder="1"/>
    <xf numFmtId="1" fontId="0" fillId="0" borderId="1" xfId="0" applyNumberForma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164" fontId="0" fillId="0" borderId="6" xfId="0" applyNumberFormat="1" applyFill="1" applyBorder="1"/>
    <xf numFmtId="0" fontId="0" fillId="0" borderId="7" xfId="0" applyFill="1" applyBorder="1"/>
    <xf numFmtId="0" fontId="0" fillId="0" borderId="8" xfId="0" applyFill="1" applyBorder="1"/>
    <xf numFmtId="1" fontId="0" fillId="0" borderId="8" xfId="0" applyNumberFormat="1" applyFill="1" applyBorder="1"/>
    <xf numFmtId="164" fontId="0" fillId="0" borderId="9" xfId="0" applyNumberFormat="1" applyFill="1" applyBorder="1"/>
    <xf numFmtId="165" fontId="0" fillId="0" borderId="1" xfId="0" applyNumberFormat="1" applyFill="1" applyBorder="1"/>
    <xf numFmtId="165" fontId="0" fillId="0" borderId="8" xfId="0" applyNumberFormat="1" applyFill="1" applyBorder="1"/>
    <xf numFmtId="166" fontId="0" fillId="0" borderId="1" xfId="0" applyNumberFormat="1" applyFill="1" applyBorder="1"/>
    <xf numFmtId="166" fontId="0" fillId="0" borderId="8" xfId="0" applyNumberFormat="1" applyFill="1" applyBorder="1"/>
    <xf numFmtId="165" fontId="0" fillId="0" borderId="10" xfId="0" applyNumberFormat="1" applyFill="1" applyBorder="1"/>
    <xf numFmtId="166" fontId="0" fillId="0" borderId="0" xfId="0" applyNumberFormat="1" applyFill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Meizu!#REF!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Meizu!$B$3:$B$5</c:f>
              <c:numCache>
                <c:formatCode>General</c:formatCode>
                <c:ptCount val="3"/>
                <c:pt idx="0">
                  <c:v>2901</c:v>
                </c:pt>
                <c:pt idx="1">
                  <c:v>3255</c:v>
                </c:pt>
                <c:pt idx="2">
                  <c:v>4003</c:v>
                </c:pt>
              </c:numCache>
            </c:numRef>
          </c:xVal>
          <c:yVal>
            <c:numRef>
              <c:f>Meizu!#REF!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Meizu!$F$2</c:f>
              <c:strCache>
                <c:ptCount val="1"/>
                <c:pt idx="0">
                  <c:v>G91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Meizu!$B$3:$B$5</c:f>
              <c:numCache>
                <c:formatCode>General</c:formatCode>
                <c:ptCount val="3"/>
                <c:pt idx="0">
                  <c:v>2901</c:v>
                </c:pt>
                <c:pt idx="1">
                  <c:v>3255</c:v>
                </c:pt>
                <c:pt idx="2">
                  <c:v>4003</c:v>
                </c:pt>
              </c:numCache>
            </c:numRef>
          </c:xVal>
          <c:yVal>
            <c:numRef>
              <c:f>Meizu!#REF!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Meizu!#REF!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Meizu!$B$3:$B$5</c:f>
              <c:numCache>
                <c:formatCode>General</c:formatCode>
                <c:ptCount val="3"/>
                <c:pt idx="0">
                  <c:v>2901</c:v>
                </c:pt>
                <c:pt idx="1">
                  <c:v>3255</c:v>
                </c:pt>
                <c:pt idx="2">
                  <c:v>4003</c:v>
                </c:pt>
              </c:numCache>
            </c:numRef>
          </c:xVal>
          <c:yVal>
            <c:numRef>
              <c:f>Meizu!#REF!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579528"/>
        <c:axId val="395580312"/>
      </c:scatterChart>
      <c:valAx>
        <c:axId val="395579528"/>
        <c:scaling>
          <c:orientation val="minMax"/>
          <c:max val="700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580312"/>
        <c:crosses val="autoZero"/>
        <c:crossBetween val="midCat"/>
      </c:valAx>
      <c:valAx>
        <c:axId val="39558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579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Meizu!$P$2</c:f>
              <c:strCache>
                <c:ptCount val="1"/>
                <c:pt idx="0">
                  <c:v>genR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Meizu!$B$3:$B$5</c:f>
              <c:numCache>
                <c:formatCode>General</c:formatCode>
                <c:ptCount val="3"/>
                <c:pt idx="0">
                  <c:v>2901</c:v>
                </c:pt>
                <c:pt idx="1">
                  <c:v>3255</c:v>
                </c:pt>
                <c:pt idx="2">
                  <c:v>4003</c:v>
                </c:pt>
              </c:numCache>
            </c:numRef>
          </c:xVal>
          <c:yVal>
            <c:numRef>
              <c:f>Meizu!$S$3:$S$5</c:f>
              <c:numCache>
                <c:formatCode>0.0000</c:formatCode>
                <c:ptCount val="3"/>
                <c:pt idx="0">
                  <c:v>-0.33642968210342589</c:v>
                </c:pt>
                <c:pt idx="1">
                  <c:v>-0.34554501403667304</c:v>
                </c:pt>
                <c:pt idx="2">
                  <c:v>-0.50513898352880482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Meizu!$Q$2</c:f>
              <c:strCache>
                <c:ptCount val="1"/>
                <c:pt idx="0">
                  <c:v>genG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Meizu!$B$3:$B$5</c:f>
              <c:numCache>
                <c:formatCode>General</c:formatCode>
                <c:ptCount val="3"/>
                <c:pt idx="0">
                  <c:v>2901</c:v>
                </c:pt>
                <c:pt idx="1">
                  <c:v>3255</c:v>
                </c:pt>
                <c:pt idx="2">
                  <c:v>4003</c:v>
                </c:pt>
              </c:numCache>
            </c:numRef>
          </c:xVal>
          <c:yVal>
            <c:numRef>
              <c:f>Meizu!$T$3:$T$5</c:f>
              <c:numCache>
                <c:formatCode>0.0000</c:formatCode>
                <c:ptCount val="3"/>
                <c:pt idx="0">
                  <c:v>0.98406906467314315</c:v>
                </c:pt>
                <c:pt idx="1">
                  <c:v>0.93000364480652364</c:v>
                </c:pt>
                <c:pt idx="2">
                  <c:v>1.005635727349345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Meizu!$R$2</c:f>
              <c:strCache>
                <c:ptCount val="1"/>
                <c:pt idx="0">
                  <c:v>genB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Meizu!$B$3:$B$5</c:f>
              <c:numCache>
                <c:formatCode>General</c:formatCode>
                <c:ptCount val="3"/>
                <c:pt idx="0">
                  <c:v>2901</c:v>
                </c:pt>
                <c:pt idx="1">
                  <c:v>3255</c:v>
                </c:pt>
                <c:pt idx="2">
                  <c:v>4003</c:v>
                </c:pt>
              </c:numCache>
            </c:numRef>
          </c:xVal>
          <c:yVal>
            <c:numRef>
              <c:f>Meizu!$U$3:$U$5</c:f>
              <c:numCache>
                <c:formatCode>0.0000</c:formatCode>
                <c:ptCount val="3"/>
                <c:pt idx="0">
                  <c:v>0.35236061743028269</c:v>
                </c:pt>
                <c:pt idx="1">
                  <c:v>0.41554136923014939</c:v>
                </c:pt>
                <c:pt idx="2">
                  <c:v>0.49950325617945984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580704"/>
        <c:axId val="395584232"/>
      </c:scatterChart>
      <c:valAx>
        <c:axId val="395580704"/>
        <c:scaling>
          <c:orientation val="minMax"/>
          <c:max val="700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584232"/>
        <c:crosses val="autoZero"/>
        <c:crossBetween val="midCat"/>
      </c:valAx>
      <c:valAx>
        <c:axId val="39558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58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Meizu!#REF!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'Meizu (2)'!$B$3:$B$5</c:f>
              <c:numCache>
                <c:formatCode>General</c:formatCode>
                <c:ptCount val="3"/>
                <c:pt idx="0">
                  <c:v>2901</c:v>
                </c:pt>
                <c:pt idx="1">
                  <c:v>3255</c:v>
                </c:pt>
                <c:pt idx="2">
                  <c:v>4003</c:v>
                </c:pt>
              </c:numCache>
            </c:numRef>
          </c:xVal>
          <c:yVal>
            <c:numRef>
              <c:f>Meizu!#REF!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'Meizu (2)'!$I$2</c:f>
              <c:strCache>
                <c:ptCount val="1"/>
                <c:pt idx="0">
                  <c:v>G91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'Meizu (2)'!$B$3:$B$5</c:f>
              <c:numCache>
                <c:formatCode>General</c:formatCode>
                <c:ptCount val="3"/>
                <c:pt idx="0">
                  <c:v>2901</c:v>
                </c:pt>
                <c:pt idx="1">
                  <c:v>3255</c:v>
                </c:pt>
                <c:pt idx="2">
                  <c:v>4003</c:v>
                </c:pt>
              </c:numCache>
            </c:numRef>
          </c:xVal>
          <c:yVal>
            <c:numRef>
              <c:f>Meizu!#REF!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Meizu!#REF!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'Meizu (2)'!$B$3:$B$5</c:f>
              <c:numCache>
                <c:formatCode>General</c:formatCode>
                <c:ptCount val="3"/>
                <c:pt idx="0">
                  <c:v>2901</c:v>
                </c:pt>
                <c:pt idx="1">
                  <c:v>3255</c:v>
                </c:pt>
                <c:pt idx="2">
                  <c:v>4003</c:v>
                </c:pt>
              </c:numCache>
            </c:numRef>
          </c:xVal>
          <c:yVal>
            <c:numRef>
              <c:f>Meizu!#REF!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039176"/>
        <c:axId val="408038784"/>
      </c:scatterChart>
      <c:valAx>
        <c:axId val="408039176"/>
        <c:scaling>
          <c:orientation val="minMax"/>
          <c:max val="700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38784"/>
        <c:crosses val="autoZero"/>
        <c:crossBetween val="midCat"/>
      </c:valAx>
      <c:valAx>
        <c:axId val="4080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39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'Meizu (2)'!$S$2</c:f>
              <c:strCache>
                <c:ptCount val="1"/>
                <c:pt idx="0">
                  <c:v>genR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'Meizu (2)'!$B$3:$B$5</c:f>
              <c:numCache>
                <c:formatCode>General</c:formatCode>
                <c:ptCount val="3"/>
                <c:pt idx="0">
                  <c:v>2901</c:v>
                </c:pt>
                <c:pt idx="1">
                  <c:v>3255</c:v>
                </c:pt>
                <c:pt idx="2">
                  <c:v>4003</c:v>
                </c:pt>
              </c:numCache>
            </c:numRef>
          </c:xVal>
          <c:yVal>
            <c:numRef>
              <c:f>'Meizu (2)'!$V$3:$V$5</c:f>
              <c:numCache>
                <c:formatCode>General</c:formatCode>
                <c:ptCount val="3"/>
                <c:pt idx="0">
                  <c:v>-3367</c:v>
                </c:pt>
                <c:pt idx="1">
                  <c:v>-3462</c:v>
                </c:pt>
                <c:pt idx="2">
                  <c:v>-5065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'Meizu (2)'!$T$2</c:f>
              <c:strCache>
                <c:ptCount val="1"/>
                <c:pt idx="0">
                  <c:v>genG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'Meizu (2)'!$B$3:$B$5</c:f>
              <c:numCache>
                <c:formatCode>General</c:formatCode>
                <c:ptCount val="3"/>
                <c:pt idx="0">
                  <c:v>2901</c:v>
                </c:pt>
                <c:pt idx="1">
                  <c:v>3255</c:v>
                </c:pt>
                <c:pt idx="2">
                  <c:v>4003</c:v>
                </c:pt>
              </c:numCache>
            </c:numRef>
          </c:xVal>
          <c:yVal>
            <c:numRef>
              <c:f>'Meizu (2)'!$W$3:$W$5</c:f>
              <c:numCache>
                <c:formatCode>General</c:formatCode>
                <c:ptCount val="3"/>
                <c:pt idx="0">
                  <c:v>9842</c:v>
                </c:pt>
                <c:pt idx="1">
                  <c:v>9307</c:v>
                </c:pt>
                <c:pt idx="2">
                  <c:v>10070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'Meizu (2)'!$U$2</c:f>
              <c:strCache>
                <c:ptCount val="1"/>
                <c:pt idx="0">
                  <c:v>genB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'Meizu (2)'!$B$3:$B$5</c:f>
              <c:numCache>
                <c:formatCode>General</c:formatCode>
                <c:ptCount val="3"/>
                <c:pt idx="0">
                  <c:v>2901</c:v>
                </c:pt>
                <c:pt idx="1">
                  <c:v>3255</c:v>
                </c:pt>
                <c:pt idx="2">
                  <c:v>4003</c:v>
                </c:pt>
              </c:numCache>
            </c:numRef>
          </c:xVal>
          <c:yVal>
            <c:numRef>
              <c:f>'Meizu (2)'!$X$3:$X$5</c:f>
              <c:numCache>
                <c:formatCode>General</c:formatCode>
                <c:ptCount val="3"/>
                <c:pt idx="0">
                  <c:v>3523</c:v>
                </c:pt>
                <c:pt idx="1">
                  <c:v>4153</c:v>
                </c:pt>
                <c:pt idx="2">
                  <c:v>4994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21160"/>
        <c:axId val="343720768"/>
      </c:scatterChart>
      <c:valAx>
        <c:axId val="343721160"/>
        <c:scaling>
          <c:orientation val="minMax"/>
          <c:max val="700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20768"/>
        <c:crosses val="autoZero"/>
        <c:crossBetween val="midCat"/>
      </c:valAx>
      <c:valAx>
        <c:axId val="34372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21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37</xdr:row>
      <xdr:rowOff>0</xdr:rowOff>
    </xdr:from>
    <xdr:to>
      <xdr:col>5</xdr:col>
      <xdr:colOff>0</xdr:colOff>
      <xdr:row>55</xdr:row>
      <xdr:rowOff>94891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36</xdr:row>
      <xdr:rowOff>51758</xdr:rowOff>
    </xdr:from>
    <xdr:to>
      <xdr:col>6</xdr:col>
      <xdr:colOff>0</xdr:colOff>
      <xdr:row>54</xdr:row>
      <xdr:rowOff>146648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37</xdr:row>
      <xdr:rowOff>0</xdr:rowOff>
    </xdr:from>
    <xdr:to>
      <xdr:col>5</xdr:col>
      <xdr:colOff>0</xdr:colOff>
      <xdr:row>55</xdr:row>
      <xdr:rowOff>94891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36</xdr:row>
      <xdr:rowOff>51758</xdr:rowOff>
    </xdr:from>
    <xdr:to>
      <xdr:col>9</xdr:col>
      <xdr:colOff>0</xdr:colOff>
      <xdr:row>54</xdr:row>
      <xdr:rowOff>146648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activeCell="Y3" sqref="Y3"/>
    </sheetView>
  </sheetViews>
  <sheetFormatPr defaultRowHeight="14.3" x14ac:dyDescent="0.25"/>
  <cols>
    <col min="1" max="5" width="9" style="2"/>
    <col min="6" max="6" width="9" style="2" customWidth="1"/>
    <col min="7" max="9" width="9" style="2"/>
    <col min="10" max="11" width="0" style="2" hidden="1" customWidth="1"/>
    <col min="12" max="12" width="9.25" style="2" hidden="1" customWidth="1"/>
    <col min="13" max="13" width="9" style="2" customWidth="1"/>
    <col min="14" max="14" width="9.75" style="2" customWidth="1"/>
    <col min="15" max="15" width="10" style="2" customWidth="1"/>
    <col min="16" max="16" width="9.5" style="2" customWidth="1"/>
    <col min="17" max="17" width="9.625" style="2" customWidth="1"/>
    <col min="18" max="18" width="9.25" style="2" customWidth="1"/>
    <col min="19" max="21" width="9" style="2" customWidth="1"/>
    <col min="22" max="22" width="9.125" style="2" hidden="1" customWidth="1"/>
    <col min="23" max="23" width="9" style="2" hidden="1" customWidth="1"/>
    <col min="24" max="25" width="9" style="2" customWidth="1"/>
    <col min="26" max="26" width="9" style="2"/>
    <col min="27" max="27" width="8.625" style="2" customWidth="1"/>
    <col min="28" max="28" width="7" style="2" customWidth="1"/>
    <col min="29" max="16384" width="9" style="2"/>
  </cols>
  <sheetData>
    <row r="1" spans="1:29" x14ac:dyDescent="0.25">
      <c r="A1" s="2" t="s">
        <v>1</v>
      </c>
      <c r="B1" s="7" t="s">
        <v>33</v>
      </c>
      <c r="C1" s="8"/>
      <c r="D1" s="8"/>
      <c r="E1" s="8"/>
      <c r="F1" s="8" t="s">
        <v>0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9"/>
    </row>
    <row r="2" spans="1:29" x14ac:dyDescent="0.25">
      <c r="B2" s="10" t="s">
        <v>6</v>
      </c>
      <c r="C2" s="5" t="s">
        <v>2</v>
      </c>
      <c r="D2" s="5" t="s">
        <v>3</v>
      </c>
      <c r="E2" s="5" t="s">
        <v>15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16</v>
      </c>
      <c r="K2" s="5" t="s">
        <v>17</v>
      </c>
      <c r="L2" s="5" t="s">
        <v>18</v>
      </c>
      <c r="M2" s="5" t="s">
        <v>35</v>
      </c>
      <c r="N2" s="5" t="s">
        <v>4</v>
      </c>
      <c r="O2" s="5" t="s">
        <v>5</v>
      </c>
      <c r="P2" s="5" t="s">
        <v>23</v>
      </c>
      <c r="Q2" s="5" t="s">
        <v>25</v>
      </c>
      <c r="R2" s="5" t="s">
        <v>24</v>
      </c>
      <c r="S2" s="5" t="s">
        <v>26</v>
      </c>
      <c r="T2" s="5" t="s">
        <v>28</v>
      </c>
      <c r="U2" s="5" t="s">
        <v>27</v>
      </c>
      <c r="V2" s="5" t="s">
        <v>31</v>
      </c>
      <c r="W2" s="5" t="s">
        <v>32</v>
      </c>
      <c r="X2" s="5" t="s">
        <v>29</v>
      </c>
      <c r="Y2" s="5" t="s">
        <v>30</v>
      </c>
      <c r="Z2" s="5" t="s">
        <v>12</v>
      </c>
      <c r="AA2" s="5" t="s">
        <v>6</v>
      </c>
      <c r="AB2" s="5" t="s">
        <v>13</v>
      </c>
      <c r="AC2" s="11" t="s">
        <v>14</v>
      </c>
    </row>
    <row r="3" spans="1:29" x14ac:dyDescent="0.25">
      <c r="B3" s="10">
        <v>2901</v>
      </c>
      <c r="C3" s="5">
        <v>0.44379999999999997</v>
      </c>
      <c r="D3" s="5">
        <v>0.40600000000000003</v>
      </c>
      <c r="E3" s="5">
        <f t="shared" ref="E3:E13" si="0">1-C3-D3</f>
        <v>0.1502</v>
      </c>
      <c r="F3" s="5">
        <v>1000</v>
      </c>
      <c r="G3" s="5">
        <v>219</v>
      </c>
      <c r="H3" s="5">
        <v>1042</v>
      </c>
      <c r="I3" s="5">
        <v>653</v>
      </c>
      <c r="J3" s="17">
        <f t="shared" ref="J3:J13" si="1">G3/SUM($G3:$I3)</f>
        <v>0.11442006269592477</v>
      </c>
      <c r="K3" s="17">
        <f t="shared" ref="K3:K13" si="2">H3/SUM($G3:$I3)</f>
        <v>0.54440961337513061</v>
      </c>
      <c r="L3" s="17">
        <f t="shared" ref="L3:L13" si="3">I3/SUM($G3:$I3)</f>
        <v>0.34117032392894464</v>
      </c>
      <c r="M3" s="17">
        <f>H3/F3-1</f>
        <v>4.2000000000000037E-2</v>
      </c>
      <c r="N3" s="6">
        <v>13354.1925702467</v>
      </c>
      <c r="O3" s="6">
        <v>7022.2636519269754</v>
      </c>
      <c r="P3" s="6">
        <f>(G3-($M3*$N3))</f>
        <v>-341.87608795036192</v>
      </c>
      <c r="Q3" s="6">
        <f t="shared" ref="Q3:Q13" si="4">F3</f>
        <v>1000</v>
      </c>
      <c r="R3" s="6">
        <f>(I3-($M3*$O3))</f>
        <v>358.0649266190668</v>
      </c>
      <c r="S3" s="17">
        <f t="shared" ref="S3:S13" si="5">P3/SUM($P3:$R3)</f>
        <v>-0.33642968210342589</v>
      </c>
      <c r="T3" s="17">
        <f t="shared" ref="T3:T13" si="6">Q3/SUM($P3:$R3)</f>
        <v>0.98406906467314315</v>
      </c>
      <c r="U3" s="17">
        <f t="shared" ref="U3:U13" si="7">R3/SUM($P3:$R3)</f>
        <v>0.35236061743028269</v>
      </c>
      <c r="V3" s="17">
        <f t="shared" ref="V3:V13" si="8">$AB$20*$J3+$AA$20*$K3+$Z$20*$L3</f>
        <v>0.45887327786061638</v>
      </c>
      <c r="W3" s="17">
        <f t="shared" ref="W3:W13" si="9">$AB$21*$J3+$AA$21*$K3+$Z$21*$L3</f>
        <v>0.41922981419414868</v>
      </c>
      <c r="X3" s="17">
        <f t="shared" ref="X3:X13" si="10">$AB$17*$S3+$AA$17*$T3+$Z$17*$U3</f>
        <v>0.44480729586566559</v>
      </c>
      <c r="Y3" s="17">
        <f t="shared" ref="Y3:Y13" si="11">$AB$18*$S3+$AA$18*$T3+$Z$18*$U3</f>
        <v>0.41332769366931688</v>
      </c>
      <c r="Z3" s="17">
        <f>(X3-0.332)/(Y3-0.1858)</f>
        <v>0.49579589212386999</v>
      </c>
      <c r="AA3" s="19">
        <f t="shared" ref="AA3:AA13" si="12">-449*Z3^3+3525*Z3^2-6823.3*Z3+5520.33</f>
        <v>2949.1375746007734</v>
      </c>
      <c r="AB3" s="6">
        <f t="shared" ref="AB3:AB13" si="13">B3-AA3</f>
        <v>-48.137574600773405</v>
      </c>
      <c r="AC3" s="12">
        <f t="shared" ref="AC3:AC13" si="14">1-AA3/B3</f>
        <v>-1.6593441778963491E-2</v>
      </c>
    </row>
    <row r="4" spans="1:29" x14ac:dyDescent="0.25">
      <c r="B4" s="10">
        <v>3255</v>
      </c>
      <c r="C4" s="5">
        <v>0.41949999999999998</v>
      </c>
      <c r="D4" s="5">
        <v>0.39689999999999998</v>
      </c>
      <c r="E4" s="5">
        <f t="shared" si="0"/>
        <v>0.18360000000000004</v>
      </c>
      <c r="F4" s="5">
        <v>995</v>
      </c>
      <c r="G4" s="5">
        <v>194</v>
      </c>
      <c r="H4" s="5">
        <v>1037</v>
      </c>
      <c r="I4" s="5">
        <v>741</v>
      </c>
      <c r="J4" s="17">
        <f t="shared" si="1"/>
        <v>9.8377281947261669E-2</v>
      </c>
      <c r="K4" s="17">
        <f t="shared" si="2"/>
        <v>0.52586206896551724</v>
      </c>
      <c r="L4" s="17">
        <f t="shared" si="3"/>
        <v>0.37576064908722112</v>
      </c>
      <c r="M4" s="17">
        <f t="shared" ref="M4:M13" si="15">H4/F4-1</f>
        <v>4.2211055276381915E-2</v>
      </c>
      <c r="N4" s="6">
        <f t="shared" ref="N4:N13" si="16">N3</f>
        <v>13354.1925702467</v>
      </c>
      <c r="O4" s="6">
        <f t="shared" ref="O4:O13" si="17">O3</f>
        <v>7022.2636519269754</v>
      </c>
      <c r="P4" s="6">
        <f t="shared" ref="P4:P13" si="18">(G4-($M4*$N4))</f>
        <v>-369.69456075413211</v>
      </c>
      <c r="Q4" s="6">
        <f t="shared" si="4"/>
        <v>995</v>
      </c>
      <c r="R4" s="6">
        <f t="shared" ref="R4:R13" si="19">(I4-($M4*$O4))</f>
        <v>444.58284082318289</v>
      </c>
      <c r="S4" s="17">
        <f t="shared" si="5"/>
        <v>-0.34554501403667304</v>
      </c>
      <c r="T4" s="17">
        <f t="shared" si="6"/>
        <v>0.93000364480652364</v>
      </c>
      <c r="U4" s="17">
        <f t="shared" si="7"/>
        <v>0.41554136923014939</v>
      </c>
      <c r="V4" s="17">
        <f t="shared" si="8"/>
        <v>0.4156460966394025</v>
      </c>
      <c r="W4" s="17">
        <f t="shared" si="9"/>
        <v>0.39905253752929587</v>
      </c>
      <c r="X4" s="17">
        <f t="shared" si="10"/>
        <v>0.41943069627360557</v>
      </c>
      <c r="Y4" s="17">
        <f t="shared" si="11"/>
        <v>0.3989095686680304</v>
      </c>
      <c r="Z4" s="17">
        <f t="shared" ref="Z4:Z13" si="20">(X4-0.332)/(Y4-0.1858)</f>
        <v>0.41026171100651032</v>
      </c>
      <c r="AA4" s="19">
        <f t="shared" si="12"/>
        <v>3283.295658149304</v>
      </c>
      <c r="AB4" s="6">
        <f t="shared" si="13"/>
        <v>-28.295658149304018</v>
      </c>
      <c r="AC4" s="12">
        <f t="shared" si="14"/>
        <v>-8.6929825343484701E-3</v>
      </c>
    </row>
    <row r="5" spans="1:29" x14ac:dyDescent="0.25">
      <c r="B5" s="10">
        <v>4003</v>
      </c>
      <c r="C5" s="5">
        <v>0.38640000000000002</v>
      </c>
      <c r="D5" s="5">
        <v>0.39900000000000002</v>
      </c>
      <c r="E5" s="5">
        <f t="shared" si="0"/>
        <v>0.2145999999999999</v>
      </c>
      <c r="F5" s="5">
        <v>863</v>
      </c>
      <c r="G5" s="5">
        <v>170</v>
      </c>
      <c r="H5" s="5">
        <v>902</v>
      </c>
      <c r="I5" s="5">
        <v>746</v>
      </c>
      <c r="J5" s="17">
        <f t="shared" si="1"/>
        <v>9.3509350935093508E-2</v>
      </c>
      <c r="K5" s="17">
        <f t="shared" si="2"/>
        <v>0.49614961496149618</v>
      </c>
      <c r="L5" s="17">
        <f t="shared" si="3"/>
        <v>0.41034103410341033</v>
      </c>
      <c r="M5" s="17">
        <f t="shared" si="15"/>
        <v>4.5191193511008088E-2</v>
      </c>
      <c r="N5" s="6">
        <f t="shared" si="16"/>
        <v>13354.1925702467</v>
      </c>
      <c r="O5" s="6">
        <f t="shared" si="17"/>
        <v>7022.2636519269754</v>
      </c>
      <c r="P5" s="6">
        <f t="shared" si="18"/>
        <v>-433.4919006252851</v>
      </c>
      <c r="Q5" s="6">
        <f t="shared" si="4"/>
        <v>863</v>
      </c>
      <c r="R5" s="6">
        <f t="shared" si="19"/>
        <v>428.65552442044969</v>
      </c>
      <c r="S5" s="17">
        <f t="shared" si="5"/>
        <v>-0.50513898352880482</v>
      </c>
      <c r="T5" s="17">
        <f t="shared" si="6"/>
        <v>1.005635727349345</v>
      </c>
      <c r="U5" s="17">
        <f t="shared" si="7"/>
        <v>0.49950325617945984</v>
      </c>
      <c r="V5" s="17">
        <f t="shared" si="8"/>
        <v>0.36928637395192465</v>
      </c>
      <c r="W5" s="17">
        <f t="shared" si="9"/>
        <v>0.37690826824960671</v>
      </c>
      <c r="X5" s="17">
        <f t="shared" si="10"/>
        <v>0.38434852004819597</v>
      </c>
      <c r="Y5" s="17">
        <f t="shared" si="11"/>
        <v>0.38119830944142841</v>
      </c>
      <c r="Z5" s="17">
        <f t="shared" si="20"/>
        <v>0.26790671934594029</v>
      </c>
      <c r="AA5" s="19">
        <f t="shared" si="12"/>
        <v>3936.6917639990379</v>
      </c>
      <c r="AB5" s="6">
        <f t="shared" si="13"/>
        <v>66.308236000962097</v>
      </c>
      <c r="AC5" s="12">
        <f t="shared" si="14"/>
        <v>1.656463552359777E-2</v>
      </c>
    </row>
    <row r="6" spans="1:29" x14ac:dyDescent="0.25">
      <c r="A6" s="2" t="s">
        <v>22</v>
      </c>
      <c r="B6" s="10">
        <v>6497</v>
      </c>
      <c r="C6" s="5">
        <v>0.31209999999999999</v>
      </c>
      <c r="D6" s="5">
        <v>0.33610000000000001</v>
      </c>
      <c r="E6" s="5">
        <f t="shared" si="0"/>
        <v>0.35179999999999995</v>
      </c>
      <c r="F6" s="5">
        <v>1985</v>
      </c>
      <c r="G6" s="5">
        <v>1287</v>
      </c>
      <c r="H6" s="5">
        <v>2381</v>
      </c>
      <c r="I6" s="5">
        <v>2647</v>
      </c>
      <c r="J6" s="17">
        <f t="shared" si="1"/>
        <v>0.20380047505938242</v>
      </c>
      <c r="K6" s="17">
        <f t="shared" si="2"/>
        <v>0.37703879651623118</v>
      </c>
      <c r="L6" s="17">
        <f t="shared" si="3"/>
        <v>0.4191607284243864</v>
      </c>
      <c r="M6" s="17">
        <f t="shared" si="15"/>
        <v>0.1994962216624685</v>
      </c>
      <c r="N6" s="6">
        <f t="shared" si="16"/>
        <v>13354.1925702467</v>
      </c>
      <c r="O6" s="6">
        <f t="shared" si="17"/>
        <v>7022.2636519269754</v>
      </c>
      <c r="P6" s="6">
        <f t="shared" si="18"/>
        <v>-1377.1109611172255</v>
      </c>
      <c r="Q6" s="6">
        <f t="shared" si="4"/>
        <v>1985</v>
      </c>
      <c r="R6" s="6">
        <f t="shared" si="19"/>
        <v>1246.0849339228805</v>
      </c>
      <c r="S6" s="17">
        <f t="shared" si="5"/>
        <v>-0.74278872374525118</v>
      </c>
      <c r="T6" s="17">
        <f t="shared" si="6"/>
        <v>1.0706730672146711</v>
      </c>
      <c r="U6" s="17">
        <f t="shared" si="7"/>
        <v>0.67211565653058003</v>
      </c>
      <c r="V6" s="17">
        <f t="shared" si="8"/>
        <v>0.32606051680852843</v>
      </c>
      <c r="W6" s="17">
        <f t="shared" si="9"/>
        <v>0.3515624570614348</v>
      </c>
      <c r="X6" s="17">
        <f t="shared" si="10"/>
        <v>0.31305846489353562</v>
      </c>
      <c r="Y6" s="17">
        <f t="shared" si="11"/>
        <v>0.34389794625090186</v>
      </c>
      <c r="Z6" s="17">
        <f t="shared" si="20"/>
        <v>-0.11980886251617801</v>
      </c>
      <c r="AA6" s="19">
        <f t="shared" si="12"/>
        <v>6389.1924085226437</v>
      </c>
      <c r="AB6" s="6">
        <f t="shared" si="13"/>
        <v>107.80759147735625</v>
      </c>
      <c r="AC6" s="12">
        <f t="shared" si="14"/>
        <v>1.6593441815815901E-2</v>
      </c>
    </row>
    <row r="7" spans="1:29" ht="14.95" thickBot="1" x14ac:dyDescent="0.3">
      <c r="B7" s="13">
        <v>2877</v>
      </c>
      <c r="C7" s="14">
        <v>0.44779999999999998</v>
      </c>
      <c r="D7" s="14">
        <v>0.4103</v>
      </c>
      <c r="E7" s="14">
        <f t="shared" si="0"/>
        <v>0.14190000000000003</v>
      </c>
      <c r="F7" s="14">
        <v>3841</v>
      </c>
      <c r="G7" s="14">
        <v>4619</v>
      </c>
      <c r="H7" s="14">
        <v>5264</v>
      </c>
      <c r="I7" s="14">
        <v>4500</v>
      </c>
      <c r="J7" s="18">
        <f t="shared" si="1"/>
        <v>0.32114301606062712</v>
      </c>
      <c r="K7" s="18">
        <f t="shared" si="2"/>
        <v>0.36598762427866233</v>
      </c>
      <c r="L7" s="18">
        <f t="shared" si="3"/>
        <v>0.31286935966071056</v>
      </c>
      <c r="M7" s="17">
        <f t="shared" si="15"/>
        <v>0.37047643842749278</v>
      </c>
      <c r="N7" s="15">
        <f t="shared" si="16"/>
        <v>13354.1925702467</v>
      </c>
      <c r="O7" s="15">
        <f t="shared" si="17"/>
        <v>7022.2636519269754</v>
      </c>
      <c r="P7" s="6">
        <f t="shared" si="18"/>
        <v>-328.41370149988325</v>
      </c>
      <c r="Q7" s="15">
        <f t="shared" si="4"/>
        <v>3841</v>
      </c>
      <c r="R7" s="6">
        <f t="shared" si="19"/>
        <v>1898.4167725352554</v>
      </c>
      <c r="S7" s="18">
        <f t="shared" si="5"/>
        <v>-6.0693682333660681E-2</v>
      </c>
      <c r="T7" s="18">
        <f t="shared" si="6"/>
        <v>0.70984990205615262</v>
      </c>
      <c r="U7" s="18">
        <f t="shared" si="7"/>
        <v>0.35084378027750807</v>
      </c>
      <c r="V7" s="18">
        <f t="shared" si="8"/>
        <v>0.43973373473952831</v>
      </c>
      <c r="W7" s="18">
        <f t="shared" si="9"/>
        <v>0.40154692296551447</v>
      </c>
      <c r="X7" s="18">
        <f t="shared" si="10"/>
        <v>0.4479550229189978</v>
      </c>
      <c r="Y7" s="18">
        <f t="shared" si="11"/>
        <v>0.41096648197032226</v>
      </c>
      <c r="Z7" s="18">
        <f t="shared" si="20"/>
        <v>0.51497461746673767</v>
      </c>
      <c r="AA7" s="20">
        <f t="shared" si="12"/>
        <v>2880.0094270706727</v>
      </c>
      <c r="AB7" s="15">
        <f t="shared" si="13"/>
        <v>-3.0094270706727002</v>
      </c>
      <c r="AC7" s="16">
        <f t="shared" si="14"/>
        <v>-1.0460295692293897E-3</v>
      </c>
    </row>
    <row r="8" spans="1:29" x14ac:dyDescent="0.25">
      <c r="A8" s="2" t="s">
        <v>19</v>
      </c>
      <c r="B8" s="2">
        <v>3897</v>
      </c>
      <c r="C8" s="2">
        <f>0.38947</f>
        <v>0.38946999999999998</v>
      </c>
      <c r="D8" s="2">
        <v>0.394702</v>
      </c>
      <c r="E8" s="2">
        <f t="shared" si="0"/>
        <v>0.21582800000000002</v>
      </c>
      <c r="F8" s="2">
        <v>733</v>
      </c>
      <c r="G8" s="2">
        <v>430</v>
      </c>
      <c r="H8" s="2">
        <v>1058</v>
      </c>
      <c r="I8" s="2">
        <v>1020</v>
      </c>
      <c r="J8" s="2">
        <f t="shared" si="1"/>
        <v>0.17145135566188197</v>
      </c>
      <c r="K8" s="2">
        <f t="shared" si="2"/>
        <v>0.42185007974481659</v>
      </c>
      <c r="L8" s="2">
        <f t="shared" si="3"/>
        <v>0.40669856459330145</v>
      </c>
      <c r="M8" s="17">
        <f t="shared" si="15"/>
        <v>0.44338335607094126</v>
      </c>
      <c r="N8" s="2">
        <f t="shared" si="16"/>
        <v>13354.1925702467</v>
      </c>
      <c r="O8" s="2">
        <f t="shared" si="17"/>
        <v>7022.2636519269754</v>
      </c>
      <c r="P8" s="6">
        <f t="shared" si="18"/>
        <v>-5491.0267194136104</v>
      </c>
      <c r="Q8" s="2">
        <f t="shared" si="4"/>
        <v>733</v>
      </c>
      <c r="R8" s="6">
        <f t="shared" si="19"/>
        <v>-2093.5548252063663</v>
      </c>
      <c r="S8" s="2">
        <f t="shared" si="5"/>
        <v>0.80142470517997322</v>
      </c>
      <c r="T8" s="2">
        <f t="shared" si="6"/>
        <v>-0.10698259886807723</v>
      </c>
      <c r="U8" s="2">
        <f t="shared" si="7"/>
        <v>0.30555789368810399</v>
      </c>
      <c r="V8" s="2">
        <f t="shared" si="8"/>
        <v>0.35236951660233323</v>
      </c>
      <c r="W8" s="2">
        <f t="shared" si="9"/>
        <v>0.36556591643672437</v>
      </c>
      <c r="X8" s="2">
        <f t="shared" si="10"/>
        <v>0.47402709994489134</v>
      </c>
      <c r="Y8" s="2">
        <f t="shared" si="11"/>
        <v>0.4128935431872246</v>
      </c>
      <c r="Z8" s="21">
        <f t="shared" si="20"/>
        <v>0.62541232107069966</v>
      </c>
      <c r="AA8" s="22">
        <f t="shared" si="12"/>
        <v>2521.8883881032189</v>
      </c>
      <c r="AB8" s="3">
        <f t="shared" si="13"/>
        <v>1375.1116118967811</v>
      </c>
      <c r="AC8" s="4">
        <f t="shared" si="14"/>
        <v>0.35286415496453194</v>
      </c>
    </row>
    <row r="9" spans="1:29" x14ac:dyDescent="0.25">
      <c r="B9" s="2">
        <v>2340</v>
      </c>
      <c r="C9" s="2">
        <v>0.49330000000000002</v>
      </c>
      <c r="D9" s="2">
        <v>0.41589999999999999</v>
      </c>
      <c r="E9" s="2">
        <f t="shared" si="0"/>
        <v>9.0799999999999936E-2</v>
      </c>
      <c r="F9" s="2">
        <v>3719</v>
      </c>
      <c r="G9" s="2">
        <v>5746</v>
      </c>
      <c r="H9" s="2">
        <v>5493</v>
      </c>
      <c r="I9" s="2">
        <v>5085</v>
      </c>
      <c r="J9" s="2">
        <f t="shared" si="1"/>
        <v>0.35199705954422933</v>
      </c>
      <c r="K9" s="2">
        <f t="shared" si="2"/>
        <v>0.33649840725312424</v>
      </c>
      <c r="L9" s="2">
        <f t="shared" si="3"/>
        <v>0.31150453320264643</v>
      </c>
      <c r="M9" s="17">
        <f t="shared" si="15"/>
        <v>0.47700994891099757</v>
      </c>
      <c r="N9" s="2">
        <f t="shared" si="16"/>
        <v>13354.1925702467</v>
      </c>
      <c r="O9" s="2">
        <f t="shared" si="17"/>
        <v>7022.2636519269754</v>
      </c>
      <c r="P9" s="6">
        <f t="shared" si="18"/>
        <v>-624.0827156810019</v>
      </c>
      <c r="Q9" s="2">
        <f t="shared" si="4"/>
        <v>3719</v>
      </c>
      <c r="R9" s="6">
        <f t="shared" si="19"/>
        <v>1735.3103741547584</v>
      </c>
      <c r="S9" s="2">
        <f t="shared" si="5"/>
        <v>-0.1292035820684688</v>
      </c>
      <c r="T9" s="2">
        <f t="shared" si="6"/>
        <v>0.76994300537277793</v>
      </c>
      <c r="U9" s="2">
        <f t="shared" si="7"/>
        <v>0.35926057669569089</v>
      </c>
      <c r="V9" s="2">
        <f t="shared" si="8"/>
        <v>0.43293065635102512</v>
      </c>
      <c r="W9" s="2">
        <f t="shared" si="9"/>
        <v>0.39700567629710903</v>
      </c>
      <c r="X9" s="2">
        <f t="shared" si="10"/>
        <v>0.44395437945553207</v>
      </c>
      <c r="Y9" s="2">
        <f t="shared" si="11"/>
        <v>0.40970700990146897</v>
      </c>
      <c r="Z9" s="17">
        <f t="shared" si="20"/>
        <v>0.50000390566064878</v>
      </c>
      <c r="AA9" s="22">
        <f t="shared" si="12"/>
        <v>2933.7908027717558</v>
      </c>
      <c r="AB9" s="3">
        <f t="shared" si="13"/>
        <v>-593.79080277175581</v>
      </c>
      <c r="AC9" s="4">
        <f t="shared" si="14"/>
        <v>-0.25375675332126324</v>
      </c>
    </row>
    <row r="10" spans="1:29" x14ac:dyDescent="0.25">
      <c r="A10" s="2" t="s">
        <v>21</v>
      </c>
      <c r="B10" s="2">
        <v>3291</v>
      </c>
      <c r="C10" s="2">
        <v>0.42109999999999997</v>
      </c>
      <c r="D10" s="2">
        <v>0.40920000000000001</v>
      </c>
      <c r="E10" s="2">
        <f t="shared" si="0"/>
        <v>0.16969999999999996</v>
      </c>
      <c r="F10" s="2">
        <v>81</v>
      </c>
      <c r="G10" s="2">
        <v>62</v>
      </c>
      <c r="H10" s="2">
        <v>120</v>
      </c>
      <c r="I10" s="2">
        <v>100</v>
      </c>
      <c r="J10" s="2">
        <f t="shared" si="1"/>
        <v>0.21985815602836881</v>
      </c>
      <c r="K10" s="2">
        <f t="shared" si="2"/>
        <v>0.42553191489361702</v>
      </c>
      <c r="L10" s="2">
        <f t="shared" si="3"/>
        <v>0.3546099290780142</v>
      </c>
      <c r="M10" s="17">
        <f t="shared" si="15"/>
        <v>0.4814814814814814</v>
      </c>
      <c r="N10" s="2">
        <f t="shared" si="16"/>
        <v>13354.1925702467</v>
      </c>
      <c r="O10" s="2">
        <f t="shared" si="17"/>
        <v>7022.2636519269754</v>
      </c>
      <c r="P10" s="6">
        <f t="shared" si="18"/>
        <v>-6367.7964227113725</v>
      </c>
      <c r="Q10" s="2">
        <f t="shared" si="4"/>
        <v>81</v>
      </c>
      <c r="R10" s="6">
        <f t="shared" si="19"/>
        <v>-3281.0899064833579</v>
      </c>
      <c r="S10" s="2">
        <f t="shared" si="5"/>
        <v>0.66553846937762584</v>
      </c>
      <c r="T10" s="2">
        <f t="shared" si="6"/>
        <v>-8.4658196401061619E-3</v>
      </c>
      <c r="U10" s="2">
        <f t="shared" si="7"/>
        <v>0.34292735026248028</v>
      </c>
      <c r="V10" s="2">
        <f t="shared" si="8"/>
        <v>0.41063705791943267</v>
      </c>
      <c r="W10" s="2">
        <f t="shared" si="9"/>
        <v>0.39166778773852584</v>
      </c>
      <c r="X10" s="2">
        <f t="shared" si="10"/>
        <v>0.45781530879392707</v>
      </c>
      <c r="Y10" s="2">
        <f t="shared" si="11"/>
        <v>0.40564797209137443</v>
      </c>
      <c r="Z10" s="17">
        <f t="shared" si="20"/>
        <v>0.57228323553348492</v>
      </c>
      <c r="AA10" s="22">
        <f t="shared" si="12"/>
        <v>2685.780956536737</v>
      </c>
      <c r="AB10" s="3">
        <f t="shared" si="13"/>
        <v>605.21904346326301</v>
      </c>
      <c r="AC10" s="4">
        <f t="shared" si="14"/>
        <v>0.18390125902864263</v>
      </c>
    </row>
    <row r="11" spans="1:29" x14ac:dyDescent="0.25">
      <c r="A11" s="2" t="s">
        <v>20</v>
      </c>
      <c r="B11" s="2">
        <v>6546</v>
      </c>
      <c r="C11" s="2">
        <f>0.309563</f>
        <v>0.30956299999999998</v>
      </c>
      <c r="D11" s="2">
        <f>0.351268</f>
        <v>0.35126800000000002</v>
      </c>
      <c r="E11" s="2">
        <f t="shared" si="0"/>
        <v>0.33916899999999994</v>
      </c>
      <c r="F11" s="2">
        <v>562</v>
      </c>
      <c r="G11" s="2">
        <v>2532</v>
      </c>
      <c r="H11" s="2">
        <v>2538</v>
      </c>
      <c r="I11" s="2">
        <v>2730</v>
      </c>
      <c r="J11" s="2">
        <f t="shared" si="1"/>
        <v>0.32461538461538464</v>
      </c>
      <c r="K11" s="2">
        <f t="shared" si="2"/>
        <v>0.32538461538461538</v>
      </c>
      <c r="L11" s="2">
        <f t="shared" si="3"/>
        <v>0.35</v>
      </c>
      <c r="M11" s="17">
        <f t="shared" si="15"/>
        <v>3.5160142348754446</v>
      </c>
      <c r="N11" s="2">
        <f t="shared" si="16"/>
        <v>13354.1925702467</v>
      </c>
      <c r="O11" s="2">
        <f t="shared" si="17"/>
        <v>7022.2636519269754</v>
      </c>
      <c r="P11" s="6">
        <f t="shared" si="18"/>
        <v>-44421.531172255294</v>
      </c>
      <c r="Q11" s="2">
        <f t="shared" si="4"/>
        <v>562</v>
      </c>
      <c r="R11" s="6">
        <f t="shared" si="19"/>
        <v>-21960.378961223669</v>
      </c>
      <c r="S11" s="2">
        <f t="shared" si="5"/>
        <v>0.67489504440481618</v>
      </c>
      <c r="T11" s="2">
        <f t="shared" si="6"/>
        <v>-8.5384498225581987E-3</v>
      </c>
      <c r="U11" s="2">
        <f t="shared" si="7"/>
        <v>0.33364340541774207</v>
      </c>
      <c r="V11" s="2">
        <f t="shared" si="8"/>
        <v>0.38750577181241497</v>
      </c>
      <c r="W11" s="2">
        <f t="shared" si="9"/>
        <v>0.3762331491513593</v>
      </c>
      <c r="X11" s="2">
        <f t="shared" si="10"/>
        <v>0.46161807895550977</v>
      </c>
      <c r="Y11" s="2">
        <f t="shared" si="11"/>
        <v>0.40768782885937271</v>
      </c>
      <c r="Z11" s="17">
        <f t="shared" si="20"/>
        <v>0.58416038239600165</v>
      </c>
      <c r="AA11" s="22">
        <f t="shared" si="12"/>
        <v>2647.8072394748488</v>
      </c>
      <c r="AB11" s="3">
        <f t="shared" si="13"/>
        <v>3898.1927605251512</v>
      </c>
      <c r="AC11" s="4">
        <f t="shared" si="14"/>
        <v>0.59550760166898131</v>
      </c>
    </row>
    <row r="12" spans="1:29" x14ac:dyDescent="0.25">
      <c r="A12" s="2" t="s">
        <v>20</v>
      </c>
      <c r="B12" s="2">
        <v>3319</v>
      </c>
      <c r="C12" s="2">
        <v>0.41660000000000003</v>
      </c>
      <c r="D12" s="2">
        <v>0.39779999999999999</v>
      </c>
      <c r="E12" s="2">
        <f t="shared" si="0"/>
        <v>0.18559999999999993</v>
      </c>
      <c r="F12" s="2">
        <v>6575</v>
      </c>
      <c r="G12" s="2">
        <v>29767</v>
      </c>
      <c r="H12" s="2">
        <v>30891</v>
      </c>
      <c r="I12" s="2">
        <v>29932</v>
      </c>
      <c r="J12" s="2">
        <f t="shared" si="1"/>
        <v>0.32859035213599735</v>
      </c>
      <c r="K12" s="2">
        <f t="shared" si="2"/>
        <v>0.3409979026382603</v>
      </c>
      <c r="L12" s="2">
        <f t="shared" si="3"/>
        <v>0.33041174522574235</v>
      </c>
      <c r="M12" s="17">
        <f t="shared" si="15"/>
        <v>3.6982509505703423</v>
      </c>
      <c r="N12" s="2">
        <f t="shared" si="16"/>
        <v>13354.1925702467</v>
      </c>
      <c r="O12" s="2">
        <f t="shared" si="17"/>
        <v>7022.2636519269754</v>
      </c>
      <c r="P12" s="6">
        <f t="shared" si="18"/>
        <v>-19620.15536701426</v>
      </c>
      <c r="Q12" s="2">
        <f t="shared" si="4"/>
        <v>6575</v>
      </c>
      <c r="R12" s="6">
        <f t="shared" si="19"/>
        <v>3961.9067741055005</v>
      </c>
      <c r="S12" s="2">
        <f t="shared" si="5"/>
        <v>2.1600372560904701</v>
      </c>
      <c r="T12" s="2">
        <f t="shared" si="6"/>
        <v>-0.72385996405879116</v>
      </c>
      <c r="U12" s="2">
        <f t="shared" si="7"/>
        <v>-0.43617729203167888</v>
      </c>
      <c r="V12" s="2">
        <f t="shared" si="8"/>
        <v>0.4134237137095782</v>
      </c>
      <c r="W12" s="2">
        <f t="shared" si="9"/>
        <v>0.38856187141445087</v>
      </c>
      <c r="X12" s="2">
        <f t="shared" si="10"/>
        <v>0.78347729332888461</v>
      </c>
      <c r="Y12" s="2">
        <f t="shared" si="11"/>
        <v>0.56986196665385824</v>
      </c>
      <c r="Z12" s="17">
        <f t="shared" si="20"/>
        <v>1.1755324206205124</v>
      </c>
      <c r="AA12" s="22">
        <f t="shared" si="12"/>
        <v>1641.0603712062348</v>
      </c>
      <c r="AB12" s="3">
        <f t="shared" si="13"/>
        <v>1677.9396287937652</v>
      </c>
      <c r="AC12" s="4">
        <f t="shared" si="14"/>
        <v>0.50555577848561772</v>
      </c>
    </row>
    <row r="13" spans="1:29" x14ac:dyDescent="0.25">
      <c r="A13" s="2" t="s">
        <v>20</v>
      </c>
      <c r="B13" s="2">
        <v>3041</v>
      </c>
      <c r="C13" s="2">
        <v>0.44292700000000002</v>
      </c>
      <c r="D13" s="2">
        <v>0.42182799999999998</v>
      </c>
      <c r="E13" s="2">
        <f t="shared" si="0"/>
        <v>0.13524499999999995</v>
      </c>
      <c r="F13" s="2">
        <v>562</v>
      </c>
      <c r="G13" s="2">
        <v>19048</v>
      </c>
      <c r="H13" s="2">
        <v>16242</v>
      </c>
      <c r="I13" s="2">
        <v>16520</v>
      </c>
      <c r="J13" s="2">
        <f t="shared" si="1"/>
        <v>0.36765103261918547</v>
      </c>
      <c r="K13" s="2">
        <f t="shared" si="2"/>
        <v>0.31349160393746384</v>
      </c>
      <c r="L13" s="2">
        <f t="shared" si="3"/>
        <v>0.31885736344335069</v>
      </c>
      <c r="M13" s="17">
        <f t="shared" si="15"/>
        <v>27.90035587188612</v>
      </c>
      <c r="N13" s="2">
        <f t="shared" si="16"/>
        <v>13354.1925702467</v>
      </c>
      <c r="O13" s="2">
        <f t="shared" si="17"/>
        <v>7022.2636519269754</v>
      </c>
      <c r="P13" s="6">
        <f t="shared" si="18"/>
        <v>-353538.72509158048</v>
      </c>
      <c r="Q13" s="2">
        <f t="shared" si="4"/>
        <v>562</v>
      </c>
      <c r="R13" s="6">
        <f t="shared" si="19"/>
        <v>-179403.65491497325</v>
      </c>
      <c r="S13" s="2">
        <f t="shared" si="5"/>
        <v>0.66407166448776411</v>
      </c>
      <c r="T13" s="2">
        <f t="shared" si="6"/>
        <v>-1.0556361975493569E-3</v>
      </c>
      <c r="U13" s="2">
        <f t="shared" si="7"/>
        <v>0.33698397170978528</v>
      </c>
      <c r="V13" s="2">
        <f t="shared" si="8"/>
        <v>0.41837441082332194</v>
      </c>
      <c r="W13" s="2">
        <f t="shared" si="9"/>
        <v>0.38934966449967034</v>
      </c>
      <c r="X13" s="2">
        <f t="shared" si="10"/>
        <v>0.46018105671509563</v>
      </c>
      <c r="Y13" s="2">
        <f t="shared" si="11"/>
        <v>0.40702711663082614</v>
      </c>
      <c r="Z13" s="17">
        <f t="shared" si="20"/>
        <v>0.57940933583200105</v>
      </c>
      <c r="AA13" s="22">
        <f t="shared" si="12"/>
        <v>2662.9043705014865</v>
      </c>
      <c r="AB13" s="3">
        <f t="shared" si="13"/>
        <v>378.09562949851352</v>
      </c>
      <c r="AC13" s="4">
        <f t="shared" si="14"/>
        <v>0.12433266343259242</v>
      </c>
    </row>
    <row r="14" spans="1:29" x14ac:dyDescent="0.25">
      <c r="AB14" s="3"/>
      <c r="AC14" s="4"/>
    </row>
    <row r="15" spans="1:29" x14ac:dyDescent="0.25">
      <c r="AB15" s="3"/>
      <c r="AC15" s="4"/>
    </row>
    <row r="16" spans="1:29" x14ac:dyDescent="0.25">
      <c r="Z16" s="2" t="s">
        <v>11</v>
      </c>
    </row>
    <row r="17" spans="26:29" x14ac:dyDescent="0.25">
      <c r="Z17" s="2">
        <f t="array" ref="Z17:AB17">LINEST(C3:C7,S3:U7, FALSE)</f>
        <v>0.18864301653563256</v>
      </c>
      <c r="AA17" s="2">
        <v>0.58896454488111116</v>
      </c>
      <c r="AB17" s="2">
        <v>0.59817808423833507</v>
      </c>
    </row>
    <row r="18" spans="26:29" x14ac:dyDescent="0.25">
      <c r="Z18" s="2">
        <f t="array" ref="Z18:AB18">LINEST(D3:D7,S3:U7, FALSE)</f>
        <v>0.26130946701484808</v>
      </c>
      <c r="AA18" s="2">
        <v>0.49093156088045586</v>
      </c>
      <c r="AB18" s="2">
        <v>0.4811050927213098</v>
      </c>
    </row>
    <row r="20" spans="26:29" x14ac:dyDescent="0.25">
      <c r="Z20" s="2">
        <f t="array" ref="Z20:AB20">LINEST(C3:C7,J3:L7, FALSE)</f>
        <v>-0.41827501740671014</v>
      </c>
      <c r="AA20" s="2">
        <v>0.96199536028849852</v>
      </c>
      <c r="AB20" s="2">
        <v>0.68044691676340652</v>
      </c>
    </row>
    <row r="21" spans="26:29" x14ac:dyDescent="0.25">
      <c r="Z21" s="2">
        <f t="array" ref="Z21:AB21">LINEST(D3:D7, J3:L7, FALSE)</f>
        <v>1.1626845645072645E-3</v>
      </c>
      <c r="AA21" s="2">
        <v>0.66639533191523392</v>
      </c>
      <c r="AB21" s="2">
        <v>0.48978399767718561</v>
      </c>
    </row>
    <row r="22" spans="26:29" x14ac:dyDescent="0.25">
      <c r="Z22" s="2">
        <f t="array" ref="Z22:AB22">LINEST(E3:E7, J3:L7, FALSE)</f>
        <v>1.4171123328422028</v>
      </c>
      <c r="AA22" s="2">
        <v>-0.62839069220373256</v>
      </c>
      <c r="AB22" s="2">
        <v>-0.17023091444059216</v>
      </c>
    </row>
    <row r="23" spans="26:29" x14ac:dyDescent="0.25">
      <c r="AC23" s="4">
        <f>ABS(MIN(AC3:AC7))</f>
        <v>1.6593441778963491E-2</v>
      </c>
    </row>
    <row r="24" spans="26:29" x14ac:dyDescent="0.25">
      <c r="AC24" s="4">
        <f>ABS(MAX(AC3:AC7))</f>
        <v>1.6593441815815901E-2</v>
      </c>
    </row>
    <row r="25" spans="26:29" x14ac:dyDescent="0.25">
      <c r="AB25" s="2" t="s">
        <v>34</v>
      </c>
      <c r="AC25" s="1">
        <f>MAX(AC23:AC24)</f>
        <v>1.6593441815815901E-2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topLeftCell="H1" workbookViewId="0">
      <selection activeCell="AG3" sqref="AG3"/>
    </sheetView>
  </sheetViews>
  <sheetFormatPr defaultRowHeight="14.3" x14ac:dyDescent="0.25"/>
  <cols>
    <col min="1" max="8" width="9" style="2"/>
    <col min="9" max="9" width="9" style="2" customWidth="1"/>
    <col min="10" max="12" width="9" style="2"/>
    <col min="13" max="14" width="0" style="2" hidden="1" customWidth="1"/>
    <col min="15" max="15" width="9.25" style="2" hidden="1" customWidth="1"/>
    <col min="16" max="16" width="9" style="2" customWidth="1"/>
    <col min="17" max="17" width="11.5" style="2" bestFit="1" customWidth="1"/>
    <col min="18" max="19" width="11.875" style="2" bestFit="1" customWidth="1"/>
    <col min="20" max="20" width="9.625" style="2" customWidth="1"/>
    <col min="21" max="21" width="9.25" style="2" customWidth="1"/>
    <col min="22" max="22" width="8.75" style="2" customWidth="1"/>
    <col min="23" max="23" width="9" style="2" customWidth="1"/>
    <col min="24" max="24" width="8.875" style="2" customWidth="1"/>
    <col min="25" max="25" width="9.125" style="2" hidden="1" customWidth="1"/>
    <col min="26" max="26" width="9" style="2" hidden="1" customWidth="1"/>
    <col min="27" max="27" width="10.5" style="2" customWidth="1"/>
    <col min="28" max="28" width="10.875" style="2" customWidth="1"/>
    <col min="29" max="29" width="15.625" style="2" customWidth="1"/>
    <col min="30" max="30" width="12.25" style="2" customWidth="1"/>
    <col min="31" max="31" width="9.25" style="2" customWidth="1"/>
    <col min="32" max="32" width="8.25" style="2" customWidth="1"/>
    <col min="33" max="33" width="8.625" style="2" customWidth="1"/>
    <col min="34" max="34" width="7" style="2" customWidth="1"/>
    <col min="35" max="16384" width="9" style="2"/>
  </cols>
  <sheetData>
    <row r="1" spans="1:35" x14ac:dyDescent="0.25">
      <c r="A1" s="2" t="s">
        <v>1</v>
      </c>
      <c r="B1" s="7" t="s">
        <v>33</v>
      </c>
      <c r="C1" s="8"/>
      <c r="D1" s="8"/>
      <c r="E1" s="8"/>
      <c r="F1" s="8"/>
      <c r="G1" s="8"/>
      <c r="H1" s="8"/>
      <c r="I1" s="8" t="s">
        <v>0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9"/>
    </row>
    <row r="2" spans="1:35" x14ac:dyDescent="0.25">
      <c r="B2" s="10" t="s">
        <v>6</v>
      </c>
      <c r="C2" s="5" t="s">
        <v>2</v>
      </c>
      <c r="D2" s="5" t="s">
        <v>3</v>
      </c>
      <c r="E2" s="5" t="s">
        <v>15</v>
      </c>
      <c r="F2" s="5"/>
      <c r="G2" s="5"/>
      <c r="H2" s="5"/>
      <c r="I2" s="5" t="s">
        <v>7</v>
      </c>
      <c r="J2" s="5" t="s">
        <v>8</v>
      </c>
      <c r="K2" s="5" t="s">
        <v>9</v>
      </c>
      <c r="L2" s="5" t="s">
        <v>10</v>
      </c>
      <c r="M2" s="5" t="s">
        <v>16</v>
      </c>
      <c r="N2" s="5" t="s">
        <v>17</v>
      </c>
      <c r="O2" s="5" t="s">
        <v>18</v>
      </c>
      <c r="P2" s="5" t="s">
        <v>35</v>
      </c>
      <c r="Q2" s="5" t="s">
        <v>4</v>
      </c>
      <c r="R2" s="5" t="s">
        <v>5</v>
      </c>
      <c r="S2" s="5" t="s">
        <v>23</v>
      </c>
      <c r="T2" s="5" t="s">
        <v>25</v>
      </c>
      <c r="U2" s="5" t="s">
        <v>24</v>
      </c>
      <c r="V2" s="5" t="s">
        <v>26</v>
      </c>
      <c r="W2" s="5" t="s">
        <v>28</v>
      </c>
      <c r="X2" s="5" t="s">
        <v>27</v>
      </c>
      <c r="Y2" s="5" t="s">
        <v>31</v>
      </c>
      <c r="Z2" s="5" t="s">
        <v>32</v>
      </c>
      <c r="AA2" s="5" t="s">
        <v>29</v>
      </c>
      <c r="AB2" s="5" t="s">
        <v>30</v>
      </c>
      <c r="AC2" s="5" t="s">
        <v>31</v>
      </c>
      <c r="AD2" s="5" t="s">
        <v>32</v>
      </c>
      <c r="AE2" s="5" t="s">
        <v>37</v>
      </c>
      <c r="AF2" s="5" t="s">
        <v>12</v>
      </c>
      <c r="AG2" s="5" t="s">
        <v>6</v>
      </c>
      <c r="AH2" s="5" t="s">
        <v>13</v>
      </c>
      <c r="AI2" s="11" t="s">
        <v>14</v>
      </c>
    </row>
    <row r="3" spans="1:35" x14ac:dyDescent="0.25">
      <c r="B3" s="10">
        <v>2901</v>
      </c>
      <c r="C3" s="5">
        <f>0.4438</f>
        <v>0.44379999999999997</v>
      </c>
      <c r="D3" s="5">
        <f>0.406</f>
        <v>0.40600000000000003</v>
      </c>
      <c r="E3" s="5">
        <f t="shared" ref="E3:E13" si="0">1-C3-D3</f>
        <v>0.1502</v>
      </c>
      <c r="F3" s="5">
        <f>INT(C3*10000)</f>
        <v>4438</v>
      </c>
      <c r="G3" s="5">
        <f t="shared" ref="G3:H3" si="1">INT(D3*10000)</f>
        <v>4060</v>
      </c>
      <c r="H3" s="5">
        <f t="shared" si="1"/>
        <v>1502</v>
      </c>
      <c r="I3" s="5">
        <v>1000</v>
      </c>
      <c r="J3" s="5">
        <v>219</v>
      </c>
      <c r="K3" s="5">
        <v>1042</v>
      </c>
      <c r="L3" s="5">
        <v>653</v>
      </c>
      <c r="M3" s="17">
        <f t="shared" ref="M3:O13" si="2">J3/SUM($J3:$L3)</f>
        <v>0.11442006269592477</v>
      </c>
      <c r="N3" s="17">
        <f t="shared" si="2"/>
        <v>0.54440961337513061</v>
      </c>
      <c r="O3" s="17">
        <f t="shared" si="2"/>
        <v>0.34117032392894464</v>
      </c>
      <c r="P3" s="23">
        <f>((10000*K3/I3)-10000)</f>
        <v>420</v>
      </c>
      <c r="Q3" s="6">
        <v>13354.192570246671</v>
      </c>
      <c r="R3" s="6">
        <v>7022.2636519269754</v>
      </c>
      <c r="S3" s="6">
        <f>INT(J3-($P3*$Q3)/10000)</f>
        <v>-342</v>
      </c>
      <c r="T3" s="6">
        <f t="shared" ref="T3:T13" si="3">I3</f>
        <v>1000</v>
      </c>
      <c r="U3" s="6">
        <f>INT(L3-($P3*$R3)/10000)</f>
        <v>358</v>
      </c>
      <c r="V3" s="23">
        <f>INT(10000*S3/SUM($S3:$U3))</f>
        <v>-3367</v>
      </c>
      <c r="W3" s="23">
        <f t="shared" ref="W3:X3" si="4">INT(10000*T3/SUM($S3:$U3))</f>
        <v>9842</v>
      </c>
      <c r="X3" s="23">
        <f t="shared" si="4"/>
        <v>3523</v>
      </c>
      <c r="Y3" s="17">
        <f t="shared" ref="Y3:Y13" si="5">$AH$20*$M3+$AG$20*$N3+$AF$20*$O3</f>
        <v>0.45887327786061638</v>
      </c>
      <c r="Z3" s="17">
        <f t="shared" ref="Z3:Z13" si="6">$AH$21*$M3+$AG$21*$N3+$AF$21*$O3</f>
        <v>0.41922981419414868</v>
      </c>
      <c r="AA3" s="23">
        <f>INT($AH$17*$V3+$AG$17*$W3+$AF$17*$X3)</f>
        <v>4447</v>
      </c>
      <c r="AB3" s="23">
        <f>INT($AH$18*$V3+$AG$18*$W3+$AF$18*$X3)</f>
        <v>4133</v>
      </c>
      <c r="AC3" s="23">
        <f>INT(($AC$17*$V3+$AB$17*$W3+$AA$17*$X3)/10000)</f>
        <v>4447</v>
      </c>
      <c r="AD3" s="23">
        <f>INT(($AC$18*$V3+$AB$18*$W3+$AA$18*$X3)/10000)</f>
        <v>4133</v>
      </c>
      <c r="AE3" s="23">
        <f>INT((AC3-3320)*10000/(AD3-1858))</f>
        <v>4953</v>
      </c>
      <c r="AF3" s="23">
        <f>INT((AA3-3320)*10000/(AB3-1858))</f>
        <v>4953</v>
      </c>
      <c r="AG3" s="19">
        <f>INT(INT(INT(-449*AE3/10000+3525)*AE3/10000-6823)*AE3/10000)+5520</f>
        <v>2950</v>
      </c>
      <c r="AH3" s="6">
        <f t="shared" ref="AH3:AH13" si="7">B3-AG3</f>
        <v>-49</v>
      </c>
      <c r="AI3" s="12">
        <f t="shared" ref="AI3:AI13" si="8">1-AG3/B3</f>
        <v>-1.6890727335401534E-2</v>
      </c>
    </row>
    <row r="4" spans="1:35" x14ac:dyDescent="0.25">
      <c r="B4" s="10">
        <v>3255</v>
      </c>
      <c r="C4" s="5">
        <v>0.41949999999999998</v>
      </c>
      <c r="D4" s="5">
        <v>0.39689999999999998</v>
      </c>
      <c r="E4" s="5">
        <f t="shared" si="0"/>
        <v>0.18360000000000004</v>
      </c>
      <c r="F4" s="5">
        <f t="shared" ref="F4:F13" si="9">INT(C4*10000)</f>
        <v>4195</v>
      </c>
      <c r="G4" s="5">
        <f t="shared" ref="G4:G13" si="10">INT(D4*10000)</f>
        <v>3969</v>
      </c>
      <c r="H4" s="5">
        <f t="shared" ref="H4:H13" si="11">INT(E4*10000)</f>
        <v>1836</v>
      </c>
      <c r="I4" s="5">
        <v>995</v>
      </c>
      <c r="J4" s="5">
        <v>194</v>
      </c>
      <c r="K4" s="5">
        <v>1037</v>
      </c>
      <c r="L4" s="5">
        <v>741</v>
      </c>
      <c r="M4" s="17">
        <f t="shared" si="2"/>
        <v>9.8377281947261669E-2</v>
      </c>
      <c r="N4" s="17">
        <f t="shared" si="2"/>
        <v>0.52586206896551724</v>
      </c>
      <c r="O4" s="17">
        <f t="shared" si="2"/>
        <v>0.37576064908722112</v>
      </c>
      <c r="P4" s="23">
        <f t="shared" ref="P4:P13" si="12">((10000*K4/I4)-10000)</f>
        <v>422.11055276381921</v>
      </c>
      <c r="Q4" s="6">
        <f t="shared" ref="Q4:R4" si="13">Q3</f>
        <v>13354.192570246671</v>
      </c>
      <c r="R4" s="6">
        <f t="shared" si="13"/>
        <v>7022.2636519269754</v>
      </c>
      <c r="S4" s="6">
        <f t="shared" ref="S4:S13" si="14">INT(J4-($P4*$Q4)/10000)</f>
        <v>-370</v>
      </c>
      <c r="T4" s="6">
        <f t="shared" si="3"/>
        <v>995</v>
      </c>
      <c r="U4" s="6">
        <f t="shared" ref="U4:U13" si="15">INT(L4-($P4*$R4)/10000)</f>
        <v>444</v>
      </c>
      <c r="V4" s="23">
        <f t="shared" ref="V4:V13" si="16">INT(10000*S4/SUM($S4:$U4))</f>
        <v>-3462</v>
      </c>
      <c r="W4" s="23">
        <f t="shared" ref="W4:W13" si="17">INT(10000*T4/SUM($S4:$U4))</f>
        <v>9307</v>
      </c>
      <c r="X4" s="23">
        <f t="shared" ref="X4:X13" si="18">INT(10000*U4/SUM($S4:$U4))</f>
        <v>4153</v>
      </c>
      <c r="Y4" s="17">
        <f t="shared" si="5"/>
        <v>0.4156460966394025</v>
      </c>
      <c r="Z4" s="17">
        <f t="shared" si="6"/>
        <v>0.39905253752929587</v>
      </c>
      <c r="AA4" s="23">
        <f t="shared" ref="AA4:AA13" si="19">INT($AH$17*$V4+$AG$17*$W4+$AF$17*$X4)</f>
        <v>4194</v>
      </c>
      <c r="AB4" s="23">
        <f t="shared" ref="AB4:AB13" si="20">INT($AH$18*$V4+$AG$18*$W4+$AF$18*$X4)</f>
        <v>3989</v>
      </c>
      <c r="AC4" s="23">
        <f t="shared" ref="AC4:AC13" si="21">INT(($AC$17*$V4+$AB$17*$W4+$AA$17*$X4)/10000)</f>
        <v>4194</v>
      </c>
      <c r="AD4" s="23">
        <f t="shared" ref="AD4:AD13" si="22">INT(($AC$18*$V4+$AB$18*$W4+$AA$18*$X4)/10000)</f>
        <v>3988</v>
      </c>
      <c r="AE4" s="23">
        <f t="shared" ref="AE4:AE13" si="23">INT((AC4-3320)*10000/(AD4-1858))</f>
        <v>4103</v>
      </c>
      <c r="AF4" s="23">
        <f t="shared" ref="AF4:AF13" si="24">INT((AA4-3320)*10000/(AB4-1858))</f>
        <v>4101</v>
      </c>
      <c r="AG4" s="19">
        <f t="shared" ref="AG4:AG13" si="25">INT(INT(INT(-449*AE4/10000+3525)*AE4/10000-6823)*AE4/10000)+5520</f>
        <v>3282</v>
      </c>
      <c r="AH4" s="6">
        <f t="shared" si="7"/>
        <v>-27</v>
      </c>
      <c r="AI4" s="12">
        <f t="shared" si="8"/>
        <v>-8.2949308755759787E-3</v>
      </c>
    </row>
    <row r="5" spans="1:35" x14ac:dyDescent="0.25">
      <c r="B5" s="10">
        <v>4003</v>
      </c>
      <c r="C5" s="5">
        <v>0.38640000000000002</v>
      </c>
      <c r="D5" s="5">
        <v>0.39900000000000002</v>
      </c>
      <c r="E5" s="5">
        <f t="shared" si="0"/>
        <v>0.2145999999999999</v>
      </c>
      <c r="F5" s="5">
        <f t="shared" si="9"/>
        <v>3864</v>
      </c>
      <c r="G5" s="5">
        <f t="shared" si="10"/>
        <v>3990</v>
      </c>
      <c r="H5" s="5">
        <f t="shared" si="11"/>
        <v>2146</v>
      </c>
      <c r="I5" s="5">
        <v>863</v>
      </c>
      <c r="J5" s="5">
        <v>170</v>
      </c>
      <c r="K5" s="5">
        <v>902</v>
      </c>
      <c r="L5" s="5">
        <v>746</v>
      </c>
      <c r="M5" s="17">
        <f t="shared" si="2"/>
        <v>9.3509350935093508E-2</v>
      </c>
      <c r="N5" s="17">
        <f t="shared" si="2"/>
        <v>0.49614961496149618</v>
      </c>
      <c r="O5" s="17">
        <f t="shared" si="2"/>
        <v>0.41034103410341033</v>
      </c>
      <c r="P5" s="23">
        <f t="shared" si="12"/>
        <v>451.91193511008169</v>
      </c>
      <c r="Q5" s="6">
        <f t="shared" ref="Q5:Q13" si="26">Q4</f>
        <v>13354.192570246671</v>
      </c>
      <c r="R5" s="6">
        <f t="shared" ref="R5:R13" si="27">R4</f>
        <v>7022.2636519269754</v>
      </c>
      <c r="S5" s="6">
        <f t="shared" si="14"/>
        <v>-434</v>
      </c>
      <c r="T5" s="6">
        <f t="shared" si="3"/>
        <v>863</v>
      </c>
      <c r="U5" s="6">
        <f t="shared" si="15"/>
        <v>428</v>
      </c>
      <c r="V5" s="23">
        <f t="shared" si="16"/>
        <v>-5065</v>
      </c>
      <c r="W5" s="23">
        <f t="shared" si="17"/>
        <v>10070</v>
      </c>
      <c r="X5" s="23">
        <f t="shared" si="18"/>
        <v>4994</v>
      </c>
      <c r="Y5" s="17">
        <f t="shared" si="5"/>
        <v>0.36928637395192465</v>
      </c>
      <c r="Z5" s="17">
        <f t="shared" si="6"/>
        <v>0.37690826824960671</v>
      </c>
      <c r="AA5" s="23">
        <f t="shared" si="19"/>
        <v>3844</v>
      </c>
      <c r="AB5" s="23">
        <f t="shared" si="20"/>
        <v>3812</v>
      </c>
      <c r="AC5" s="23">
        <f t="shared" si="21"/>
        <v>3843</v>
      </c>
      <c r="AD5" s="23">
        <f t="shared" si="22"/>
        <v>3812</v>
      </c>
      <c r="AE5" s="23">
        <f t="shared" si="23"/>
        <v>2676</v>
      </c>
      <c r="AF5" s="23">
        <f t="shared" si="24"/>
        <v>2681</v>
      </c>
      <c r="AG5" s="19">
        <f t="shared" si="25"/>
        <v>3937</v>
      </c>
      <c r="AH5" s="6">
        <f t="shared" si="7"/>
        <v>66</v>
      </c>
      <c r="AI5" s="12">
        <f t="shared" si="8"/>
        <v>1.6487634274294227E-2</v>
      </c>
    </row>
    <row r="6" spans="1:35" x14ac:dyDescent="0.25">
      <c r="A6" s="2" t="s">
        <v>22</v>
      </c>
      <c r="B6" s="10">
        <v>6497</v>
      </c>
      <c r="C6" s="5">
        <v>0.31209999999999999</v>
      </c>
      <c r="D6" s="5">
        <v>0.33610000000000001</v>
      </c>
      <c r="E6" s="5">
        <f t="shared" si="0"/>
        <v>0.35179999999999995</v>
      </c>
      <c r="F6" s="5">
        <f t="shared" si="9"/>
        <v>3121</v>
      </c>
      <c r="G6" s="5">
        <f t="shared" si="10"/>
        <v>3361</v>
      </c>
      <c r="H6" s="5">
        <f t="shared" si="11"/>
        <v>3518</v>
      </c>
      <c r="I6" s="5">
        <v>1985</v>
      </c>
      <c r="J6" s="5">
        <v>1287</v>
      </c>
      <c r="K6" s="5">
        <v>2381</v>
      </c>
      <c r="L6" s="5">
        <v>2647</v>
      </c>
      <c r="M6" s="17">
        <f t="shared" si="2"/>
        <v>0.20380047505938242</v>
      </c>
      <c r="N6" s="17">
        <f t="shared" si="2"/>
        <v>0.37703879651623118</v>
      </c>
      <c r="O6" s="17">
        <f t="shared" si="2"/>
        <v>0.4191607284243864</v>
      </c>
      <c r="P6" s="23">
        <f t="shared" si="12"/>
        <v>1994.9622166246845</v>
      </c>
      <c r="Q6" s="6">
        <f t="shared" si="26"/>
        <v>13354.192570246671</v>
      </c>
      <c r="R6" s="6">
        <f t="shared" si="27"/>
        <v>7022.2636519269754</v>
      </c>
      <c r="S6" s="6">
        <f t="shared" si="14"/>
        <v>-1378</v>
      </c>
      <c r="T6" s="6">
        <f t="shared" si="3"/>
        <v>1985</v>
      </c>
      <c r="U6" s="6">
        <f t="shared" si="15"/>
        <v>1246</v>
      </c>
      <c r="V6" s="23">
        <f t="shared" si="16"/>
        <v>-7437</v>
      </c>
      <c r="W6" s="23">
        <f t="shared" si="17"/>
        <v>10712</v>
      </c>
      <c r="X6" s="23">
        <f t="shared" si="18"/>
        <v>6724</v>
      </c>
      <c r="Y6" s="17">
        <f t="shared" si="5"/>
        <v>0.32606051680852843</v>
      </c>
      <c r="Z6" s="17">
        <f t="shared" si="6"/>
        <v>0.3515624570614348</v>
      </c>
      <c r="AA6" s="23">
        <f t="shared" si="19"/>
        <v>3130</v>
      </c>
      <c r="AB6" s="23">
        <f t="shared" si="20"/>
        <v>3438</v>
      </c>
      <c r="AC6" s="23">
        <f t="shared" si="21"/>
        <v>3129</v>
      </c>
      <c r="AD6" s="23">
        <f t="shared" si="22"/>
        <v>3437</v>
      </c>
      <c r="AE6" s="23">
        <f t="shared" si="23"/>
        <v>-1210</v>
      </c>
      <c r="AF6" s="23">
        <f t="shared" si="24"/>
        <v>-1203</v>
      </c>
      <c r="AG6" s="19">
        <f t="shared" si="25"/>
        <v>6398</v>
      </c>
      <c r="AH6" s="6">
        <f t="shared" si="7"/>
        <v>99</v>
      </c>
      <c r="AI6" s="12">
        <f t="shared" si="8"/>
        <v>1.5237802062490369E-2</v>
      </c>
    </row>
    <row r="7" spans="1:35" ht="14.95" thickBot="1" x14ac:dyDescent="0.3">
      <c r="B7" s="13">
        <v>2877</v>
      </c>
      <c r="C7" s="14">
        <v>0.44779999999999998</v>
      </c>
      <c r="D7" s="14">
        <v>0.4103</v>
      </c>
      <c r="E7" s="14">
        <f t="shared" si="0"/>
        <v>0.14190000000000003</v>
      </c>
      <c r="F7" s="5">
        <f t="shared" si="9"/>
        <v>4478</v>
      </c>
      <c r="G7" s="5">
        <f t="shared" si="10"/>
        <v>4103</v>
      </c>
      <c r="H7" s="5">
        <f t="shared" si="11"/>
        <v>1419</v>
      </c>
      <c r="I7" s="14">
        <v>3841</v>
      </c>
      <c r="J7" s="14">
        <v>4619</v>
      </c>
      <c r="K7" s="14">
        <v>5264</v>
      </c>
      <c r="L7" s="14">
        <v>4500</v>
      </c>
      <c r="M7" s="18">
        <f t="shared" si="2"/>
        <v>0.32114301606062712</v>
      </c>
      <c r="N7" s="18">
        <f t="shared" si="2"/>
        <v>0.36598762427866233</v>
      </c>
      <c r="O7" s="18">
        <f t="shared" si="2"/>
        <v>0.31286935966071056</v>
      </c>
      <c r="P7" s="23">
        <f t="shared" si="12"/>
        <v>3704.7643842749276</v>
      </c>
      <c r="Q7" s="6">
        <f t="shared" si="26"/>
        <v>13354.192570246671</v>
      </c>
      <c r="R7" s="6">
        <f t="shared" si="27"/>
        <v>7022.2636519269754</v>
      </c>
      <c r="S7" s="6">
        <f t="shared" si="14"/>
        <v>-329</v>
      </c>
      <c r="T7" s="15">
        <f t="shared" si="3"/>
        <v>3841</v>
      </c>
      <c r="U7" s="6">
        <f t="shared" si="15"/>
        <v>1898</v>
      </c>
      <c r="V7" s="23">
        <f t="shared" si="16"/>
        <v>-609</v>
      </c>
      <c r="W7" s="23">
        <f t="shared" si="17"/>
        <v>7099</v>
      </c>
      <c r="X7" s="23">
        <f t="shared" si="18"/>
        <v>3508</v>
      </c>
      <c r="Y7" s="18">
        <f t="shared" si="5"/>
        <v>0.43973373473952831</v>
      </c>
      <c r="Z7" s="18">
        <f t="shared" si="6"/>
        <v>0.40154692296551447</v>
      </c>
      <c r="AA7" s="23">
        <f t="shared" si="19"/>
        <v>4479</v>
      </c>
      <c r="AB7" s="23">
        <f t="shared" si="20"/>
        <v>4108</v>
      </c>
      <c r="AC7" s="23">
        <f t="shared" si="21"/>
        <v>4478</v>
      </c>
      <c r="AD7" s="23">
        <f t="shared" si="22"/>
        <v>4108</v>
      </c>
      <c r="AE7" s="23">
        <f t="shared" si="23"/>
        <v>5146</v>
      </c>
      <c r="AF7" s="23">
        <f t="shared" si="24"/>
        <v>5151</v>
      </c>
      <c r="AG7" s="19">
        <f t="shared" si="25"/>
        <v>2880</v>
      </c>
      <c r="AH7" s="15">
        <f t="shared" si="7"/>
        <v>-3</v>
      </c>
      <c r="AI7" s="16">
        <f t="shared" si="8"/>
        <v>-1.0427528675704956E-3</v>
      </c>
    </row>
    <row r="8" spans="1:35" x14ac:dyDescent="0.25">
      <c r="A8" s="2" t="s">
        <v>19</v>
      </c>
      <c r="B8" s="2">
        <v>3897</v>
      </c>
      <c r="C8" s="2">
        <f>0.38947</f>
        <v>0.38946999999999998</v>
      </c>
      <c r="D8" s="2">
        <v>0.394702</v>
      </c>
      <c r="E8" s="2">
        <f t="shared" si="0"/>
        <v>0.21582800000000002</v>
      </c>
      <c r="F8" s="5">
        <f t="shared" si="9"/>
        <v>3894</v>
      </c>
      <c r="G8" s="5">
        <f t="shared" si="10"/>
        <v>3947</v>
      </c>
      <c r="H8" s="5">
        <f t="shared" si="11"/>
        <v>2158</v>
      </c>
      <c r="I8" s="2">
        <v>733</v>
      </c>
      <c r="J8" s="2">
        <v>430</v>
      </c>
      <c r="K8" s="2">
        <v>1058</v>
      </c>
      <c r="L8" s="2">
        <v>1020</v>
      </c>
      <c r="M8" s="2">
        <f t="shared" si="2"/>
        <v>0.17145135566188197</v>
      </c>
      <c r="N8" s="2">
        <f t="shared" si="2"/>
        <v>0.42185007974481659</v>
      </c>
      <c r="O8" s="2">
        <f t="shared" si="2"/>
        <v>0.40669856459330145</v>
      </c>
      <c r="P8" s="23">
        <f t="shared" si="12"/>
        <v>4433.8335607094141</v>
      </c>
      <c r="Q8" s="6">
        <f t="shared" si="26"/>
        <v>13354.192570246671</v>
      </c>
      <c r="R8" s="6">
        <f t="shared" si="27"/>
        <v>7022.2636519269754</v>
      </c>
      <c r="S8" s="6">
        <f t="shared" si="14"/>
        <v>-5492</v>
      </c>
      <c r="T8" s="2">
        <f t="shared" si="3"/>
        <v>733</v>
      </c>
      <c r="U8" s="6">
        <f t="shared" si="15"/>
        <v>-2094</v>
      </c>
      <c r="V8" s="23">
        <f t="shared" si="16"/>
        <v>8014</v>
      </c>
      <c r="W8" s="23">
        <f t="shared" si="17"/>
        <v>-1070</v>
      </c>
      <c r="X8" s="23">
        <f t="shared" si="18"/>
        <v>3055</v>
      </c>
      <c r="Y8" s="2">
        <f t="shared" si="5"/>
        <v>0.35236951660233323</v>
      </c>
      <c r="Z8" s="2">
        <f t="shared" si="6"/>
        <v>0.36556591643672437</v>
      </c>
      <c r="AA8" s="23">
        <f t="shared" si="19"/>
        <v>4741</v>
      </c>
      <c r="AB8" s="23">
        <f t="shared" si="20"/>
        <v>4125</v>
      </c>
      <c r="AC8" s="23">
        <f t="shared" si="21"/>
        <v>4740</v>
      </c>
      <c r="AD8" s="23">
        <f t="shared" si="22"/>
        <v>4125</v>
      </c>
      <c r="AE8" s="23">
        <f t="shared" si="23"/>
        <v>6263</v>
      </c>
      <c r="AF8" s="23">
        <f t="shared" si="24"/>
        <v>6268</v>
      </c>
      <c r="AG8" s="19">
        <f t="shared" si="25"/>
        <v>2518</v>
      </c>
      <c r="AH8" s="3">
        <f t="shared" si="7"/>
        <v>1379</v>
      </c>
      <c r="AI8" s="4">
        <f t="shared" si="8"/>
        <v>0.35386194508596358</v>
      </c>
    </row>
    <row r="9" spans="1:35" x14ac:dyDescent="0.25">
      <c r="B9" s="2">
        <v>2340</v>
      </c>
      <c r="C9" s="2">
        <v>0.49330000000000002</v>
      </c>
      <c r="D9" s="2">
        <v>0.41589999999999999</v>
      </c>
      <c r="E9" s="2">
        <f t="shared" si="0"/>
        <v>9.0799999999999936E-2</v>
      </c>
      <c r="F9" s="5">
        <f t="shared" si="9"/>
        <v>4933</v>
      </c>
      <c r="G9" s="5">
        <f t="shared" si="10"/>
        <v>4159</v>
      </c>
      <c r="H9" s="5">
        <f t="shared" si="11"/>
        <v>907</v>
      </c>
      <c r="I9" s="2">
        <v>3719</v>
      </c>
      <c r="J9" s="2">
        <v>5746</v>
      </c>
      <c r="K9" s="2">
        <v>5493</v>
      </c>
      <c r="L9" s="2">
        <v>5085</v>
      </c>
      <c r="M9" s="2">
        <f t="shared" si="2"/>
        <v>0.35199705954422933</v>
      </c>
      <c r="N9" s="2">
        <f t="shared" si="2"/>
        <v>0.33649840725312424</v>
      </c>
      <c r="O9" s="2">
        <f t="shared" si="2"/>
        <v>0.31150453320264643</v>
      </c>
      <c r="P9" s="23">
        <f t="shared" si="12"/>
        <v>4770.0994891099763</v>
      </c>
      <c r="Q9" s="6">
        <f t="shared" si="26"/>
        <v>13354.192570246671</v>
      </c>
      <c r="R9" s="6">
        <f t="shared" si="27"/>
        <v>7022.2636519269754</v>
      </c>
      <c r="S9" s="6">
        <f t="shared" si="14"/>
        <v>-625</v>
      </c>
      <c r="T9" s="2">
        <f t="shared" si="3"/>
        <v>3719</v>
      </c>
      <c r="U9" s="6">
        <f t="shared" si="15"/>
        <v>1735</v>
      </c>
      <c r="V9" s="23">
        <f t="shared" si="16"/>
        <v>-1295</v>
      </c>
      <c r="W9" s="23">
        <f t="shared" si="17"/>
        <v>7701</v>
      </c>
      <c r="X9" s="23">
        <f t="shared" si="18"/>
        <v>3592</v>
      </c>
      <c r="Y9" s="2">
        <f t="shared" si="5"/>
        <v>0.43293065635102512</v>
      </c>
      <c r="Z9" s="2">
        <f t="shared" si="6"/>
        <v>0.39700567629710903</v>
      </c>
      <c r="AA9" s="23">
        <f t="shared" si="19"/>
        <v>4439</v>
      </c>
      <c r="AB9" s="23">
        <f t="shared" si="20"/>
        <v>4096</v>
      </c>
      <c r="AC9" s="23">
        <f t="shared" si="21"/>
        <v>4438</v>
      </c>
      <c r="AD9" s="23">
        <f t="shared" si="22"/>
        <v>4095</v>
      </c>
      <c r="AE9" s="23">
        <f t="shared" si="23"/>
        <v>4997</v>
      </c>
      <c r="AF9" s="23">
        <f t="shared" si="24"/>
        <v>5000</v>
      </c>
      <c r="AG9" s="19">
        <f t="shared" si="25"/>
        <v>2934</v>
      </c>
      <c r="AH9" s="3">
        <f t="shared" si="7"/>
        <v>-594</v>
      </c>
      <c r="AI9" s="4">
        <f t="shared" si="8"/>
        <v>-0.25384615384615383</v>
      </c>
    </row>
    <row r="10" spans="1:35" x14ac:dyDescent="0.25">
      <c r="A10" s="2" t="s">
        <v>21</v>
      </c>
      <c r="B10" s="2">
        <v>3291</v>
      </c>
      <c r="C10" s="2">
        <v>0.42109999999999997</v>
      </c>
      <c r="D10" s="2">
        <v>0.40920000000000001</v>
      </c>
      <c r="E10" s="2">
        <f t="shared" si="0"/>
        <v>0.16969999999999996</v>
      </c>
      <c r="F10" s="5">
        <f t="shared" si="9"/>
        <v>4211</v>
      </c>
      <c r="G10" s="5">
        <f t="shared" si="10"/>
        <v>4092</v>
      </c>
      <c r="H10" s="5">
        <f t="shared" si="11"/>
        <v>1697</v>
      </c>
      <c r="I10" s="2">
        <v>81</v>
      </c>
      <c r="J10" s="2">
        <v>62</v>
      </c>
      <c r="K10" s="2">
        <v>120</v>
      </c>
      <c r="L10" s="2">
        <v>100</v>
      </c>
      <c r="M10" s="2">
        <f t="shared" si="2"/>
        <v>0.21985815602836881</v>
      </c>
      <c r="N10" s="2">
        <f t="shared" si="2"/>
        <v>0.42553191489361702</v>
      </c>
      <c r="O10" s="2">
        <f t="shared" si="2"/>
        <v>0.3546099290780142</v>
      </c>
      <c r="P10" s="23">
        <f t="shared" si="12"/>
        <v>4814.8148148148157</v>
      </c>
      <c r="Q10" s="6">
        <f t="shared" si="26"/>
        <v>13354.192570246671</v>
      </c>
      <c r="R10" s="6">
        <f t="shared" si="27"/>
        <v>7022.2636519269754</v>
      </c>
      <c r="S10" s="6">
        <f t="shared" si="14"/>
        <v>-6368</v>
      </c>
      <c r="T10" s="2">
        <f t="shared" si="3"/>
        <v>81</v>
      </c>
      <c r="U10" s="6">
        <f t="shared" si="15"/>
        <v>-3282</v>
      </c>
      <c r="V10" s="23">
        <f t="shared" si="16"/>
        <v>6654</v>
      </c>
      <c r="W10" s="23">
        <f t="shared" si="17"/>
        <v>-85</v>
      </c>
      <c r="X10" s="23">
        <f t="shared" si="18"/>
        <v>3429</v>
      </c>
      <c r="Y10" s="2">
        <f t="shared" si="5"/>
        <v>0.41063705791943267</v>
      </c>
      <c r="Z10" s="2">
        <f t="shared" si="6"/>
        <v>0.39166778773852584</v>
      </c>
      <c r="AA10" s="23">
        <f t="shared" si="19"/>
        <v>4578</v>
      </c>
      <c r="AB10" s="23">
        <f t="shared" si="20"/>
        <v>4053</v>
      </c>
      <c r="AC10" s="23">
        <f t="shared" si="21"/>
        <v>4578</v>
      </c>
      <c r="AD10" s="23">
        <f t="shared" si="22"/>
        <v>4052</v>
      </c>
      <c r="AE10" s="23">
        <f t="shared" si="23"/>
        <v>5733</v>
      </c>
      <c r="AF10" s="23">
        <f t="shared" si="24"/>
        <v>5731</v>
      </c>
      <c r="AG10" s="19">
        <f t="shared" si="25"/>
        <v>2681</v>
      </c>
      <c r="AH10" s="3">
        <f t="shared" si="7"/>
        <v>610</v>
      </c>
      <c r="AI10" s="4">
        <f t="shared" si="8"/>
        <v>0.18535399574597389</v>
      </c>
    </row>
    <row r="11" spans="1:35" x14ac:dyDescent="0.25">
      <c r="A11" s="2" t="s">
        <v>20</v>
      </c>
      <c r="B11" s="2">
        <v>6546</v>
      </c>
      <c r="C11" s="2">
        <f>0.309563</f>
        <v>0.30956299999999998</v>
      </c>
      <c r="D11" s="2">
        <f>0.351268</f>
        <v>0.35126800000000002</v>
      </c>
      <c r="E11" s="2">
        <f t="shared" si="0"/>
        <v>0.33916899999999994</v>
      </c>
      <c r="F11" s="5">
        <f t="shared" si="9"/>
        <v>3095</v>
      </c>
      <c r="G11" s="5">
        <f t="shared" si="10"/>
        <v>3512</v>
      </c>
      <c r="H11" s="5">
        <f t="shared" si="11"/>
        <v>3391</v>
      </c>
      <c r="I11" s="2">
        <v>562</v>
      </c>
      <c r="J11" s="2">
        <v>2532</v>
      </c>
      <c r="K11" s="2">
        <v>2538</v>
      </c>
      <c r="L11" s="2">
        <v>2730</v>
      </c>
      <c r="M11" s="2">
        <f t="shared" si="2"/>
        <v>0.32461538461538464</v>
      </c>
      <c r="N11" s="2">
        <f t="shared" si="2"/>
        <v>0.32538461538461538</v>
      </c>
      <c r="O11" s="2">
        <f t="shared" si="2"/>
        <v>0.35</v>
      </c>
      <c r="P11" s="23">
        <f t="shared" si="12"/>
        <v>35160.142348754445</v>
      </c>
      <c r="Q11" s="6">
        <f t="shared" si="26"/>
        <v>13354.192570246671</v>
      </c>
      <c r="R11" s="6">
        <f t="shared" si="27"/>
        <v>7022.2636519269754</v>
      </c>
      <c r="S11" s="6">
        <f t="shared" si="14"/>
        <v>-44422</v>
      </c>
      <c r="T11" s="2">
        <f t="shared" si="3"/>
        <v>562</v>
      </c>
      <c r="U11" s="6">
        <f t="shared" si="15"/>
        <v>-21961</v>
      </c>
      <c r="V11" s="23">
        <f t="shared" si="16"/>
        <v>6748</v>
      </c>
      <c r="W11" s="23">
        <f t="shared" si="17"/>
        <v>-86</v>
      </c>
      <c r="X11" s="23">
        <f t="shared" si="18"/>
        <v>3336</v>
      </c>
      <c r="Y11" s="2">
        <f t="shared" si="5"/>
        <v>0.38750577181241497</v>
      </c>
      <c r="Z11" s="2">
        <f t="shared" si="6"/>
        <v>0.3762331491513593</v>
      </c>
      <c r="AA11" s="23">
        <f t="shared" si="19"/>
        <v>4616</v>
      </c>
      <c r="AB11" s="23">
        <f t="shared" si="20"/>
        <v>4073</v>
      </c>
      <c r="AC11" s="23">
        <f t="shared" si="21"/>
        <v>4616</v>
      </c>
      <c r="AD11" s="23">
        <f t="shared" si="22"/>
        <v>4072</v>
      </c>
      <c r="AE11" s="23">
        <f t="shared" si="23"/>
        <v>5853</v>
      </c>
      <c r="AF11" s="23">
        <f t="shared" si="24"/>
        <v>5851</v>
      </c>
      <c r="AG11" s="19">
        <f t="shared" si="25"/>
        <v>2643</v>
      </c>
      <c r="AH11" s="3">
        <f t="shared" si="7"/>
        <v>3903</v>
      </c>
      <c r="AI11" s="4">
        <f t="shared" si="8"/>
        <v>0.59624197983501381</v>
      </c>
    </row>
    <row r="12" spans="1:35" x14ac:dyDescent="0.25">
      <c r="A12" s="2" t="s">
        <v>20</v>
      </c>
      <c r="B12" s="2">
        <v>3319</v>
      </c>
      <c r="C12" s="2">
        <v>0.41660000000000003</v>
      </c>
      <c r="D12" s="2">
        <v>0.39779999999999999</v>
      </c>
      <c r="E12" s="2">
        <f t="shared" si="0"/>
        <v>0.18559999999999993</v>
      </c>
      <c r="F12" s="5">
        <f t="shared" si="9"/>
        <v>4166</v>
      </c>
      <c r="G12" s="5">
        <f t="shared" si="10"/>
        <v>3978</v>
      </c>
      <c r="H12" s="5">
        <f t="shared" si="11"/>
        <v>1856</v>
      </c>
      <c r="I12" s="2">
        <v>6575</v>
      </c>
      <c r="J12" s="2">
        <v>29767</v>
      </c>
      <c r="K12" s="2">
        <v>30891</v>
      </c>
      <c r="L12" s="2">
        <v>29932</v>
      </c>
      <c r="M12" s="2">
        <f t="shared" si="2"/>
        <v>0.32859035213599735</v>
      </c>
      <c r="N12" s="2">
        <f t="shared" si="2"/>
        <v>0.3409979026382603</v>
      </c>
      <c r="O12" s="2">
        <f t="shared" si="2"/>
        <v>0.33041174522574235</v>
      </c>
      <c r="P12" s="23">
        <f t="shared" si="12"/>
        <v>36982.50950570342</v>
      </c>
      <c r="Q12" s="6">
        <f t="shared" si="26"/>
        <v>13354.192570246671</v>
      </c>
      <c r="R12" s="6">
        <f t="shared" si="27"/>
        <v>7022.2636519269754</v>
      </c>
      <c r="S12" s="6">
        <f t="shared" si="14"/>
        <v>-19621</v>
      </c>
      <c r="T12" s="2">
        <f t="shared" si="3"/>
        <v>6575</v>
      </c>
      <c r="U12" s="6">
        <f t="shared" si="15"/>
        <v>3961</v>
      </c>
      <c r="V12" s="23">
        <f t="shared" si="16"/>
        <v>21597</v>
      </c>
      <c r="W12" s="23">
        <f t="shared" si="17"/>
        <v>-7238</v>
      </c>
      <c r="X12" s="23">
        <f t="shared" si="18"/>
        <v>-4360</v>
      </c>
      <c r="Y12" s="2">
        <f t="shared" si="5"/>
        <v>0.4134237137095782</v>
      </c>
      <c r="Z12" s="2">
        <f t="shared" si="6"/>
        <v>0.38856187141445087</v>
      </c>
      <c r="AA12" s="23">
        <f t="shared" si="19"/>
        <v>7833</v>
      </c>
      <c r="AB12" s="23">
        <f t="shared" si="20"/>
        <v>5694</v>
      </c>
      <c r="AC12" s="23">
        <f t="shared" si="21"/>
        <v>7833</v>
      </c>
      <c r="AD12" s="23">
        <f t="shared" si="22"/>
        <v>5694</v>
      </c>
      <c r="AE12" s="23">
        <f t="shared" si="23"/>
        <v>11764</v>
      </c>
      <c r="AF12" s="23">
        <f t="shared" si="24"/>
        <v>11764</v>
      </c>
      <c r="AG12" s="19">
        <f t="shared" si="25"/>
        <v>1639</v>
      </c>
      <c r="AH12" s="3">
        <f t="shared" si="7"/>
        <v>1680</v>
      </c>
      <c r="AI12" s="4">
        <f t="shared" si="8"/>
        <v>0.50617655920457971</v>
      </c>
    </row>
    <row r="13" spans="1:35" x14ac:dyDescent="0.25">
      <c r="A13" s="2" t="s">
        <v>20</v>
      </c>
      <c r="B13" s="2">
        <v>3041</v>
      </c>
      <c r="C13" s="2">
        <v>0.44292700000000002</v>
      </c>
      <c r="D13" s="2">
        <v>0.42182799999999998</v>
      </c>
      <c r="E13" s="2">
        <f t="shared" si="0"/>
        <v>0.13524499999999995</v>
      </c>
      <c r="F13" s="5">
        <f t="shared" si="9"/>
        <v>4429</v>
      </c>
      <c r="G13" s="5">
        <f t="shared" si="10"/>
        <v>4218</v>
      </c>
      <c r="H13" s="5">
        <f t="shared" si="11"/>
        <v>1352</v>
      </c>
      <c r="I13" s="2">
        <v>562</v>
      </c>
      <c r="J13" s="2">
        <v>19048</v>
      </c>
      <c r="K13" s="2">
        <v>16242</v>
      </c>
      <c r="L13" s="2">
        <v>16520</v>
      </c>
      <c r="M13" s="2">
        <f t="shared" si="2"/>
        <v>0.36765103261918547</v>
      </c>
      <c r="N13" s="2">
        <f t="shared" si="2"/>
        <v>0.31349160393746384</v>
      </c>
      <c r="O13" s="2">
        <f t="shared" si="2"/>
        <v>0.31885736344335069</v>
      </c>
      <c r="P13" s="23">
        <f t="shared" si="12"/>
        <v>279003.5587188612</v>
      </c>
      <c r="Q13" s="6">
        <f t="shared" si="26"/>
        <v>13354.192570246671</v>
      </c>
      <c r="R13" s="6">
        <f t="shared" si="27"/>
        <v>7022.2636519269754</v>
      </c>
      <c r="S13" s="6">
        <f t="shared" si="14"/>
        <v>-353539</v>
      </c>
      <c r="T13" s="2">
        <f t="shared" si="3"/>
        <v>562</v>
      </c>
      <c r="U13" s="6">
        <f t="shared" si="15"/>
        <v>-179404</v>
      </c>
      <c r="V13" s="23">
        <f t="shared" si="16"/>
        <v>6640</v>
      </c>
      <c r="W13" s="23">
        <f t="shared" si="17"/>
        <v>-11</v>
      </c>
      <c r="X13" s="23">
        <f t="shared" si="18"/>
        <v>3369</v>
      </c>
      <c r="Y13" s="2">
        <f t="shared" si="5"/>
        <v>0.41837441082332194</v>
      </c>
      <c r="Z13" s="2">
        <f t="shared" si="6"/>
        <v>0.38934966449967034</v>
      </c>
      <c r="AA13" s="23">
        <f t="shared" si="19"/>
        <v>4602</v>
      </c>
      <c r="AB13" s="23">
        <f t="shared" si="20"/>
        <v>4067</v>
      </c>
      <c r="AC13" s="23">
        <f t="shared" si="21"/>
        <v>4601</v>
      </c>
      <c r="AD13" s="23">
        <f t="shared" si="22"/>
        <v>4066</v>
      </c>
      <c r="AE13" s="23">
        <f t="shared" si="23"/>
        <v>5801</v>
      </c>
      <c r="AF13" s="23">
        <f t="shared" si="24"/>
        <v>5803</v>
      </c>
      <c r="AG13" s="19">
        <f t="shared" si="25"/>
        <v>2660</v>
      </c>
      <c r="AH13" s="3">
        <f t="shared" si="7"/>
        <v>381</v>
      </c>
      <c r="AI13" s="4">
        <f t="shared" si="8"/>
        <v>0.12528773429792828</v>
      </c>
    </row>
    <row r="14" spans="1:35" x14ac:dyDescent="0.25">
      <c r="P14" s="2" t="s">
        <v>36</v>
      </c>
      <c r="AH14" s="3"/>
      <c r="AI14" s="4"/>
    </row>
    <row r="15" spans="1:35" x14ac:dyDescent="0.25">
      <c r="S15" s="2">
        <f>2^31</f>
        <v>2147483648</v>
      </c>
      <c r="AH15" s="3"/>
      <c r="AI15" s="4"/>
    </row>
    <row r="16" spans="1:35" x14ac:dyDescent="0.25">
      <c r="AA16" s="2" t="s">
        <v>38</v>
      </c>
      <c r="AF16" s="2" t="s">
        <v>11</v>
      </c>
    </row>
    <row r="17" spans="27:35" x14ac:dyDescent="0.25">
      <c r="AA17" s="2">
        <f>INT(AF17*10000)</f>
        <v>1889</v>
      </c>
      <c r="AB17" s="2">
        <f t="shared" ref="AB17:AC17" si="28">INT(AG17*10000)</f>
        <v>5889</v>
      </c>
      <c r="AC17" s="2">
        <f t="shared" si="28"/>
        <v>5982</v>
      </c>
      <c r="AF17" s="2">
        <f t="array" ref="AF17:AH17">LINEST(F3:F7,V3:X7, FALSE)</f>
        <v>0.18899900389875707</v>
      </c>
      <c r="AG17" s="2">
        <v>0.58890175475588558</v>
      </c>
      <c r="AH17" s="2">
        <v>0.59821984169799625</v>
      </c>
    </row>
    <row r="18" spans="27:35" x14ac:dyDescent="0.25">
      <c r="AA18" s="2">
        <f>INT(AF18*10000)</f>
        <v>2608</v>
      </c>
      <c r="AB18" s="2">
        <f t="shared" ref="AB18" si="29">INT(AG18*10000)</f>
        <v>4911</v>
      </c>
      <c r="AC18" s="2">
        <f t="shared" ref="AC18" si="30">INT(AH18*10000)</f>
        <v>4809</v>
      </c>
      <c r="AF18" s="2">
        <f t="array" ref="AF18:AH18">LINEST(G3:G7,V3:X7, FALSE)</f>
        <v>0.26089187043503409</v>
      </c>
      <c r="AG18" s="2">
        <v>0.49113546106341943</v>
      </c>
      <c r="AH18" s="2">
        <v>0.48094465207237058</v>
      </c>
    </row>
    <row r="20" spans="27:35" x14ac:dyDescent="0.25">
      <c r="AF20" s="2">
        <f t="array" ref="AF20:AH20">LINEST(C3:C7,M3:O7, FALSE)</f>
        <v>-0.41827501740671014</v>
      </c>
      <c r="AG20" s="2">
        <v>0.96199536028849852</v>
      </c>
      <c r="AH20" s="2">
        <v>0.68044691676340652</v>
      </c>
    </row>
    <row r="21" spans="27:35" x14ac:dyDescent="0.25">
      <c r="AF21" s="2">
        <f t="array" ref="AF21:AH21">LINEST(D3:D7, M3:O7, FALSE)</f>
        <v>1.1626845645072645E-3</v>
      </c>
      <c r="AG21" s="2">
        <v>0.66639533191523392</v>
      </c>
      <c r="AH21" s="2">
        <v>0.48978399767718561</v>
      </c>
    </row>
    <row r="22" spans="27:35" x14ac:dyDescent="0.25">
      <c r="AF22" s="2">
        <f t="array" ref="AF22:AH22">LINEST(E3:E7, M3:O7, FALSE)</f>
        <v>1.4171123328422028</v>
      </c>
      <c r="AG22" s="2">
        <v>-0.62839069220373256</v>
      </c>
      <c r="AH22" s="2">
        <v>-0.17023091444059216</v>
      </c>
    </row>
    <row r="23" spans="27:35" x14ac:dyDescent="0.25">
      <c r="AI23" s="4">
        <f>ABS(MIN(AI3:AI7))</f>
        <v>1.6890727335401534E-2</v>
      </c>
    </row>
    <row r="24" spans="27:35" x14ac:dyDescent="0.25">
      <c r="AI24" s="4">
        <f>ABS(MAX(AI3:AI7))</f>
        <v>1.6487634274294227E-2</v>
      </c>
    </row>
    <row r="25" spans="27:35" x14ac:dyDescent="0.25">
      <c r="AH25" s="2" t="s">
        <v>34</v>
      </c>
      <c r="AI25" s="1">
        <f>MAX(AI23:AI24)</f>
        <v>1.6890727335401534E-2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Meizu</vt:lpstr>
      <vt:lpstr>Meizu (2)</vt:lpstr>
    </vt:vector>
  </TitlesOfParts>
  <Company>Intersil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jgetchel</dc:creator>
  <cp:lastModifiedBy>Louis Park</cp:lastModifiedBy>
  <dcterms:created xsi:type="dcterms:W3CDTF">2014-06-11T17:11:51Z</dcterms:created>
  <dcterms:modified xsi:type="dcterms:W3CDTF">2014-06-14T05:30:34Z</dcterms:modified>
</cp:coreProperties>
</file>