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bochs2\Documents\GitHub\MATER_RASC-AL_2025\Payload_Caculations\Rover_Power_Calculator\"/>
    </mc:Choice>
  </mc:AlternateContent>
  <xr:revisionPtr revIDLastSave="0" documentId="8_{B13C76E9-3C88-4F77-AC14-B1D13CECA8F4}" xr6:coauthVersionLast="47" xr6:coauthVersionMax="47" xr10:uidLastSave="{00000000-0000-0000-0000-000000000000}"/>
  <bookViews>
    <workbookView xWindow="-120" yWindow="-120" windowWidth="29040" windowHeight="15840" activeTab="1" xr2:uid="{2718DE06-529D-514D-89B9-F1F993F2C47D}"/>
  </bookViews>
  <sheets>
    <sheet name="Power Calcs" sheetId="1" r:id="rId1"/>
    <sheet name="Power Cycle Assistance Calcs" sheetId="3" r:id="rId2"/>
    <sheet name="Helicopter Power Calcs" sheetId="4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1" l="1"/>
  <c r="S5" i="1"/>
  <c r="L5" i="1"/>
  <c r="C15" i="1"/>
  <c r="L35" i="1"/>
  <c r="M35" i="1"/>
  <c r="N35" i="1"/>
  <c r="P35" i="1"/>
  <c r="L36" i="1"/>
  <c r="M36" i="1"/>
  <c r="N36" i="1"/>
  <c r="P36" i="1"/>
  <c r="L37" i="1"/>
  <c r="M37" i="1"/>
  <c r="N37" i="1"/>
  <c r="P37" i="1"/>
  <c r="L34" i="1"/>
  <c r="M34" i="1"/>
  <c r="N34" i="1"/>
  <c r="P34" i="1"/>
  <c r="B31" i="3"/>
  <c r="B30" i="3"/>
  <c r="B29" i="3"/>
  <c r="B28" i="3"/>
  <c r="B27" i="3"/>
  <c r="S33" i="1"/>
  <c r="O33" i="1"/>
  <c r="Q33" i="1" s="1"/>
  <c r="L33" i="1"/>
  <c r="M33" i="1" s="1"/>
  <c r="N33" i="1" s="1"/>
  <c r="P33" i="1" s="1"/>
  <c r="R33" i="1" s="1"/>
  <c r="B7" i="3"/>
  <c r="E25" i="4"/>
  <c r="D25" i="4"/>
  <c r="B25" i="4"/>
  <c r="A25" i="4"/>
  <c r="C25" i="4"/>
  <c r="L28" i="1"/>
  <c r="M28" i="1"/>
  <c r="N28" i="1"/>
  <c r="P28" i="1"/>
  <c r="L29" i="1"/>
  <c r="M29" i="1"/>
  <c r="N29" i="1"/>
  <c r="P29" i="1"/>
  <c r="L30" i="1"/>
  <c r="M30" i="1"/>
  <c r="N30" i="1"/>
  <c r="P30" i="1"/>
  <c r="L31" i="1"/>
  <c r="M31" i="1"/>
  <c r="N31" i="1"/>
  <c r="P31" i="1"/>
  <c r="B20" i="3"/>
  <c r="B21" i="3"/>
  <c r="B22" i="3"/>
  <c r="B23" i="3"/>
  <c r="B19" i="3"/>
  <c r="S27" i="1"/>
  <c r="O27" i="1"/>
  <c r="Q27" i="1" s="1"/>
  <c r="L27" i="1"/>
  <c r="M27" i="1" s="1"/>
  <c r="N27" i="1" s="1"/>
  <c r="P27" i="1" s="1"/>
  <c r="R27" i="1" s="1"/>
  <c r="H19" i="3" s="1"/>
  <c r="D19" i="3" s="1"/>
  <c r="L8" i="1"/>
  <c r="M8" i="1"/>
  <c r="N8" i="1"/>
  <c r="P8" i="1"/>
  <c r="S8" i="1"/>
  <c r="O8" i="1" s="1"/>
  <c r="Q8" i="1" s="1"/>
  <c r="R8" i="1" s="1"/>
  <c r="L25" i="1"/>
  <c r="M25" i="1"/>
  <c r="N25" i="1"/>
  <c r="P25" i="1"/>
  <c r="B15" i="3"/>
  <c r="B14" i="3"/>
  <c r="L24" i="1"/>
  <c r="M24" i="1"/>
  <c r="N24" i="1"/>
  <c r="P24" i="1"/>
  <c r="L23" i="1"/>
  <c r="M23" i="1"/>
  <c r="N23" i="1"/>
  <c r="P23" i="1"/>
  <c r="L22" i="1"/>
  <c r="M22" i="1"/>
  <c r="N22" i="1"/>
  <c r="P22" i="1"/>
  <c r="S21" i="1"/>
  <c r="O21" i="1"/>
  <c r="Q21" i="1" s="1"/>
  <c r="L21" i="1"/>
  <c r="M21" i="1" s="1"/>
  <c r="N21" i="1" s="1"/>
  <c r="P21" i="1" s="1"/>
  <c r="R21" i="1" s="1"/>
  <c r="H11" i="3" s="1"/>
  <c r="D11" i="3" s="1"/>
  <c r="B3" i="3"/>
  <c r="L6" i="1"/>
  <c r="L15" i="1"/>
  <c r="M15" i="1" s="1"/>
  <c r="N15" i="1" s="1"/>
  <c r="P15" i="1" s="1"/>
  <c r="S15" i="1"/>
  <c r="O15" i="1" s="1"/>
  <c r="Q15" i="1" s="1"/>
  <c r="L19" i="1"/>
  <c r="M19" i="1" s="1"/>
  <c r="N19" i="1" s="1"/>
  <c r="P19" i="1" s="1"/>
  <c r="L18" i="1"/>
  <c r="M18" i="1" s="1"/>
  <c r="N18" i="1" s="1"/>
  <c r="P18" i="1" s="1"/>
  <c r="L17" i="1"/>
  <c r="M17" i="1" s="1"/>
  <c r="N17" i="1" s="1"/>
  <c r="P17" i="1" s="1"/>
  <c r="L16" i="1"/>
  <c r="M16" i="1" s="1"/>
  <c r="N16" i="1" s="1"/>
  <c r="P16" i="1" s="1"/>
  <c r="B13" i="3"/>
  <c r="B12" i="3"/>
  <c r="B11" i="3"/>
  <c r="B6" i="3"/>
  <c r="B5" i="3"/>
  <c r="B4" i="3"/>
  <c r="S7" i="1"/>
  <c r="O7" i="1" s="1"/>
  <c r="Q7" i="1" s="1"/>
  <c r="S9" i="1"/>
  <c r="O9" i="1"/>
  <c r="Q9" i="1" s="1"/>
  <c r="L7" i="1"/>
  <c r="M7" i="1" s="1"/>
  <c r="N7" i="1" s="1"/>
  <c r="P7" i="1" s="1"/>
  <c r="R7" i="1" s="1"/>
  <c r="L9" i="1"/>
  <c r="M9" i="1" s="1"/>
  <c r="N9" i="1" s="1"/>
  <c r="P9" i="1" s="1"/>
  <c r="M6" i="1"/>
  <c r="N6" i="1" s="1"/>
  <c r="P6" i="1" s="1"/>
  <c r="M5" i="1"/>
  <c r="N5" i="1" s="1"/>
  <c r="P5" i="1" s="1"/>
  <c r="S6" i="1"/>
  <c r="O6" i="1" s="1"/>
  <c r="Q6" i="1" s="1"/>
  <c r="O5" i="1"/>
  <c r="Q5" i="1" s="1"/>
  <c r="R15" i="1" l="1"/>
  <c r="H27" i="3"/>
  <c r="C27" i="3" s="1"/>
  <c r="C34" i="1" s="1"/>
  <c r="S34" i="1"/>
  <c r="O34" i="1" s="1"/>
  <c r="Q34" i="1" s="1"/>
  <c r="R34" i="1" s="1"/>
  <c r="H28" i="3" s="1"/>
  <c r="C28" i="3" s="1"/>
  <c r="C35" i="1" s="1"/>
  <c r="E19" i="3"/>
  <c r="E11" i="3"/>
  <c r="C19" i="3"/>
  <c r="C28" i="1" s="1"/>
  <c r="C11" i="3"/>
  <c r="C22" i="1" s="1"/>
  <c r="S22" i="1"/>
  <c r="O22" i="1" s="1"/>
  <c r="Q22" i="1" s="1"/>
  <c r="R22" i="1" s="1"/>
  <c r="H12" i="3"/>
  <c r="D12" i="3" s="1"/>
  <c r="H3" i="3"/>
  <c r="C3" i="3" s="1"/>
  <c r="R6" i="1"/>
  <c r="R5" i="1"/>
  <c r="R9" i="1"/>
  <c r="S35" i="1" l="1"/>
  <c r="O35" i="1" s="1"/>
  <c r="Q35" i="1" s="1"/>
  <c r="R35" i="1" s="1"/>
  <c r="H29" i="3" s="1"/>
  <c r="C29" i="3" s="1"/>
  <c r="E12" i="3"/>
  <c r="S28" i="1"/>
  <c r="O28" i="1" s="1"/>
  <c r="Q28" i="1" s="1"/>
  <c r="R28" i="1" s="1"/>
  <c r="H20" i="3" s="1"/>
  <c r="D20" i="3" s="1"/>
  <c r="C12" i="3"/>
  <c r="C23" i="1" s="1"/>
  <c r="D3" i="3"/>
  <c r="E3" i="3" s="1"/>
  <c r="C36" i="1" l="1"/>
  <c r="S36" i="1" s="1"/>
  <c r="O36" i="1" s="1"/>
  <c r="Q36" i="1" s="1"/>
  <c r="R36" i="1" s="1"/>
  <c r="H30" i="3" s="1"/>
  <c r="C30" i="3" s="1"/>
  <c r="C37" i="1" s="1"/>
  <c r="S37" i="1" s="1"/>
  <c r="O37" i="1" s="1"/>
  <c r="Q37" i="1" s="1"/>
  <c r="R37" i="1" s="1"/>
  <c r="H31" i="3" s="1"/>
  <c r="C31" i="3" s="1"/>
  <c r="E20" i="3"/>
  <c r="C16" i="1"/>
  <c r="S23" i="1"/>
  <c r="O23" i="1" s="1"/>
  <c r="Q23" i="1" s="1"/>
  <c r="R23" i="1" s="1"/>
  <c r="H13" i="3" s="1"/>
  <c r="D13" i="3" s="1"/>
  <c r="E13" i="3"/>
  <c r="C20" i="3"/>
  <c r="C13" i="3"/>
  <c r="S16" i="1"/>
  <c r="O16" i="1" s="1"/>
  <c r="Q16" i="1" s="1"/>
  <c r="R16" i="1" s="1"/>
  <c r="H4" i="3" s="1"/>
  <c r="C24" i="1" l="1"/>
  <c r="C29" i="1"/>
  <c r="S29" i="1" s="1"/>
  <c r="O29" i="1" s="1"/>
  <c r="Q29" i="1" s="1"/>
  <c r="R29" i="1" s="1"/>
  <c r="H21" i="3" s="1"/>
  <c r="D21" i="3" s="1"/>
  <c r="S24" i="1"/>
  <c r="O24" i="1" s="1"/>
  <c r="Q24" i="1" s="1"/>
  <c r="R24" i="1" s="1"/>
  <c r="H14" i="3" s="1"/>
  <c r="D14" i="3" s="1"/>
  <c r="C4" i="3"/>
  <c r="D4" i="3"/>
  <c r="E4" i="3" s="1"/>
  <c r="E21" i="3" l="1"/>
  <c r="C17" i="1"/>
  <c r="E14" i="3"/>
  <c r="C21" i="3"/>
  <c r="C14" i="3"/>
  <c r="C25" i="1" s="1"/>
  <c r="S17" i="1"/>
  <c r="O17" i="1" s="1"/>
  <c r="Q17" i="1" s="1"/>
  <c r="R17" i="1" s="1"/>
  <c r="H5" i="3" s="1"/>
  <c r="S25" i="1" l="1"/>
  <c r="O25" i="1" s="1"/>
  <c r="Q25" i="1" s="1"/>
  <c r="R25" i="1" s="1"/>
  <c r="H15" i="3" s="1"/>
  <c r="D15" i="3" s="1"/>
  <c r="C30" i="1"/>
  <c r="S30" i="1" s="1"/>
  <c r="O30" i="1" s="1"/>
  <c r="Q30" i="1" s="1"/>
  <c r="R30" i="1" s="1"/>
  <c r="H22" i="3" s="1"/>
  <c r="D22" i="3" s="1"/>
  <c r="C15" i="3"/>
  <c r="C5" i="3"/>
  <c r="D5" i="3"/>
  <c r="E5" i="3" s="1"/>
  <c r="E22" i="3" l="1"/>
  <c r="E15" i="3"/>
  <c r="C18" i="1"/>
  <c r="C22" i="3"/>
  <c r="S18" i="1"/>
  <c r="O18" i="1" s="1"/>
  <c r="Q18" i="1" s="1"/>
  <c r="R18" i="1" s="1"/>
  <c r="H6" i="3" s="1"/>
  <c r="C31" i="1" l="1"/>
  <c r="S31" i="1" s="1"/>
  <c r="O31" i="1" s="1"/>
  <c r="Q31" i="1" s="1"/>
  <c r="R31" i="1" s="1"/>
  <c r="H23" i="3" s="1"/>
  <c r="D23" i="3" s="1"/>
  <c r="C6" i="3"/>
  <c r="D6" i="3"/>
  <c r="E6" i="3" s="1"/>
  <c r="E23" i="3" l="1"/>
  <c r="C19" i="1"/>
  <c r="C23" i="3"/>
  <c r="S19" i="1"/>
  <c r="O19" i="1" s="1"/>
  <c r="Q19" i="1" s="1"/>
  <c r="R19" i="1" s="1"/>
  <c r="H7" i="3" s="1"/>
  <c r="C7" i="3" l="1"/>
  <c r="D7" i="3"/>
  <c r="E7" i="3" s="1"/>
</calcChain>
</file>

<file path=xl/sharedStrings.xml><?xml version="1.0" encoding="utf-8"?>
<sst xmlns="http://schemas.openxmlformats.org/spreadsheetml/2006/main" count="79" uniqueCount="57">
  <si>
    <t>Initials</t>
  </si>
  <si>
    <t>Velocity(km/h)</t>
  </si>
  <si>
    <t>Mass(kg)</t>
  </si>
  <si>
    <t>Radius of Wheel(m)</t>
  </si>
  <si>
    <t>Gearing Ratio (x:1)</t>
  </si>
  <si>
    <t>Number of Wheels</t>
  </si>
  <si>
    <t>Rolling Resistance Cooefficient</t>
  </si>
  <si>
    <t>Gravity m/s^2</t>
  </si>
  <si>
    <t>Average Slope(Degrees)</t>
  </si>
  <si>
    <t>Torque Sensitivity (N m/A)</t>
  </si>
  <si>
    <t>Back EMF (V/rad/sec)</t>
  </si>
  <si>
    <t>Velocity (m/s)</t>
  </si>
  <si>
    <t>wheel speed (rpm)</t>
  </si>
  <si>
    <t>motor speed (rpm)</t>
  </si>
  <si>
    <t>Torque Output</t>
  </si>
  <si>
    <t>Voltage</t>
  </si>
  <si>
    <t>Current</t>
  </si>
  <si>
    <t>Power</t>
  </si>
  <si>
    <t>Twheel(Nm)</t>
  </si>
  <si>
    <t>Example</t>
  </si>
  <si>
    <t>Pressurized Rover</t>
  </si>
  <si>
    <t>Geologic Rover</t>
  </si>
  <si>
    <t>Environmental Rover</t>
  </si>
  <si>
    <t>Payload Transportation Rover</t>
  </si>
  <si>
    <t>Power Cycles</t>
  </si>
  <si>
    <t>continuous driving hours(h)</t>
  </si>
  <si>
    <t>charging hours(h)</t>
  </si>
  <si>
    <t>battery mass(kg)</t>
  </si>
  <si>
    <t>solar panel(kg)</t>
  </si>
  <si>
    <t>solar panel size(m^2)</t>
  </si>
  <si>
    <t>Specific energy for battery(Wh/kg)</t>
  </si>
  <si>
    <t>Power (W)</t>
  </si>
  <si>
    <t>Specific Power for solar panel(W/kg)</t>
  </si>
  <si>
    <t>Power density for solar panel(W/m^2)</t>
  </si>
  <si>
    <t>Geology Rover</t>
  </si>
  <si>
    <t>RTG Mass</t>
  </si>
  <si>
    <t>RTG Volume (m^3) (25% margin for reactor)</t>
  </si>
  <si>
    <t>Density of Americium-241 (kg/m^3)</t>
  </si>
  <si>
    <t>Specific Electric Output (W/kg)</t>
  </si>
  <si>
    <t>Environemental Rover</t>
  </si>
  <si>
    <t>Payload transportation Rover</t>
  </si>
  <si>
    <t>Basic Information</t>
  </si>
  <si>
    <t>Mass of Helicopter (kg)</t>
  </si>
  <si>
    <t>Power Required for 1 Flight (W)</t>
  </si>
  <si>
    <t>Flight Time (hr)</t>
  </si>
  <si>
    <t>Avionics Power Requirements(W)</t>
  </si>
  <si>
    <t>Battery Information</t>
  </si>
  <si>
    <t>Specific Energy (Wh/kg)</t>
  </si>
  <si>
    <t>RTG Information</t>
  </si>
  <si>
    <t>Energy Density (W/kg)</t>
  </si>
  <si>
    <t>Mass of RTG (kg)</t>
  </si>
  <si>
    <t>Outputs</t>
  </si>
  <si>
    <t>Total Power (W)</t>
  </si>
  <si>
    <t>Energy Capacity required (Wh)</t>
  </si>
  <si>
    <t>Battery Mass (kg)</t>
  </si>
  <si>
    <t>Time to Charge to Full (s)</t>
  </si>
  <si>
    <t>Total Mass (kg)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</si>
</sst>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2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sz val="36"/>
      <color rgb="FF000000"/>
      <name val="Aptos Narrow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E49EDD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2">
    <xf numFmtId="0" fontId="0" fillId="0" borderId="0" xfId="0"/>
    <xf numFmtId="0" fontId="0" fillId="0" borderId="0" xfId="0" applyAlignment="1">
      <alignment wrapText="1"/>
    </xf>
    <xf numFmtId="0" fontId="0" fillId="2" borderId="1" xfId="0" applyFill="1" applyBorder="1" applyAlignment="1">
      <alignment wrapText="1"/>
    </xf>
    <xf numFmtId="0" fontId="0" fillId="3" borderId="2" xfId="0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1" fillId="0" borderId="0" xfId="1"/>
    <xf numFmtId="2" fontId="0" fillId="2" borderId="1" xfId="0" applyNumberFormat="1" applyFill="1" applyBorder="1" applyAlignment="1">
      <alignment wrapText="1"/>
    </xf>
    <xf numFmtId="0" fontId="0" fillId="2" borderId="3" xfId="0" applyFill="1" applyBorder="1" applyAlignment="1">
      <alignment wrapText="1"/>
    </xf>
    <xf numFmtId="0" fontId="0" fillId="2" borderId="4" xfId="0" applyFill="1" applyBorder="1" applyAlignment="1">
      <alignment wrapText="1"/>
    </xf>
    <xf numFmtId="2" fontId="0" fillId="2" borderId="1" xfId="0" applyNumberFormat="1" applyFill="1" applyBorder="1"/>
    <xf numFmtId="0" fontId="0" fillId="2" borderId="2" xfId="0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0" fillId="5" borderId="0" xfId="0" applyFill="1" applyAlignment="1">
      <alignment wrapText="1"/>
    </xf>
    <xf numFmtId="0" fontId="0" fillId="2" borderId="1" xfId="0" applyFill="1" applyBorder="1"/>
    <xf numFmtId="0" fontId="0" fillId="4" borderId="1" xfId="0" applyFill="1" applyBorder="1"/>
    <xf numFmtId="0" fontId="0" fillId="3" borderId="1" xfId="0" applyFill="1" applyBorder="1"/>
    <xf numFmtId="0" fontId="0" fillId="2" borderId="3" xfId="0" applyFill="1" applyBorder="1"/>
    <xf numFmtId="0" fontId="0" fillId="7" borderId="1" xfId="0" applyFill="1" applyBorder="1"/>
    <xf numFmtId="0" fontId="0" fillId="7" borderId="1" xfId="0" applyFill="1" applyBorder="1" applyAlignment="1">
      <alignment wrapText="1"/>
    </xf>
    <xf numFmtId="2" fontId="0" fillId="7" borderId="1" xfId="0" applyNumberFormat="1" applyFill="1" applyBorder="1"/>
    <xf numFmtId="0" fontId="0" fillId="6" borderId="1" xfId="0" applyFill="1" applyBorder="1"/>
    <xf numFmtId="2" fontId="0" fillId="6" borderId="1" xfId="0" applyNumberFormat="1" applyFill="1" applyBorder="1"/>
    <xf numFmtId="2" fontId="0" fillId="4" borderId="1" xfId="0" applyNumberFormat="1" applyFill="1" applyBorder="1"/>
    <xf numFmtId="0" fontId="0" fillId="7" borderId="4" xfId="0" applyFill="1" applyBorder="1"/>
    <xf numFmtId="2" fontId="0" fillId="7" borderId="4" xfId="0" applyNumberFormat="1" applyFill="1" applyBorder="1"/>
    <xf numFmtId="0" fontId="0" fillId="6" borderId="5" xfId="0" applyFill="1" applyBorder="1"/>
    <xf numFmtId="0" fontId="0" fillId="6" borderId="3" xfId="0" applyFill="1" applyBorder="1"/>
    <xf numFmtId="0" fontId="0" fillId="4" borderId="3" xfId="0" applyFill="1" applyBorder="1"/>
    <xf numFmtId="0" fontId="0" fillId="0" borderId="7" xfId="0" applyBorder="1"/>
    <xf numFmtId="0" fontId="0" fillId="0" borderId="8" xfId="0" applyBorder="1"/>
    <xf numFmtId="0" fontId="0" fillId="6" borderId="4" xfId="0" applyFill="1" applyBorder="1"/>
    <xf numFmtId="2" fontId="0" fillId="6" borderId="4" xfId="0" applyNumberFormat="1" applyFill="1" applyBorder="1"/>
    <xf numFmtId="0" fontId="0" fillId="6" borderId="9" xfId="0" applyFill="1" applyBorder="1"/>
    <xf numFmtId="0" fontId="0" fillId="4" borderId="5" xfId="0" applyFill="1" applyBorder="1"/>
    <xf numFmtId="0" fontId="0" fillId="4" borderId="6" xfId="0" applyFill="1" applyBorder="1"/>
    <xf numFmtId="0" fontId="0" fillId="0" borderId="10" xfId="0" applyBorder="1"/>
    <xf numFmtId="2" fontId="0" fillId="4" borderId="5" xfId="0" applyNumberFormat="1" applyFill="1" applyBorder="1"/>
    <xf numFmtId="0" fontId="1" fillId="0" borderId="0" xfId="1" applyAlignment="1">
      <alignment wrapText="1"/>
    </xf>
    <xf numFmtId="2" fontId="0" fillId="3" borderId="5" xfId="0" applyNumberFormat="1" applyFill="1" applyBorder="1"/>
    <xf numFmtId="0" fontId="0" fillId="3" borderId="5" xfId="0" applyFill="1" applyBorder="1"/>
    <xf numFmtId="0" fontId="0" fillId="3" borderId="6" xfId="0" applyFill="1" applyBorder="1"/>
    <xf numFmtId="2" fontId="0" fillId="3" borderId="1" xfId="0" applyNumberFormat="1" applyFill="1" applyBorder="1"/>
    <xf numFmtId="0" fontId="0" fillId="8" borderId="1" xfId="0" applyFill="1" applyBorder="1"/>
    <xf numFmtId="0" fontId="0" fillId="0" borderId="0" xfId="0" applyAlignment="1">
      <alignment horizontal="center" vertical="center" wrapText="1"/>
    </xf>
    <xf numFmtId="0" fontId="0" fillId="3" borderId="5" xfId="0" applyFill="1" applyBorder="1" applyAlignment="1">
      <alignment wrapText="1"/>
    </xf>
    <xf numFmtId="0" fontId="0" fillId="3" borderId="6" xfId="0" applyFill="1" applyBorder="1" applyAlignment="1">
      <alignment wrapText="1"/>
    </xf>
    <xf numFmtId="0" fontId="0" fillId="0" borderId="6" xfId="0" applyBorder="1"/>
    <xf numFmtId="0" fontId="0" fillId="6" borderId="5" xfId="0" applyFill="1" applyBorder="1" applyAlignment="1">
      <alignment wrapText="1"/>
    </xf>
    <xf numFmtId="0" fontId="0" fillId="4" borderId="9" xfId="0" applyFill="1" applyBorder="1"/>
    <xf numFmtId="0" fontId="0" fillId="6" borderId="6" xfId="0" applyFill="1" applyBorder="1" applyAlignment="1">
      <alignment wrapText="1"/>
    </xf>
    <xf numFmtId="0" fontId="0" fillId="8" borderId="5" xfId="0" applyFill="1" applyBorder="1" applyAlignment="1">
      <alignment wrapText="1"/>
    </xf>
    <xf numFmtId="0" fontId="0" fillId="0" borderId="12" xfId="0" applyBorder="1"/>
    <xf numFmtId="0" fontId="0" fillId="7" borderId="5" xfId="0" applyFill="1" applyBorder="1" applyAlignment="1">
      <alignment wrapText="1"/>
    </xf>
    <xf numFmtId="0" fontId="0" fillId="7" borderId="5" xfId="0" applyFill="1" applyBorder="1"/>
    <xf numFmtId="0" fontId="0" fillId="7" borderId="5" xfId="0" applyFill="1" applyBorder="1" applyAlignment="1">
      <alignment horizontal="center" wrapText="1"/>
    </xf>
    <xf numFmtId="0" fontId="0" fillId="7" borderId="3" xfId="0" applyFill="1" applyBorder="1"/>
    <xf numFmtId="0" fontId="0" fillId="4" borderId="6" xfId="0" applyFill="1" applyBorder="1" applyAlignment="1">
      <alignment wrapText="1"/>
    </xf>
    <xf numFmtId="0" fontId="0" fillId="4" borderId="5" xfId="0" applyFill="1" applyBorder="1" applyAlignment="1">
      <alignment wrapText="1"/>
    </xf>
    <xf numFmtId="0" fontId="0" fillId="3" borderId="3" xfId="0" applyFill="1" applyBorder="1" applyAlignment="1">
      <alignment horizontal="left" vertical="center" wrapText="1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1" xfId="0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E02266D0-75CA-48DD-BD6D-BBF9DAAE838E}"/>
  </tableStyles>
  <colors>
    <mruColors>
      <color rgb="FFE49EDD"/>
      <color rgb="FFF6FA7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053E3A-C693-2544-90B4-598DD86779F0}">
  <dimension ref="A1:S37"/>
  <sheetViews>
    <sheetView topLeftCell="A7" zoomScale="54" zoomScaleNormal="54" workbookViewId="0">
      <selection activeCell="M20" sqref="M20"/>
    </sheetView>
  </sheetViews>
  <sheetFormatPr defaultColWidth="11" defaultRowHeight="15.75" customHeight="1" x14ac:dyDescent="0.25"/>
  <cols>
    <col min="1" max="4" width="19.875" style="1" customWidth="1"/>
    <col min="5" max="5" width="18.5" style="1" customWidth="1"/>
    <col min="6" max="6" width="18" style="1" customWidth="1"/>
    <col min="7" max="8" width="19.875" style="1" customWidth="1"/>
    <col min="9" max="9" width="23.375" style="1" customWidth="1"/>
    <col min="10" max="13" width="19.875" style="1" customWidth="1"/>
    <col min="14" max="14" width="11" style="1"/>
    <col min="15" max="15" width="19.25" style="1" customWidth="1"/>
    <col min="16" max="16384" width="11" style="1"/>
  </cols>
  <sheetData>
    <row r="1" spans="1:19" x14ac:dyDescent="0.25"/>
    <row r="2" spans="1:19" ht="46.5" x14ac:dyDescent="0.7">
      <c r="F2" s="59" t="s">
        <v>0</v>
      </c>
      <c r="G2" s="60"/>
    </row>
    <row r="3" spans="1:19" x14ac:dyDescent="0.25"/>
    <row r="4" spans="1:19" ht="31.5" x14ac:dyDescent="0.25"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  <c r="G4" s="2" t="s">
        <v>6</v>
      </c>
      <c r="H4" s="2" t="s">
        <v>7</v>
      </c>
      <c r="I4" s="2" t="s">
        <v>8</v>
      </c>
      <c r="J4" s="2" t="s">
        <v>9</v>
      </c>
      <c r="K4" s="2" t="s">
        <v>10</v>
      </c>
      <c r="L4" s="3" t="s">
        <v>11</v>
      </c>
      <c r="M4" s="4" t="s">
        <v>12</v>
      </c>
      <c r="N4" s="4" t="s">
        <v>13</v>
      </c>
      <c r="O4" s="4" t="s">
        <v>14</v>
      </c>
      <c r="P4" s="4" t="s">
        <v>15</v>
      </c>
      <c r="Q4" s="4" t="s">
        <v>16</v>
      </c>
      <c r="R4" s="11" t="s">
        <v>17</v>
      </c>
      <c r="S4" s="4" t="s">
        <v>18</v>
      </c>
    </row>
    <row r="5" spans="1:19" ht="30.75" customHeight="1" x14ac:dyDescent="0.25">
      <c r="A5" s="43" t="s">
        <v>19</v>
      </c>
      <c r="B5" s="2">
        <v>10</v>
      </c>
      <c r="C5" s="2">
        <v>6200</v>
      </c>
      <c r="D5" s="2">
        <v>0.75</v>
      </c>
      <c r="E5" s="2">
        <v>31</v>
      </c>
      <c r="F5" s="2">
        <v>6</v>
      </c>
      <c r="G5" s="2">
        <v>0.18</v>
      </c>
      <c r="H5" s="2">
        <v>1.635</v>
      </c>
      <c r="I5" s="2">
        <v>0</v>
      </c>
      <c r="J5" s="2">
        <v>1.34</v>
      </c>
      <c r="K5" s="2">
        <v>1.34</v>
      </c>
      <c r="L5" s="3">
        <f>B5*1000/3600</f>
        <v>2.7777777777777777</v>
      </c>
      <c r="M5" s="4">
        <f>((L5/D5)*60)/2/PI()</f>
        <v>35.367765131532302</v>
      </c>
      <c r="N5" s="4">
        <f>M5*E5</f>
        <v>1096.4007190775014</v>
      </c>
      <c r="O5" s="4">
        <f>S5/E5</f>
        <v>7.357499999999999</v>
      </c>
      <c r="P5" s="4">
        <f>K5*N5*2*PI()/60</f>
        <v>153.85185185185188</v>
      </c>
      <c r="Q5" s="4">
        <f>O5/J5</f>
        <v>5.4906716417910442</v>
      </c>
      <c r="R5" s="11">
        <f>P5*Q5*F5</f>
        <v>5068.5</v>
      </c>
      <c r="S5" s="4">
        <f>(C5*H5*D5*COS(RADIANS(I5))*(G5+TAN(RADIANS(I5))))/F5</f>
        <v>228.08249999999998</v>
      </c>
    </row>
    <row r="6" spans="1:19" ht="37.5" customHeight="1" x14ac:dyDescent="0.25">
      <c r="A6" s="43" t="s">
        <v>20</v>
      </c>
      <c r="B6" s="2">
        <v>12.5</v>
      </c>
      <c r="C6" s="2">
        <f>3100</f>
        <v>3100</v>
      </c>
      <c r="D6" s="2">
        <v>0.5</v>
      </c>
      <c r="E6" s="2">
        <v>31</v>
      </c>
      <c r="F6" s="2">
        <v>12</v>
      </c>
      <c r="G6" s="2">
        <v>0.32</v>
      </c>
      <c r="H6" s="2">
        <v>3.7210000000000001</v>
      </c>
      <c r="I6" s="2">
        <v>0</v>
      </c>
      <c r="J6" s="2">
        <v>2.37</v>
      </c>
      <c r="K6" s="2">
        <v>1.36</v>
      </c>
      <c r="L6" s="3">
        <f>B6*1000/3600</f>
        <v>3.4722222222222223</v>
      </c>
      <c r="M6" s="4">
        <f>((L6/D6)*60)/2/PI()</f>
        <v>66.314559621623062</v>
      </c>
      <c r="N6" s="4">
        <f>M6*E6</f>
        <v>2055.7513482703148</v>
      </c>
      <c r="O6" s="4">
        <f>S6/E6</f>
        <v>4.9613333333333332</v>
      </c>
      <c r="P6" s="4">
        <f>K6*N6*2*PI()/60</f>
        <v>292.77777777777777</v>
      </c>
      <c r="Q6" s="4">
        <f>O6/J6</f>
        <v>2.0933895921237693</v>
      </c>
      <c r="R6" s="11">
        <f>P6*Q6*F6</f>
        <v>7354.7754336615089</v>
      </c>
      <c r="S6" s="4">
        <f>(C6*H6*D6*COS(RADIANS(I6))*(G6+TAN(RADIANS(I6))))/F6</f>
        <v>153.80133333333333</v>
      </c>
    </row>
    <row r="7" spans="1:19" ht="35.25" customHeight="1" x14ac:dyDescent="0.25">
      <c r="A7" s="43" t="s">
        <v>21</v>
      </c>
      <c r="B7" s="2">
        <v>1</v>
      </c>
      <c r="C7" s="2">
        <v>311</v>
      </c>
      <c r="D7" s="2">
        <v>0.26</v>
      </c>
      <c r="E7" s="2">
        <v>31</v>
      </c>
      <c r="F7" s="2">
        <v>6</v>
      </c>
      <c r="G7" s="2">
        <v>0.32</v>
      </c>
      <c r="H7" s="2">
        <v>3.7210000000000001</v>
      </c>
      <c r="I7" s="2">
        <v>0</v>
      </c>
      <c r="J7" s="2">
        <v>1.34</v>
      </c>
      <c r="K7" s="2">
        <v>1.34</v>
      </c>
      <c r="L7" s="3">
        <f>B7*1000/3600</f>
        <v>0.27777777777777779</v>
      </c>
      <c r="M7" s="4">
        <f>((L7/D7)*60)/2/PI()</f>
        <v>10.202239941788163</v>
      </c>
      <c r="N7" s="4">
        <f>M7*E7</f>
        <v>316.26943819543305</v>
      </c>
      <c r="O7" s="4">
        <f>S7/E7</f>
        <v>0.51764311397849461</v>
      </c>
      <c r="P7" s="4">
        <f>K7*N7*2*PI()/60</f>
        <v>44.380341880341888</v>
      </c>
      <c r="Q7" s="4">
        <f>O7/J7</f>
        <v>0.38630083132723475</v>
      </c>
      <c r="R7" s="11">
        <f>P7*Q7*F7</f>
        <v>102.86497777777777</v>
      </c>
      <c r="S7" s="4">
        <f>(C7*H7*D7*COS(RADIANS(I7))*(G7+TAN(RADIANS(I7))))/F7</f>
        <v>16.046936533333334</v>
      </c>
    </row>
    <row r="8" spans="1:19" ht="35.25" customHeight="1" x14ac:dyDescent="0.25">
      <c r="A8" s="43" t="s">
        <v>22</v>
      </c>
      <c r="B8" s="2">
        <v>1</v>
      </c>
      <c r="C8" s="2">
        <v>278</v>
      </c>
      <c r="D8" s="2">
        <v>0.3</v>
      </c>
      <c r="E8" s="2">
        <v>31</v>
      </c>
      <c r="F8" s="2">
        <v>4</v>
      </c>
      <c r="G8" s="2">
        <v>0.32</v>
      </c>
      <c r="H8" s="2">
        <v>3.7210000000000001</v>
      </c>
      <c r="I8" s="2">
        <v>0</v>
      </c>
      <c r="J8" s="2">
        <v>1.34</v>
      </c>
      <c r="K8" s="2">
        <v>1.34</v>
      </c>
      <c r="L8" s="3">
        <f>B8*1000/3600</f>
        <v>0.27777777777777779</v>
      </c>
      <c r="M8" s="4">
        <f>((L8/D8)*60)/2/PI()</f>
        <v>8.8419412828830755</v>
      </c>
      <c r="N8" s="4">
        <f>M8*E8</f>
        <v>274.10017976937536</v>
      </c>
      <c r="O8" s="4">
        <f>S8/E8</f>
        <v>0.80085522580645174</v>
      </c>
      <c r="P8" s="4">
        <f>K8*N8*2*PI()/60</f>
        <v>38.462962962962969</v>
      </c>
      <c r="Q8" s="4">
        <f>O8/J8</f>
        <v>0.5976531535869043</v>
      </c>
      <c r="R8" s="11">
        <f>P8*Q8*F8</f>
        <v>91.950044444444472</v>
      </c>
      <c r="S8" s="4">
        <f>(C8*H8*D8*COS(RADIANS(I8))*(G8+TAN(RADIANS(I8))))/F8</f>
        <v>24.826512000000005</v>
      </c>
    </row>
    <row r="9" spans="1:19" ht="31.5" x14ac:dyDescent="0.25">
      <c r="A9" s="43" t="s">
        <v>23</v>
      </c>
      <c r="B9" s="2">
        <v>1</v>
      </c>
      <c r="C9" s="2">
        <v>4600</v>
      </c>
      <c r="D9" s="2">
        <v>0.5</v>
      </c>
      <c r="E9" s="2">
        <v>31</v>
      </c>
      <c r="F9" s="2">
        <v>12</v>
      </c>
      <c r="G9" s="2">
        <v>0.32</v>
      </c>
      <c r="H9" s="2">
        <v>3.7210000000000001</v>
      </c>
      <c r="I9" s="2">
        <v>0</v>
      </c>
      <c r="J9" s="2">
        <v>1.34</v>
      </c>
      <c r="K9" s="2">
        <v>1.34</v>
      </c>
      <c r="L9" s="3">
        <f>B9*1000/3600</f>
        <v>0.27777777777777779</v>
      </c>
      <c r="M9" s="4">
        <f>((L9/D9)*60)/2/PI()</f>
        <v>5.3051647697298447</v>
      </c>
      <c r="N9" s="4">
        <f>M9*E9</f>
        <v>164.46010786162518</v>
      </c>
      <c r="O9" s="4">
        <f>S9/E9</f>
        <v>7.3619784946236573</v>
      </c>
      <c r="P9" s="4">
        <f>K9*N9*2*PI()/60</f>
        <v>23.077777777777779</v>
      </c>
      <c r="Q9" s="4">
        <f>O9/J9</f>
        <v>5.4940138019579532</v>
      </c>
      <c r="R9" s="11">
        <f>P9*Q9*F9</f>
        <v>1521.475555555556</v>
      </c>
      <c r="S9" s="4">
        <f>(C9*H9*D9*COS(RADIANS(I9))*(G9+TAN(RADIANS(I9))))/F9</f>
        <v>228.22133333333338</v>
      </c>
    </row>
    <row r="10" spans="1:19" x14ac:dyDescent="0.25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 x14ac:dyDescent="0.25"/>
    <row r="12" spans="1:19" x14ac:dyDescent="0.25"/>
    <row r="13" spans="1:19" ht="46.5" x14ac:dyDescent="0.7">
      <c r="F13" s="59" t="s">
        <v>24</v>
      </c>
      <c r="G13" s="59"/>
    </row>
    <row r="14" spans="1:19" x14ac:dyDescent="0.25"/>
    <row r="15" spans="1:19" x14ac:dyDescent="0.25">
      <c r="A15" s="61" t="s">
        <v>20</v>
      </c>
      <c r="B15" s="2">
        <v>12.5</v>
      </c>
      <c r="C15" s="2">
        <f>3100</f>
        <v>3100</v>
      </c>
      <c r="D15" s="2">
        <v>0.5</v>
      </c>
      <c r="E15" s="2">
        <v>31</v>
      </c>
      <c r="F15" s="2">
        <v>12</v>
      </c>
      <c r="G15" s="2">
        <v>0.32</v>
      </c>
      <c r="H15" s="2">
        <v>3.7210000000000001</v>
      </c>
      <c r="I15" s="2">
        <v>0</v>
      </c>
      <c r="J15" s="2">
        <v>2.37</v>
      </c>
      <c r="K15" s="2">
        <v>1.36</v>
      </c>
      <c r="L15" s="3">
        <f>B15*1000/3600</f>
        <v>3.4722222222222223</v>
      </c>
      <c r="M15" s="4">
        <f>((L15/D15)*60)/2/PI()</f>
        <v>66.314559621623062</v>
      </c>
      <c r="N15" s="4">
        <f>M15*E15</f>
        <v>2055.7513482703148</v>
      </c>
      <c r="O15" s="4">
        <f>S15/E15</f>
        <v>4.9613333333333332</v>
      </c>
      <c r="P15" s="4">
        <f>K15*N15*2*PI()/60</f>
        <v>292.77777777777777</v>
      </c>
      <c r="Q15" s="4">
        <f>O15/J15</f>
        <v>2.0933895921237693</v>
      </c>
      <c r="R15" s="11">
        <f>P15*Q15*F15</f>
        <v>7354.7754336615089</v>
      </c>
      <c r="S15" s="4">
        <f>(C15*H15*D15*COS(RADIANS(I15))*(G15+TAN(RADIANS(I15))))/F15</f>
        <v>153.80133333333333</v>
      </c>
    </row>
    <row r="16" spans="1:19" x14ac:dyDescent="0.25">
      <c r="A16" s="61"/>
      <c r="B16" s="2">
        <v>12.5</v>
      </c>
      <c r="C16" s="6">
        <f>3100+'Power Cycle Assistance Calcs'!C3 + 'Power Cycle Assistance Calcs'!D3</f>
        <v>3737.4138709173308</v>
      </c>
      <c r="D16" s="2">
        <v>0.5</v>
      </c>
      <c r="E16" s="2">
        <v>31</v>
      </c>
      <c r="F16" s="2">
        <v>12</v>
      </c>
      <c r="G16" s="2">
        <v>0.32</v>
      </c>
      <c r="H16" s="2">
        <v>3.7210000000000001</v>
      </c>
      <c r="I16" s="2">
        <v>0</v>
      </c>
      <c r="J16" s="2">
        <v>2.37</v>
      </c>
      <c r="K16" s="2">
        <v>1.36</v>
      </c>
      <c r="L16" s="3">
        <f>B16*1000/3600</f>
        <v>3.4722222222222223</v>
      </c>
      <c r="M16" s="4">
        <f>((L16/D16)*60)/2/PI()</f>
        <v>66.314559621623062</v>
      </c>
      <c r="N16" s="4">
        <f>M16*E16</f>
        <v>2055.7513482703148</v>
      </c>
      <c r="O16" s="4">
        <f>S16/E16</f>
        <v>5.9814696833046836</v>
      </c>
      <c r="P16" s="4">
        <f>K16*N16*2*PI()/60</f>
        <v>292.77777777777777</v>
      </c>
      <c r="Q16" s="4">
        <f>O16/J16</f>
        <v>2.5238268705926936</v>
      </c>
      <c r="R16" s="11">
        <f>P16*Q16*F16</f>
        <v>8867.0450720156623</v>
      </c>
      <c r="S16" s="4">
        <f>(C16*H16*D16*COS(RADIANS(I16))*(G16+TAN(RADIANS(I16))))/F16</f>
        <v>185.4255601824452</v>
      </c>
    </row>
    <row r="17" spans="1:19" x14ac:dyDescent="0.25">
      <c r="A17" s="61"/>
      <c r="B17" s="2">
        <v>12.5</v>
      </c>
      <c r="C17" s="6">
        <f>3100+'Power Cycle Assistance Calcs'!C4 + 'Power Cycle Assistance Calcs'!D4</f>
        <v>3868.4772395746909</v>
      </c>
      <c r="D17" s="2">
        <v>0.5</v>
      </c>
      <c r="E17" s="2">
        <v>31</v>
      </c>
      <c r="F17" s="2">
        <v>12</v>
      </c>
      <c r="G17" s="2">
        <v>0.32</v>
      </c>
      <c r="H17" s="2">
        <v>3.7210000000000001</v>
      </c>
      <c r="I17" s="2">
        <v>0</v>
      </c>
      <c r="J17" s="2">
        <v>2.37</v>
      </c>
      <c r="K17" s="2">
        <v>1.36</v>
      </c>
      <c r="L17" s="3">
        <f>B17*1000/3600</f>
        <v>3.4722222222222223</v>
      </c>
      <c r="M17" s="4">
        <f>((L17/D17)*60)/2/PI()</f>
        <v>66.314559621623062</v>
      </c>
      <c r="N17" s="4">
        <f>M17*E17</f>
        <v>2055.7513482703148</v>
      </c>
      <c r="O17" s="4">
        <f>S17/E17</f>
        <v>6.1912274444978168</v>
      </c>
      <c r="P17" s="4">
        <f>K17*N17*2*PI()/60</f>
        <v>292.77777777777777</v>
      </c>
      <c r="Q17" s="4">
        <f>O17/J17</f>
        <v>2.6123322550623698</v>
      </c>
      <c r="R17" s="11">
        <f>P17*Q17*F17</f>
        <v>9177.9939894524578</v>
      </c>
      <c r="S17" s="4">
        <f>(C17*H17*D17*COS(RADIANS(I17))*(G17+TAN(RADIANS(I17))))/F17</f>
        <v>191.92805077943231</v>
      </c>
    </row>
    <row r="18" spans="1:19" x14ac:dyDescent="0.25">
      <c r="A18" s="61"/>
      <c r="B18" s="2">
        <v>12.5</v>
      </c>
      <c r="C18" s="6">
        <f>3100+'Power Cycle Assistance Calcs'!C5 + 'Power Cycle Assistance Calcs'!D5</f>
        <v>3895.4261457525467</v>
      </c>
      <c r="D18" s="2">
        <v>0.5</v>
      </c>
      <c r="E18" s="2">
        <v>31</v>
      </c>
      <c r="F18" s="2">
        <v>12</v>
      </c>
      <c r="G18" s="2">
        <v>0.32</v>
      </c>
      <c r="H18" s="2">
        <v>3.7210000000000001</v>
      </c>
      <c r="I18" s="2">
        <v>0</v>
      </c>
      <c r="J18" s="2">
        <v>2.37</v>
      </c>
      <c r="K18" s="2">
        <v>1.36</v>
      </c>
      <c r="L18" s="3">
        <f>B18*1000/3600</f>
        <v>3.4722222222222223</v>
      </c>
      <c r="M18" s="4">
        <f>((L18/D18)*60)/2/PI()</f>
        <v>66.314559621623062</v>
      </c>
      <c r="N18" s="4">
        <f>M18*E18</f>
        <v>2055.7513482703148</v>
      </c>
      <c r="O18" s="4">
        <f>S18/E18</f>
        <v>6.234357285309776</v>
      </c>
      <c r="P18" s="4">
        <f>K18*N18*2*PI()/60</f>
        <v>292.77777777777777</v>
      </c>
      <c r="Q18" s="4">
        <f>O18/J18</f>
        <v>2.6305305001307069</v>
      </c>
      <c r="R18" s="11">
        <f>P18*Q18*F18</f>
        <v>9241.9304904592173</v>
      </c>
      <c r="S18" s="4">
        <f>(C18*H18*D18*COS(RADIANS(I18))*(G18+TAN(RADIANS(I18))))/F18</f>
        <v>193.26507584460305</v>
      </c>
    </row>
    <row r="19" spans="1:19" x14ac:dyDescent="0.25">
      <c r="A19" s="61"/>
      <c r="B19" s="2">
        <v>12.5</v>
      </c>
      <c r="C19" s="6">
        <f>3100+'Power Cycle Assistance Calcs'!C6 + 'Power Cycle Assistance Calcs'!D6</f>
        <v>3900.967309173132</v>
      </c>
      <c r="D19" s="2">
        <v>0.5</v>
      </c>
      <c r="E19" s="2">
        <v>31</v>
      </c>
      <c r="F19" s="2">
        <v>12</v>
      </c>
      <c r="G19" s="2">
        <v>0.32</v>
      </c>
      <c r="H19" s="2">
        <v>3.7210000000000001</v>
      </c>
      <c r="I19" s="2">
        <v>0</v>
      </c>
      <c r="J19" s="2">
        <v>2.37</v>
      </c>
      <c r="K19" s="2">
        <v>1.36</v>
      </c>
      <c r="L19" s="3">
        <f>B19*1000/3600</f>
        <v>3.4722222222222223</v>
      </c>
      <c r="M19" s="4">
        <f>((L19/D19)*60)/2/PI()</f>
        <v>66.314559621623062</v>
      </c>
      <c r="N19" s="4">
        <f>M19*E19</f>
        <v>2055.7513482703148</v>
      </c>
      <c r="O19" s="4">
        <f>S19/E19</f>
        <v>6.2432255300788064</v>
      </c>
      <c r="P19" s="4">
        <f>K19*N19*2*PI()/60</f>
        <v>292.77777777777777</v>
      </c>
      <c r="Q19" s="4">
        <f>O19/J19</f>
        <v>2.6342723755606778</v>
      </c>
      <c r="R19" s="11">
        <f>P19*Q19*F19</f>
        <v>9255.0769461365144</v>
      </c>
      <c r="S19" s="4">
        <f>(C19*H19*D19*COS(RADIANS(I19))*(G19+TAN(RADIANS(I19))))/F19</f>
        <v>193.539991432443</v>
      </c>
    </row>
    <row r="20" spans="1:19" x14ac:dyDescent="0.25">
      <c r="R20" s="12"/>
    </row>
    <row r="21" spans="1:19" x14ac:dyDescent="0.25">
      <c r="A21" s="61" t="s">
        <v>21</v>
      </c>
      <c r="B21" s="2">
        <v>1</v>
      </c>
      <c r="C21" s="2">
        <v>311</v>
      </c>
      <c r="D21" s="2">
        <v>0.26</v>
      </c>
      <c r="E21" s="2">
        <v>31</v>
      </c>
      <c r="F21" s="2">
        <v>6</v>
      </c>
      <c r="G21" s="2">
        <v>0.32</v>
      </c>
      <c r="H21" s="2">
        <v>3.7210000000000001</v>
      </c>
      <c r="I21" s="2">
        <v>0</v>
      </c>
      <c r="J21" s="2">
        <v>1.34</v>
      </c>
      <c r="K21" s="2">
        <v>1.34</v>
      </c>
      <c r="L21" s="3">
        <f>B21*1000/3600</f>
        <v>0.27777777777777779</v>
      </c>
      <c r="M21" s="4">
        <f>((L21/D21)*60)/2/PI()</f>
        <v>10.202239941788163</v>
      </c>
      <c r="N21" s="4">
        <f>M21*E21</f>
        <v>316.26943819543305</v>
      </c>
      <c r="O21" s="4">
        <f>S21/E21</f>
        <v>0.51764311397849461</v>
      </c>
      <c r="P21" s="4">
        <f>K21*N21*2*PI()/60</f>
        <v>44.380341880341888</v>
      </c>
      <c r="Q21" s="4">
        <f>O21/J21</f>
        <v>0.38630083132723475</v>
      </c>
      <c r="R21" s="11">
        <f>P21*Q21*F21</f>
        <v>102.86497777777777</v>
      </c>
      <c r="S21" s="4">
        <f>(C21*H21*D21*COS(RADIANS(I21))*(G21+TAN(RADIANS(I21))))/F21</f>
        <v>16.046936533333334</v>
      </c>
    </row>
    <row r="22" spans="1:19" x14ac:dyDescent="0.25">
      <c r="A22" s="61"/>
      <c r="B22" s="2">
        <v>1</v>
      </c>
      <c r="C22" s="6">
        <f>311+ 'Power Cycle Assistance Calcs'!D11 + 'Power Cycle Assistance Calcs'!C11</f>
        <v>317.20995182649</v>
      </c>
      <c r="D22" s="2">
        <v>0.26</v>
      </c>
      <c r="E22" s="2">
        <v>31</v>
      </c>
      <c r="F22" s="2">
        <v>6</v>
      </c>
      <c r="G22" s="2">
        <v>0.32</v>
      </c>
      <c r="H22" s="2">
        <v>3.7210000000000001</v>
      </c>
      <c r="I22" s="2">
        <v>0</v>
      </c>
      <c r="J22" s="2">
        <v>1.34</v>
      </c>
      <c r="K22" s="2">
        <v>1.34</v>
      </c>
      <c r="L22" s="3">
        <f>B22*1000/3600</f>
        <v>0.27777777777777779</v>
      </c>
      <c r="M22" s="4">
        <f>((L22/D22)*60)/2/PI()</f>
        <v>10.202239941788163</v>
      </c>
      <c r="N22" s="4">
        <f>M22*E22</f>
        <v>316.26943819543305</v>
      </c>
      <c r="O22" s="4">
        <f>S22/E22</f>
        <v>0.52797925160267711</v>
      </c>
      <c r="P22" s="4">
        <f>K22*N22*2*PI()/60</f>
        <v>44.380341880341888</v>
      </c>
      <c r="Q22" s="4">
        <f>O22/J22</f>
        <v>0.39401436686766944</v>
      </c>
      <c r="R22" s="11">
        <f>P22*Q22*F22</f>
        <v>104.91895384412173</v>
      </c>
      <c r="S22" s="4">
        <f>(C22*H22*D22*COS(RADIANS(I22))*(G22+TAN(RADIANS(I22))))/F22</f>
        <v>16.367356799682991</v>
      </c>
    </row>
    <row r="23" spans="1:19" ht="15.75" customHeight="1" x14ac:dyDescent="0.25">
      <c r="A23" s="61"/>
      <c r="B23" s="2">
        <v>1</v>
      </c>
      <c r="C23" s="6">
        <f>311+ 'Power Cycle Assistance Calcs'!D12 + 'Power Cycle Assistance Calcs'!C12</f>
        <v>317.33395022419847</v>
      </c>
      <c r="D23" s="2">
        <v>0.26</v>
      </c>
      <c r="E23" s="2">
        <v>31</v>
      </c>
      <c r="F23" s="2">
        <v>6</v>
      </c>
      <c r="G23" s="2">
        <v>0.32</v>
      </c>
      <c r="H23" s="2">
        <v>3.7210000000000001</v>
      </c>
      <c r="I23" s="2">
        <v>0</v>
      </c>
      <c r="J23" s="2">
        <v>1.34</v>
      </c>
      <c r="K23" s="2">
        <v>1.34</v>
      </c>
      <c r="L23" s="3">
        <f>B23*1000/3600</f>
        <v>0.27777777777777779</v>
      </c>
      <c r="M23" s="4">
        <f>((L23/D23)*60)/2/PI()</f>
        <v>10.202239941788163</v>
      </c>
      <c r="N23" s="4">
        <f>M23*E23</f>
        <v>316.26943819543305</v>
      </c>
      <c r="O23" s="4">
        <f>S23/E23</f>
        <v>0.52818564040241389</v>
      </c>
      <c r="P23" s="4">
        <f>K23*N23*2*PI()/60</f>
        <v>44.380341880341888</v>
      </c>
      <c r="Q23" s="4">
        <f>O23/J23</f>
        <v>0.39416838836001034</v>
      </c>
      <c r="R23" s="11">
        <f>P23*Q23*F23</f>
        <v>104.95996700304379</v>
      </c>
      <c r="S23" s="4">
        <f>(C23*H23*D23*COS(RADIANS(I23))*(G23+TAN(RADIANS(I23))))/F23</f>
        <v>16.373754852474832</v>
      </c>
    </row>
    <row r="24" spans="1:19" ht="15.75" customHeight="1" x14ac:dyDescent="0.25">
      <c r="A24" s="61"/>
      <c r="B24" s="2">
        <v>1</v>
      </c>
      <c r="C24" s="6">
        <f>311+ 'Power Cycle Assistance Calcs'!D13 + 'Power Cycle Assistance Calcs'!C13</f>
        <v>317.33642618585867</v>
      </c>
      <c r="D24" s="2">
        <v>0.26</v>
      </c>
      <c r="E24" s="2">
        <v>31</v>
      </c>
      <c r="F24" s="2">
        <v>6</v>
      </c>
      <c r="G24" s="2">
        <v>0.32</v>
      </c>
      <c r="H24" s="2">
        <v>3.7210000000000001</v>
      </c>
      <c r="I24" s="2">
        <v>0</v>
      </c>
      <c r="J24" s="2">
        <v>1.34</v>
      </c>
      <c r="K24" s="2">
        <v>1.34</v>
      </c>
      <c r="L24" s="3">
        <f>B24*1000/3600</f>
        <v>0.27777777777777779</v>
      </c>
      <c r="M24" s="4">
        <f>((L24/D24)*60)/2/PI()</f>
        <v>10.202239941788163</v>
      </c>
      <c r="N24" s="4">
        <f>M24*E24</f>
        <v>316.26943819543305</v>
      </c>
      <c r="O24" s="4">
        <f>S24/E24</f>
        <v>0.52818976151014341</v>
      </c>
      <c r="P24" s="4">
        <f>K24*N24*2*PI()/60</f>
        <v>44.380341880341888</v>
      </c>
      <c r="Q24" s="4">
        <f>O24/J24</f>
        <v>0.39417146381353985</v>
      </c>
      <c r="R24" s="11">
        <f>P24*Q24*F24</f>
        <v>104.96078594111826</v>
      </c>
      <c r="S24" s="4">
        <f>(C24*H24*D24*COS(RADIANS(I24))*(G24+TAN(RADIANS(I24))))/F24</f>
        <v>16.373882606814444</v>
      </c>
    </row>
    <row r="25" spans="1:19" ht="15.75" customHeight="1" x14ac:dyDescent="0.25">
      <c r="A25" s="61"/>
      <c r="B25" s="2">
        <v>1</v>
      </c>
      <c r="C25" s="6">
        <f>311+ 'Power Cycle Assistance Calcs'!D14 + 'Power Cycle Assistance Calcs'!C14</f>
        <v>317.33647562509549</v>
      </c>
      <c r="D25" s="2">
        <v>0.26</v>
      </c>
      <c r="E25" s="2">
        <v>31</v>
      </c>
      <c r="F25" s="2">
        <v>6</v>
      </c>
      <c r="G25" s="2">
        <v>0.32</v>
      </c>
      <c r="H25" s="2">
        <v>3.7210000000000001</v>
      </c>
      <c r="I25" s="2">
        <v>0</v>
      </c>
      <c r="J25" s="2">
        <v>1.34</v>
      </c>
      <c r="K25" s="2">
        <v>1.34</v>
      </c>
      <c r="L25" s="3">
        <f>B25*1000/3600</f>
        <v>0.27777777777777779</v>
      </c>
      <c r="M25" s="4">
        <f>((L25/D25)*60)/2/PI()</f>
        <v>10.202239941788163</v>
      </c>
      <c r="N25" s="4">
        <f>M25*E25</f>
        <v>316.26943819543305</v>
      </c>
      <c r="O25" s="4">
        <f>S25/E25</f>
        <v>0.52818984379914824</v>
      </c>
      <c r="P25" s="4">
        <f>K25*N25*2*PI()/60</f>
        <v>44.380341880341888</v>
      </c>
      <c r="Q25" s="4">
        <f>O25/J25</f>
        <v>0.39417152522324495</v>
      </c>
      <c r="R25" s="11">
        <f>P25*Q25*F25</f>
        <v>104.9608022934205</v>
      </c>
      <c r="S25" s="4">
        <f>(C25*H25*D25*COS(RADIANS(I25))*(G25+TAN(RADIANS(I25))))/F25</f>
        <v>16.373885157773596</v>
      </c>
    </row>
    <row r="26" spans="1:19" ht="15.75" customHeight="1" x14ac:dyDescent="0.25">
      <c r="C26" s="12"/>
      <c r="D26" s="12"/>
      <c r="E26" s="12"/>
      <c r="F26" s="12"/>
      <c r="R26" s="12"/>
    </row>
    <row r="27" spans="1:19" ht="15.75" customHeight="1" x14ac:dyDescent="0.25">
      <c r="A27" s="61" t="s">
        <v>22</v>
      </c>
      <c r="B27" s="2">
        <v>1</v>
      </c>
      <c r="C27" s="8">
        <v>278</v>
      </c>
      <c r="D27" s="2">
        <v>0.3</v>
      </c>
      <c r="E27" s="2">
        <v>31</v>
      </c>
      <c r="F27" s="2">
        <v>4</v>
      </c>
      <c r="G27" s="2">
        <v>0.32</v>
      </c>
      <c r="H27" s="2">
        <v>3.7210000000000001</v>
      </c>
      <c r="I27" s="2">
        <v>0</v>
      </c>
      <c r="J27" s="2">
        <v>1.34</v>
      </c>
      <c r="K27" s="2">
        <v>1.34</v>
      </c>
      <c r="L27" s="3">
        <f>B27*1000/3600</f>
        <v>0.27777777777777779</v>
      </c>
      <c r="M27" s="4">
        <f>((L27/D27)*60)/2/PI()</f>
        <v>8.8419412828830755</v>
      </c>
      <c r="N27" s="4">
        <f>M27*E27</f>
        <v>274.10017976937536</v>
      </c>
      <c r="O27" s="4">
        <f>S27/E27</f>
        <v>0.80085522580645174</v>
      </c>
      <c r="P27" s="4">
        <f>K27*N27*2*PI()/60</f>
        <v>38.462962962962969</v>
      </c>
      <c r="Q27" s="4">
        <f>O27/J27</f>
        <v>0.5976531535869043</v>
      </c>
      <c r="R27" s="11">
        <f>P27*Q27*F27</f>
        <v>91.950044444444472</v>
      </c>
      <c r="S27" s="4">
        <f>(C27*H27*D27*COS(RADIANS(I27))*(G27+TAN(RADIANS(I27))))/F27</f>
        <v>24.826512000000005</v>
      </c>
    </row>
    <row r="28" spans="1:19" ht="15.75" customHeight="1" x14ac:dyDescent="0.25">
      <c r="A28" s="61"/>
      <c r="B28" s="7">
        <v>1</v>
      </c>
      <c r="C28" s="9">
        <f xml:space="preserve"> 278 + 'Power Cycle Assistance Calcs'!D19 + 'Power Cycle Assistance Calcs'!C19</f>
        <v>283.55101803139621</v>
      </c>
      <c r="D28" s="10">
        <v>0.3</v>
      </c>
      <c r="E28" s="2">
        <v>31</v>
      </c>
      <c r="F28" s="2">
        <v>4</v>
      </c>
      <c r="G28" s="2">
        <v>0.32</v>
      </c>
      <c r="H28" s="2">
        <v>3.7210000000000001</v>
      </c>
      <c r="I28" s="2">
        <v>0</v>
      </c>
      <c r="J28" s="2">
        <v>1.34</v>
      </c>
      <c r="K28" s="2">
        <v>1.34</v>
      </c>
      <c r="L28" s="3">
        <f t="shared" ref="L28:L31" si="0">B28*1000/3600</f>
        <v>0.27777777777777779</v>
      </c>
      <c r="M28" s="4">
        <f t="shared" ref="M28:M31" si="1">((L28/D28)*60)/2/PI()</f>
        <v>8.8419412828830755</v>
      </c>
      <c r="N28" s="4">
        <f t="shared" ref="N28:N31" si="2">M28*E28</f>
        <v>274.10017976937536</v>
      </c>
      <c r="O28" s="4">
        <f t="shared" ref="O28:O31" si="3">S28/E28</f>
        <v>0.81684645529921973</v>
      </c>
      <c r="P28" s="4">
        <f t="shared" ref="P28:P31" si="4">K28*N28*2*PI()/60</f>
        <v>38.462962962962969</v>
      </c>
      <c r="Q28" s="4">
        <f t="shared" ref="Q28:Q31" si="5">O28/J28</f>
        <v>0.60958690693971618</v>
      </c>
      <c r="R28" s="11">
        <f t="shared" ref="R28:R31" si="6">P28*Q28*F28</f>
        <v>93.786074497317827</v>
      </c>
      <c r="S28" s="4">
        <f t="shared" ref="S28:S31" si="7">(C28*H28*D28*COS(RADIANS(I28))*(G28+TAN(RADIANS(I28))))/F28</f>
        <v>25.322240114275811</v>
      </c>
    </row>
    <row r="29" spans="1:19" ht="15.75" customHeight="1" x14ac:dyDescent="0.25">
      <c r="A29" s="61"/>
      <c r="B29" s="7">
        <v>1</v>
      </c>
      <c r="C29" s="9">
        <f xml:space="preserve"> 278 + 'Power Cycle Assistance Calcs'!D20 + 'Power Cycle Assistance Calcs'!C20</f>
        <v>283.66185904285265</v>
      </c>
      <c r="D29" s="10">
        <v>0.3</v>
      </c>
      <c r="E29" s="2">
        <v>31</v>
      </c>
      <c r="F29" s="2">
        <v>4</v>
      </c>
      <c r="G29" s="2">
        <v>0.32</v>
      </c>
      <c r="H29" s="2">
        <v>3.7210000000000001</v>
      </c>
      <c r="I29" s="2">
        <v>0</v>
      </c>
      <c r="J29" s="2">
        <v>1.34</v>
      </c>
      <c r="K29" s="2">
        <v>1.34</v>
      </c>
      <c r="L29" s="3">
        <f t="shared" si="0"/>
        <v>0.27777777777777779</v>
      </c>
      <c r="M29" s="4">
        <f t="shared" si="1"/>
        <v>8.8419412828830755</v>
      </c>
      <c r="N29" s="4">
        <f t="shared" si="2"/>
        <v>274.10017976937536</v>
      </c>
      <c r="O29" s="4">
        <f t="shared" si="3"/>
        <v>0.81716576322461021</v>
      </c>
      <c r="P29" s="4">
        <f t="shared" si="4"/>
        <v>38.462962962962969</v>
      </c>
      <c r="Q29" s="4">
        <f t="shared" si="5"/>
        <v>0.6098251964362762</v>
      </c>
      <c r="R29" s="11">
        <f t="shared" si="6"/>
        <v>93.822735777640432</v>
      </c>
      <c r="S29" s="4">
        <f t="shared" si="7"/>
        <v>25.332138659962915</v>
      </c>
    </row>
    <row r="30" spans="1:19" ht="15.75" customHeight="1" x14ac:dyDescent="0.25">
      <c r="A30" s="61"/>
      <c r="B30" s="7">
        <v>1</v>
      </c>
      <c r="C30" s="9">
        <f xml:space="preserve"> 278 + 'Power Cycle Assistance Calcs'!D21 + 'Power Cycle Assistance Calcs'!C21</f>
        <v>283.66407228189297</v>
      </c>
      <c r="D30" s="10">
        <v>0.3</v>
      </c>
      <c r="E30" s="2">
        <v>31</v>
      </c>
      <c r="F30" s="2">
        <v>4</v>
      </c>
      <c r="G30" s="2">
        <v>0.32</v>
      </c>
      <c r="H30" s="2">
        <v>3.7210000000000001</v>
      </c>
      <c r="I30" s="2">
        <v>0</v>
      </c>
      <c r="J30" s="2">
        <v>1.34</v>
      </c>
      <c r="K30" s="2">
        <v>1.34</v>
      </c>
      <c r="L30" s="3">
        <f t="shared" si="0"/>
        <v>0.27777777777777779</v>
      </c>
      <c r="M30" s="4">
        <f t="shared" si="1"/>
        <v>8.8419412828830755</v>
      </c>
      <c r="N30" s="4">
        <f t="shared" si="2"/>
        <v>274.10017976937536</v>
      </c>
      <c r="O30" s="4">
        <f t="shared" si="3"/>
        <v>0.81717213906652153</v>
      </c>
      <c r="P30" s="4">
        <f t="shared" si="4"/>
        <v>38.462962962962969</v>
      </c>
      <c r="Q30" s="4">
        <f t="shared" si="5"/>
        <v>0.60982995452725486</v>
      </c>
      <c r="R30" s="11">
        <f t="shared" si="6"/>
        <v>93.823467818748782</v>
      </c>
      <c r="S30" s="4">
        <f t="shared" si="7"/>
        <v>25.332336311062168</v>
      </c>
    </row>
    <row r="31" spans="1:19" ht="15.75" customHeight="1" x14ac:dyDescent="0.25">
      <c r="A31" s="61"/>
      <c r="B31" s="7">
        <v>1</v>
      </c>
      <c r="C31" s="9">
        <f xml:space="preserve"> 278 + 'Power Cycle Assistance Calcs'!D22 + 'Power Cycle Assistance Calcs'!C22</f>
        <v>283.66411647516571</v>
      </c>
      <c r="D31" s="10">
        <v>0.3</v>
      </c>
      <c r="E31" s="2">
        <v>31</v>
      </c>
      <c r="F31" s="2">
        <v>4</v>
      </c>
      <c r="G31" s="2">
        <v>0.32</v>
      </c>
      <c r="H31" s="2">
        <v>3.7210000000000001</v>
      </c>
      <c r="I31" s="2">
        <v>0</v>
      </c>
      <c r="J31" s="2">
        <v>1.34</v>
      </c>
      <c r="K31" s="2">
        <v>1.34</v>
      </c>
      <c r="L31" s="3">
        <f t="shared" si="0"/>
        <v>0.27777777777777779</v>
      </c>
      <c r="M31" s="4">
        <f t="shared" si="1"/>
        <v>8.8419412828830755</v>
      </c>
      <c r="N31" s="4">
        <f t="shared" si="2"/>
        <v>274.10017976937536</v>
      </c>
      <c r="O31" s="4">
        <f t="shared" si="3"/>
        <v>0.8171722663773614</v>
      </c>
      <c r="P31" s="4">
        <f t="shared" si="4"/>
        <v>38.462962962962969</v>
      </c>
      <c r="Q31" s="4">
        <f t="shared" si="5"/>
        <v>0.60983004953534425</v>
      </c>
      <c r="R31" s="11">
        <f t="shared" si="6"/>
        <v>93.823482435919274</v>
      </c>
      <c r="S31" s="4">
        <f t="shared" si="7"/>
        <v>25.332340257698203</v>
      </c>
    </row>
    <row r="33" spans="1:19" ht="36" customHeight="1" x14ac:dyDescent="0.25">
      <c r="A33" s="61" t="s">
        <v>23</v>
      </c>
      <c r="B33" s="2">
        <v>1</v>
      </c>
      <c r="C33" s="8">
        <v>4600</v>
      </c>
      <c r="D33" s="2">
        <v>0.5</v>
      </c>
      <c r="E33" s="2">
        <v>31</v>
      </c>
      <c r="F33" s="2">
        <v>12</v>
      </c>
      <c r="G33" s="2">
        <v>0.32</v>
      </c>
      <c r="H33" s="2">
        <v>3.7210000000000001</v>
      </c>
      <c r="I33" s="2">
        <v>0</v>
      </c>
      <c r="J33" s="2">
        <v>1.34</v>
      </c>
      <c r="K33" s="2">
        <v>1.34</v>
      </c>
      <c r="L33" s="3">
        <f>B33*1000/3600</f>
        <v>0.27777777777777779</v>
      </c>
      <c r="M33" s="4">
        <f>((L33/D33)*60)/2/PI()</f>
        <v>5.3051647697298447</v>
      </c>
      <c r="N33" s="4">
        <f>M33*E33</f>
        <v>164.46010786162518</v>
      </c>
      <c r="O33" s="4">
        <f>S33/E33</f>
        <v>7.3619784946236573</v>
      </c>
      <c r="P33" s="4">
        <f>K33*N33*2*PI()/60</f>
        <v>23.077777777777779</v>
      </c>
      <c r="Q33" s="4">
        <f>O33/J33</f>
        <v>5.4940138019579532</v>
      </c>
      <c r="R33" s="11">
        <f>P33*Q33*F33</f>
        <v>1521.475555555556</v>
      </c>
      <c r="S33" s="4">
        <f>(C33*H33*D33*COS(RADIANS(I33))*(G33+TAN(RADIANS(I33))))/F33</f>
        <v>228.22133333333338</v>
      </c>
    </row>
    <row r="34" spans="1:19" ht="15.75" customHeight="1" x14ac:dyDescent="0.25">
      <c r="A34" s="61"/>
      <c r="B34" s="7">
        <v>1</v>
      </c>
      <c r="C34" s="6">
        <f>4600+ 'Power Cycle Assistance Calcs'!C27</f>
        <v>4676.0737777777777</v>
      </c>
      <c r="D34" s="10">
        <v>0.5</v>
      </c>
      <c r="E34" s="2">
        <v>31</v>
      </c>
      <c r="F34" s="2">
        <v>12</v>
      </c>
      <c r="G34" s="2">
        <v>0.32</v>
      </c>
      <c r="H34" s="2">
        <v>3.7210000000000001</v>
      </c>
      <c r="I34" s="2">
        <v>0</v>
      </c>
      <c r="J34" s="2">
        <v>1.34</v>
      </c>
      <c r="K34" s="2">
        <v>1.34</v>
      </c>
      <c r="L34" s="3">
        <f>B34*1000/3600</f>
        <v>0.27777777777777779</v>
      </c>
      <c r="M34" s="4">
        <f>((L34/D34)*60)/2/PI()</f>
        <v>5.3051647697298447</v>
      </c>
      <c r="N34" s="4">
        <f>M34*E34</f>
        <v>164.46010786162518</v>
      </c>
      <c r="O34" s="4">
        <f>S34/E34</f>
        <v>7.4837292589725202</v>
      </c>
      <c r="P34" s="4">
        <f>K34*N34*2*PI()/60</f>
        <v>23.077777777777779</v>
      </c>
      <c r="Q34" s="4">
        <f>O34/J34</f>
        <v>5.5848725813227755</v>
      </c>
      <c r="R34" s="11">
        <f>P34*Q34*F34</f>
        <v>1546.6373801876543</v>
      </c>
      <c r="S34" s="4">
        <f>(C34*H34*D34*COS(RADIANS(I34))*(G34+TAN(RADIANS(I34))))/F34</f>
        <v>231.99560702814813</v>
      </c>
    </row>
    <row r="35" spans="1:19" ht="15.75" customHeight="1" x14ac:dyDescent="0.25">
      <c r="A35" s="61"/>
      <c r="B35" s="7">
        <v>1</v>
      </c>
      <c r="C35" s="6">
        <f>4600+ 'Power Cycle Assistance Calcs'!C28</f>
        <v>4677.3318690093829</v>
      </c>
      <c r="D35" s="10">
        <v>0.5</v>
      </c>
      <c r="E35" s="2">
        <v>31</v>
      </c>
      <c r="F35" s="2">
        <v>12</v>
      </c>
      <c r="G35" s="2">
        <v>0.32</v>
      </c>
      <c r="H35" s="2">
        <v>3.7210000000000001</v>
      </c>
      <c r="I35" s="2">
        <v>0</v>
      </c>
      <c r="J35" s="2">
        <v>1.34</v>
      </c>
      <c r="K35" s="2">
        <v>1.34</v>
      </c>
      <c r="L35" s="3">
        <f t="shared" ref="L35:L37" si="8">B35*1000/3600</f>
        <v>0.27777777777777779</v>
      </c>
      <c r="M35" s="4">
        <f t="shared" ref="M35:M37" si="9">((L35/D35)*60)/2/PI()</f>
        <v>5.3051647697298447</v>
      </c>
      <c r="N35" s="4">
        <f t="shared" ref="N35:N37" si="10">M35*E35</f>
        <v>164.46010786162518</v>
      </c>
      <c r="O35" s="4">
        <f t="shared" ref="O35:O37" si="11">S35/E35</f>
        <v>7.485742746057598</v>
      </c>
      <c r="P35" s="4">
        <f t="shared" ref="P35:P37" si="12">K35*N35*2*PI()/60</f>
        <v>23.077777777777779</v>
      </c>
      <c r="Q35" s="4">
        <f t="shared" ref="Q35:Q37" si="13">O35/J35</f>
        <v>5.5863751836250728</v>
      </c>
      <c r="R35" s="11">
        <f t="shared" ref="R35:R37" si="14">P35*Q35*F35</f>
        <v>1547.0535008519037</v>
      </c>
      <c r="S35" s="4">
        <f t="shared" ref="S35:S37" si="15">(C35*H35*D35*COS(RADIANS(I35))*(G35+TAN(RADIANS(I35))))/F35</f>
        <v>232.05802512778553</v>
      </c>
    </row>
    <row r="36" spans="1:19" ht="15.75" customHeight="1" x14ac:dyDescent="0.25">
      <c r="A36" s="61"/>
      <c r="B36" s="7">
        <v>1</v>
      </c>
      <c r="C36" s="6">
        <f>4600+ 'Power Cycle Assistance Calcs'!C29</f>
        <v>4677.3526750425954</v>
      </c>
      <c r="D36" s="10">
        <v>0.5</v>
      </c>
      <c r="E36" s="2">
        <v>31</v>
      </c>
      <c r="F36" s="2">
        <v>12</v>
      </c>
      <c r="G36" s="2">
        <v>0.32</v>
      </c>
      <c r="H36" s="2">
        <v>3.7210000000000001</v>
      </c>
      <c r="I36" s="2">
        <v>0</v>
      </c>
      <c r="J36" s="2">
        <v>1.34</v>
      </c>
      <c r="K36" s="2">
        <v>1.34</v>
      </c>
      <c r="L36" s="3">
        <f t="shared" si="8"/>
        <v>0.27777777777777779</v>
      </c>
      <c r="M36" s="4">
        <f t="shared" si="9"/>
        <v>5.3051647697298447</v>
      </c>
      <c r="N36" s="4">
        <f t="shared" si="10"/>
        <v>164.46010786162518</v>
      </c>
      <c r="O36" s="4">
        <f t="shared" si="11"/>
        <v>7.4857760446595689</v>
      </c>
      <c r="P36" s="4">
        <f t="shared" si="12"/>
        <v>23.077777777777779</v>
      </c>
      <c r="Q36" s="4">
        <f t="shared" si="13"/>
        <v>5.5864000333280366</v>
      </c>
      <c r="R36" s="11">
        <f t="shared" si="14"/>
        <v>1547.0603825629776</v>
      </c>
      <c r="S36" s="4">
        <f t="shared" si="15"/>
        <v>232.05905738444665</v>
      </c>
    </row>
    <row r="37" spans="1:19" ht="15.75" customHeight="1" x14ac:dyDescent="0.25">
      <c r="A37" s="61"/>
      <c r="B37" s="7">
        <v>1</v>
      </c>
      <c r="C37" s="6">
        <f>4600+ 'Power Cycle Assistance Calcs'!C30</f>
        <v>4677.3530191281488</v>
      </c>
      <c r="D37" s="10">
        <v>0.5</v>
      </c>
      <c r="E37" s="2">
        <v>31</v>
      </c>
      <c r="F37" s="2">
        <v>12</v>
      </c>
      <c r="G37" s="2">
        <v>0.32</v>
      </c>
      <c r="H37" s="2">
        <v>3.7210000000000001</v>
      </c>
      <c r="I37" s="2">
        <v>0</v>
      </c>
      <c r="J37" s="2">
        <v>1.34</v>
      </c>
      <c r="K37" s="2">
        <v>1.34</v>
      </c>
      <c r="L37" s="3">
        <f t="shared" si="8"/>
        <v>0.27777777777777779</v>
      </c>
      <c r="M37" s="4">
        <f t="shared" si="9"/>
        <v>5.3051647697298447</v>
      </c>
      <c r="N37" s="4">
        <f t="shared" si="10"/>
        <v>164.46010786162518</v>
      </c>
      <c r="O37" s="4">
        <f t="shared" si="11"/>
        <v>7.4857765953444488</v>
      </c>
      <c r="P37" s="4">
        <f t="shared" si="12"/>
        <v>23.077777777777779</v>
      </c>
      <c r="Q37" s="4">
        <f t="shared" si="13"/>
        <v>5.5864004442869017</v>
      </c>
      <c r="R37" s="11">
        <f t="shared" si="14"/>
        <v>1547.060496371186</v>
      </c>
      <c r="S37" s="4">
        <f t="shared" si="15"/>
        <v>232.05907445567792</v>
      </c>
    </row>
  </sheetData>
  <mergeCells count="6">
    <mergeCell ref="F13:G13"/>
    <mergeCell ref="F2:G2"/>
    <mergeCell ref="A27:A31"/>
    <mergeCell ref="A33:A37"/>
    <mergeCell ref="A21:A25"/>
    <mergeCell ref="A15:A1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4A0E5-E893-40CE-8EBD-A5DFE3BA98ED}">
  <dimension ref="A1:M31"/>
  <sheetViews>
    <sheetView tabSelected="1" workbookViewId="0">
      <selection activeCell="K25" sqref="K25"/>
    </sheetView>
  </sheetViews>
  <sheetFormatPr defaultRowHeight="15.75" x14ac:dyDescent="0.25"/>
  <cols>
    <col min="1" max="1" width="19" customWidth="1"/>
    <col min="2" max="2" width="12.375" customWidth="1"/>
    <col min="3" max="3" width="10.25" customWidth="1"/>
    <col min="4" max="4" width="9" customWidth="1"/>
    <col min="5" max="5" width="19.625" customWidth="1"/>
    <col min="6" max="6" width="25.375" customWidth="1"/>
    <col min="7" max="7" width="17.75" customWidth="1"/>
    <col min="8" max="9" width="14.875" customWidth="1"/>
    <col min="10" max="10" width="15.375" customWidth="1"/>
    <col min="11" max="11" width="21.625" customWidth="1"/>
    <col min="12" max="12" width="13.75" bestFit="1" customWidth="1"/>
  </cols>
  <sheetData>
    <row r="1" spans="1:13" x14ac:dyDescent="0.25">
      <c r="A1" s="55" t="s">
        <v>20</v>
      </c>
      <c r="B1" s="46"/>
      <c r="C1" s="51"/>
      <c r="D1" s="51"/>
      <c r="E1" s="51"/>
      <c r="F1" s="51"/>
      <c r="G1" s="51"/>
      <c r="H1" s="51"/>
      <c r="I1" s="51"/>
      <c r="J1" s="51"/>
      <c r="L1" s="5"/>
    </row>
    <row r="2" spans="1:13" ht="47.25" x14ac:dyDescent="0.25">
      <c r="A2" s="18" t="s">
        <v>25</v>
      </c>
      <c r="B2" s="52" t="s">
        <v>26</v>
      </c>
      <c r="C2" s="52" t="s">
        <v>27</v>
      </c>
      <c r="D2" s="52" t="s">
        <v>28</v>
      </c>
      <c r="E2" s="53" t="s">
        <v>29</v>
      </c>
      <c r="F2" s="53"/>
      <c r="G2" s="52" t="s">
        <v>30</v>
      </c>
      <c r="H2" s="53" t="s">
        <v>31</v>
      </c>
      <c r="I2" s="54" t="s">
        <v>32</v>
      </c>
      <c r="J2" s="52" t="s">
        <v>33</v>
      </c>
      <c r="K2" s="37"/>
      <c r="L2" s="5"/>
    </row>
    <row r="3" spans="1:13" x14ac:dyDescent="0.25">
      <c r="A3" s="17">
        <v>16</v>
      </c>
      <c r="B3" s="17">
        <f>24-A3</f>
        <v>8</v>
      </c>
      <c r="C3" s="19">
        <f>A3*H3/(0.6*G3)</f>
        <v>490.31836224410057</v>
      </c>
      <c r="D3" s="17">
        <f>A3*H3/B3/I3</f>
        <v>147.09550867323017</v>
      </c>
      <c r="E3" s="17">
        <f>D3*I3/J3</f>
        <v>43.519381264269285</v>
      </c>
      <c r="F3" s="17"/>
      <c r="G3" s="17">
        <v>400</v>
      </c>
      <c r="H3" s="17">
        <f>'Power Calcs'!R15</f>
        <v>7354.7754336615089</v>
      </c>
      <c r="I3" s="17">
        <v>100</v>
      </c>
      <c r="J3" s="17">
        <v>338</v>
      </c>
      <c r="M3" s="5"/>
    </row>
    <row r="4" spans="1:13" x14ac:dyDescent="0.25">
      <c r="A4" s="17">
        <v>16</v>
      </c>
      <c r="B4" s="17">
        <f>24-A4</f>
        <v>8</v>
      </c>
      <c r="C4" s="19">
        <f>A4*H4/(0.6*G4)</f>
        <v>591.13633813437752</v>
      </c>
      <c r="D4" s="17">
        <f>A4*H4/B4/I4</f>
        <v>177.34090144031325</v>
      </c>
      <c r="E4" s="17">
        <f>D4*I4/J4</f>
        <v>52.467722319619305</v>
      </c>
      <c r="F4" s="17"/>
      <c r="G4" s="17">
        <v>400</v>
      </c>
      <c r="H4" s="17">
        <f>'Power Calcs'!R16</f>
        <v>8867.0450720156623</v>
      </c>
      <c r="I4" s="17">
        <v>100</v>
      </c>
      <c r="J4" s="17">
        <v>338</v>
      </c>
    </row>
    <row r="5" spans="1:13" x14ac:dyDescent="0.25">
      <c r="A5" s="17">
        <v>16</v>
      </c>
      <c r="B5" s="17">
        <f>24-A5</f>
        <v>8</v>
      </c>
      <c r="C5" s="19">
        <f>A5*H5/(0.6*G5)</f>
        <v>611.8662659634972</v>
      </c>
      <c r="D5" s="17">
        <f>A5*H5/B5/I5</f>
        <v>183.55987978904915</v>
      </c>
      <c r="E5" s="17">
        <f>D5*I5/J5</f>
        <v>54.307656742322237</v>
      </c>
      <c r="F5" s="17"/>
      <c r="G5" s="17">
        <v>400</v>
      </c>
      <c r="H5" s="17">
        <f>'Power Calcs'!R17</f>
        <v>9177.9939894524578</v>
      </c>
      <c r="I5" s="17">
        <v>100</v>
      </c>
      <c r="J5" s="17">
        <v>338</v>
      </c>
    </row>
    <row r="6" spans="1:13" x14ac:dyDescent="0.25">
      <c r="A6" s="23">
        <v>16</v>
      </c>
      <c r="B6" s="23">
        <f>24-A6</f>
        <v>8</v>
      </c>
      <c r="C6" s="24">
        <f>A6*H6/(0.6*G6)</f>
        <v>616.12869936394782</v>
      </c>
      <c r="D6" s="23">
        <f>A6*H6/B6/I6</f>
        <v>184.83860980918433</v>
      </c>
      <c r="E6" s="23">
        <f>D6*I6/J6</f>
        <v>54.685979233486492</v>
      </c>
      <c r="F6" s="23"/>
      <c r="G6" s="17">
        <v>400</v>
      </c>
      <c r="H6" s="23">
        <f>'Power Calcs'!R18</f>
        <v>9241.9304904592173</v>
      </c>
      <c r="I6" s="17">
        <v>100</v>
      </c>
      <c r="J6" s="17">
        <v>338</v>
      </c>
    </row>
    <row r="7" spans="1:13" x14ac:dyDescent="0.25">
      <c r="A7" s="17">
        <v>16</v>
      </c>
      <c r="B7" s="17">
        <f>24-A7</f>
        <v>8</v>
      </c>
      <c r="C7" s="19">
        <f>A7*H7/(0.6*G7)</f>
        <v>617.00512974243429</v>
      </c>
      <c r="D7" s="17">
        <f>A7*H7/B7/I7</f>
        <v>185.1015389227303</v>
      </c>
      <c r="E7" s="17">
        <f>D7*I7/J7</f>
        <v>54.763768912050381</v>
      </c>
      <c r="F7" s="17"/>
      <c r="G7" s="17">
        <v>400</v>
      </c>
      <c r="H7" s="23">
        <f>'Power Calcs'!R19</f>
        <v>9255.0769461365144</v>
      </c>
      <c r="I7" s="17">
        <v>100</v>
      </c>
      <c r="J7" s="17">
        <v>338</v>
      </c>
    </row>
    <row r="8" spans="1:13" x14ac:dyDescent="0.25">
      <c r="H8" s="35"/>
    </row>
    <row r="9" spans="1:13" x14ac:dyDescent="0.25">
      <c r="A9" s="26" t="s">
        <v>34</v>
      </c>
      <c r="B9" s="46"/>
      <c r="C9" s="51"/>
      <c r="D9" s="51"/>
      <c r="E9" s="51"/>
      <c r="F9" s="51"/>
      <c r="G9" s="51"/>
      <c r="H9" s="51"/>
      <c r="I9" s="51"/>
      <c r="J9" s="51"/>
    </row>
    <row r="10" spans="1:13" ht="47.25" x14ac:dyDescent="0.25">
      <c r="A10" s="47" t="s">
        <v>25</v>
      </c>
      <c r="B10" s="47" t="s">
        <v>26</v>
      </c>
      <c r="C10" s="47" t="s">
        <v>27</v>
      </c>
      <c r="D10" s="25" t="s">
        <v>35</v>
      </c>
      <c r="E10" s="47" t="s">
        <v>36</v>
      </c>
      <c r="F10" s="25"/>
      <c r="G10" s="49" t="s">
        <v>30</v>
      </c>
      <c r="H10" s="25" t="s">
        <v>31</v>
      </c>
      <c r="I10" s="49" t="s">
        <v>37</v>
      </c>
      <c r="J10" s="50" t="s">
        <v>38</v>
      </c>
    </row>
    <row r="11" spans="1:13" x14ac:dyDescent="0.25">
      <c r="A11" s="20">
        <v>2</v>
      </c>
      <c r="B11" s="20">
        <f>24-A11</f>
        <v>22</v>
      </c>
      <c r="C11" s="21">
        <f>A11*H11/(0.6*G11)</f>
        <v>1.9593329100529098</v>
      </c>
      <c r="D11" s="20">
        <f>A11*H11/J11/22</f>
        <v>4.2506189164370971</v>
      </c>
      <c r="E11" s="20">
        <f>(D11/I11)*1.25</f>
        <v>3.8783019310557459E-4</v>
      </c>
      <c r="F11" s="20"/>
      <c r="G11" s="26">
        <v>175</v>
      </c>
      <c r="H11" s="20">
        <f>'Power Calcs'!R21</f>
        <v>102.86497777777777</v>
      </c>
      <c r="I11" s="26">
        <v>13700</v>
      </c>
      <c r="J11" s="42">
        <v>2.2000000000000002</v>
      </c>
    </row>
    <row r="12" spans="1:13" x14ac:dyDescent="0.25">
      <c r="A12" s="20">
        <v>2</v>
      </c>
      <c r="B12" s="20">
        <f>24-A12</f>
        <v>22</v>
      </c>
      <c r="C12" s="21">
        <f>A12*H12/(0.6*G12)</f>
        <v>1.9984562636975567</v>
      </c>
      <c r="D12" s="20">
        <f t="shared" ref="D12:D15" si="0">A12*H12/J12/22</f>
        <v>4.3354939605008971</v>
      </c>
      <c r="E12" s="20">
        <f t="shared" ref="E12:E15" si="1">(D12/I12)*1.25</f>
        <v>3.9557426646905997E-4</v>
      </c>
      <c r="F12" s="20"/>
      <c r="G12" s="26">
        <v>175</v>
      </c>
      <c r="H12" s="20">
        <f>'Power Calcs'!R22</f>
        <v>104.91895384412173</v>
      </c>
      <c r="I12" s="26">
        <v>13700</v>
      </c>
      <c r="J12" s="42">
        <v>2.2000000000000002</v>
      </c>
    </row>
    <row r="13" spans="1:13" x14ac:dyDescent="0.25">
      <c r="A13" s="20">
        <v>2</v>
      </c>
      <c r="B13" s="20">
        <f>24-A13</f>
        <v>22</v>
      </c>
      <c r="C13" s="21">
        <f>A13*H13/(0.6*G13)</f>
        <v>1.9992374667246435</v>
      </c>
      <c r="D13" s="20">
        <f t="shared" si="0"/>
        <v>4.3371887191340406</v>
      </c>
      <c r="E13" s="20">
        <f t="shared" si="1"/>
        <v>3.9572889773120809E-4</v>
      </c>
      <c r="F13" s="20"/>
      <c r="G13" s="26">
        <v>175</v>
      </c>
      <c r="H13" s="20">
        <f>'Power Calcs'!R23</f>
        <v>104.95996700304379</v>
      </c>
      <c r="I13" s="26">
        <v>13700</v>
      </c>
      <c r="J13" s="42">
        <v>2.2000000000000002</v>
      </c>
    </row>
    <row r="14" spans="1:13" x14ac:dyDescent="0.25">
      <c r="A14" s="20">
        <v>2</v>
      </c>
      <c r="B14" s="20">
        <f>24-A14</f>
        <v>22</v>
      </c>
      <c r="C14" s="21">
        <f>A14*H14/(0.6*G14)</f>
        <v>1.9992530655451097</v>
      </c>
      <c r="D14" s="20">
        <f t="shared" si="0"/>
        <v>4.3372225595503409</v>
      </c>
      <c r="E14" s="20">
        <f t="shared" si="1"/>
        <v>3.9573198536043254E-4</v>
      </c>
      <c r="F14" s="20"/>
      <c r="G14" s="26">
        <v>175</v>
      </c>
      <c r="H14" s="20">
        <f>'Power Calcs'!R24</f>
        <v>104.96078594111826</v>
      </c>
      <c r="I14" s="26">
        <v>13700</v>
      </c>
      <c r="J14" s="42">
        <v>2.2000000000000002</v>
      </c>
    </row>
    <row r="15" spans="1:13" x14ac:dyDescent="0.25">
      <c r="A15" s="30">
        <v>2</v>
      </c>
      <c r="B15" s="30">
        <f>24-A15</f>
        <v>22</v>
      </c>
      <c r="C15" s="31">
        <f>A15*H15/(0.6*G15)</f>
        <v>1.9992533770175334</v>
      </c>
      <c r="D15" s="20">
        <f t="shared" si="0"/>
        <v>4.3372232352653093</v>
      </c>
      <c r="E15" s="20">
        <f t="shared" si="1"/>
        <v>3.9573204701325818E-4</v>
      </c>
      <c r="F15" s="30"/>
      <c r="G15" s="32">
        <v>175</v>
      </c>
      <c r="H15" s="30">
        <f>'Power Calcs'!R25</f>
        <v>104.9608022934205</v>
      </c>
      <c r="I15" s="26">
        <v>13700</v>
      </c>
      <c r="J15" s="42">
        <v>2.2000000000000002</v>
      </c>
    </row>
    <row r="16" spans="1:13" x14ac:dyDescent="0.25">
      <c r="A16" s="29"/>
      <c r="B16" s="35"/>
      <c r="C16" s="35"/>
      <c r="D16" s="35"/>
      <c r="E16" s="35"/>
      <c r="F16" s="35"/>
      <c r="G16" s="35"/>
      <c r="H16" s="35"/>
    </row>
    <row r="17" spans="1:9" x14ac:dyDescent="0.25">
      <c r="A17" s="34" t="s">
        <v>39</v>
      </c>
      <c r="B17" s="46"/>
      <c r="C17" s="51"/>
      <c r="D17" s="51"/>
      <c r="E17" s="51"/>
      <c r="F17" s="51"/>
      <c r="G17" s="51"/>
      <c r="H17" s="51"/>
    </row>
    <row r="18" spans="1:9" ht="47.25" x14ac:dyDescent="0.25">
      <c r="A18" s="11" t="s">
        <v>25</v>
      </c>
      <c r="B18" s="56" t="s">
        <v>26</v>
      </c>
      <c r="C18" s="57" t="s">
        <v>27</v>
      </c>
      <c r="D18" s="33" t="s">
        <v>35</v>
      </c>
      <c r="E18" s="57" t="s">
        <v>36</v>
      </c>
      <c r="F18" s="33"/>
      <c r="G18" s="57" t="s">
        <v>30</v>
      </c>
      <c r="H18" s="33" t="s">
        <v>31</v>
      </c>
    </row>
    <row r="19" spans="1:9" x14ac:dyDescent="0.25">
      <c r="A19" s="14">
        <v>2</v>
      </c>
      <c r="B19" s="14">
        <f>24-A19</f>
        <v>22</v>
      </c>
      <c r="C19" s="36">
        <f>A19*H19/(0.6*G19)</f>
        <v>1.7514294179894185</v>
      </c>
      <c r="D19" s="33">
        <f>A19*H19/J11/22</f>
        <v>3.799588613406796</v>
      </c>
      <c r="E19" s="33">
        <f>(D19/I11)*1.25</f>
        <v>3.4667779319405074E-4</v>
      </c>
      <c r="F19" s="33"/>
      <c r="G19" s="33">
        <v>175</v>
      </c>
      <c r="H19" s="34">
        <f>'Power Calcs'!R27</f>
        <v>91.950044444444472</v>
      </c>
      <c r="I19" s="28"/>
    </row>
    <row r="20" spans="1:9" x14ac:dyDescent="0.25">
      <c r="A20" s="14">
        <v>2</v>
      </c>
      <c r="B20" s="14">
        <f t="shared" ref="B20:B23" si="2">24-A20</f>
        <v>22</v>
      </c>
      <c r="C20" s="22">
        <f>A20*H20/(0.6*G20)</f>
        <v>1.78640141899653</v>
      </c>
      <c r="D20" s="33">
        <f t="shared" ref="D20:D23" si="3">A20*H20/J12/22</f>
        <v>3.8754576238561085</v>
      </c>
      <c r="E20" s="33">
        <f t="shared" ref="E20:E23" si="4">(D20/I12)*1.25</f>
        <v>3.5360014816205373E-4</v>
      </c>
      <c r="F20" s="14"/>
      <c r="G20" s="14">
        <v>175</v>
      </c>
      <c r="H20" s="27">
        <f>'Power Calcs'!R28</f>
        <v>93.786074497317827</v>
      </c>
      <c r="I20" s="28"/>
    </row>
    <row r="21" spans="1:9" x14ac:dyDescent="0.25">
      <c r="A21" s="14">
        <v>2</v>
      </c>
      <c r="B21" s="14">
        <f t="shared" si="2"/>
        <v>22</v>
      </c>
      <c r="C21" s="22">
        <f>A21*H21/(0.6*G21)</f>
        <v>1.7870997290979129</v>
      </c>
      <c r="D21" s="33">
        <f t="shared" si="3"/>
        <v>3.8769725527950594</v>
      </c>
      <c r="E21" s="33">
        <f t="shared" si="4"/>
        <v>3.5373837160538864E-4</v>
      </c>
      <c r="F21" s="14"/>
      <c r="G21" s="14">
        <v>175</v>
      </c>
      <c r="H21" s="48">
        <f>'Power Calcs'!R29</f>
        <v>93.822735777640432</v>
      </c>
      <c r="I21" s="28"/>
    </row>
    <row r="22" spans="1:9" x14ac:dyDescent="0.25">
      <c r="A22" s="14">
        <v>2</v>
      </c>
      <c r="B22" s="14">
        <f t="shared" si="2"/>
        <v>22</v>
      </c>
      <c r="C22" s="22">
        <f>A22*H22/(0.6*G22)</f>
        <v>1.7871136727380721</v>
      </c>
      <c r="D22" s="33">
        <f t="shared" si="3"/>
        <v>3.8770028024276355</v>
      </c>
      <c r="E22" s="33">
        <f t="shared" si="4"/>
        <v>3.537411316083609E-4</v>
      </c>
      <c r="F22" s="14"/>
      <c r="G22" s="27">
        <v>175</v>
      </c>
      <c r="H22" s="14">
        <f>'Power Calcs'!R30</f>
        <v>93.823467818748782</v>
      </c>
    </row>
    <row r="23" spans="1:9" x14ac:dyDescent="0.25">
      <c r="A23" s="14">
        <v>2</v>
      </c>
      <c r="B23" s="14">
        <f t="shared" si="2"/>
        <v>22</v>
      </c>
      <c r="C23" s="22">
        <f>A23*H23/(0.6*G23)</f>
        <v>1.7871139511603671</v>
      </c>
      <c r="D23" s="33">
        <f t="shared" si="3"/>
        <v>3.8770034064429448</v>
      </c>
      <c r="E23" s="33">
        <f t="shared" si="4"/>
        <v>3.5374118671924681E-4</v>
      </c>
      <c r="F23" s="14"/>
      <c r="G23" s="27">
        <v>175</v>
      </c>
      <c r="H23" s="14">
        <f>'Power Calcs'!R31</f>
        <v>93.823482435919274</v>
      </c>
    </row>
    <row r="25" spans="1:9" ht="31.5" x14ac:dyDescent="0.25">
      <c r="A25" s="58" t="s">
        <v>40</v>
      </c>
      <c r="B25" s="46"/>
      <c r="C25" s="51"/>
      <c r="D25" s="51"/>
      <c r="E25" s="51"/>
      <c r="F25" s="51"/>
      <c r="G25" s="51"/>
      <c r="H25" s="51"/>
    </row>
    <row r="26" spans="1:9" ht="31.5" x14ac:dyDescent="0.25">
      <c r="A26" s="44" t="s">
        <v>25</v>
      </c>
      <c r="B26" s="45" t="s">
        <v>26</v>
      </c>
      <c r="C26" s="44" t="s">
        <v>27</v>
      </c>
      <c r="D26" s="39"/>
      <c r="E26" s="44"/>
      <c r="F26" s="39"/>
      <c r="G26" s="45" t="s">
        <v>30</v>
      </c>
      <c r="H26" s="39" t="s">
        <v>31</v>
      </c>
    </row>
    <row r="27" spans="1:9" x14ac:dyDescent="0.25">
      <c r="A27" s="15">
        <v>12</v>
      </c>
      <c r="B27" s="15">
        <f>24-A27</f>
        <v>12</v>
      </c>
      <c r="C27" s="38">
        <f>A27*H27/(0.6*G27)</f>
        <v>76.073777777777806</v>
      </c>
      <c r="D27" s="39"/>
      <c r="E27" s="39"/>
      <c r="F27" s="39"/>
      <c r="G27" s="40">
        <v>400</v>
      </c>
      <c r="H27" s="15">
        <f>'Power Calcs'!R33</f>
        <v>1521.475555555556</v>
      </c>
    </row>
    <row r="28" spans="1:9" x14ac:dyDescent="0.25">
      <c r="A28" s="15">
        <v>12</v>
      </c>
      <c r="B28" s="15">
        <f t="shared" ref="B28:B31" si="5">24-A28</f>
        <v>12</v>
      </c>
      <c r="C28" s="41">
        <f>A28*H28/(0.6*G28)</f>
        <v>77.331869009382714</v>
      </c>
      <c r="D28" s="39"/>
      <c r="E28" s="39"/>
      <c r="F28" s="15"/>
      <c r="G28" s="40">
        <v>400</v>
      </c>
      <c r="H28" s="15">
        <f>'Power Calcs'!R34</f>
        <v>1546.6373801876543</v>
      </c>
    </row>
    <row r="29" spans="1:9" x14ac:dyDescent="0.25">
      <c r="A29" s="15">
        <v>12</v>
      </c>
      <c r="B29" s="15">
        <f t="shared" si="5"/>
        <v>12</v>
      </c>
      <c r="C29" s="41">
        <f>A29*H29/(0.6*G29)</f>
        <v>77.35267504259518</v>
      </c>
      <c r="D29" s="39"/>
      <c r="E29" s="39"/>
      <c r="F29" s="15"/>
      <c r="G29" s="40">
        <v>400</v>
      </c>
      <c r="H29" s="15">
        <f>'Power Calcs'!R35</f>
        <v>1547.0535008519037</v>
      </c>
    </row>
    <row r="30" spans="1:9" x14ac:dyDescent="0.25">
      <c r="A30" s="15">
        <v>12</v>
      </c>
      <c r="B30" s="15">
        <f t="shared" si="5"/>
        <v>12</v>
      </c>
      <c r="C30" s="41">
        <f>A30*H30/(0.6*G30)</f>
        <v>77.353019128148873</v>
      </c>
      <c r="D30" s="39"/>
      <c r="E30" s="39"/>
      <c r="F30" s="15"/>
      <c r="G30" s="40">
        <v>400</v>
      </c>
      <c r="H30" s="15">
        <f>'Power Calcs'!R36</f>
        <v>1547.0603825629776</v>
      </c>
    </row>
    <row r="31" spans="1:9" x14ac:dyDescent="0.25">
      <c r="A31" s="15">
        <v>12</v>
      </c>
      <c r="B31" s="15">
        <f t="shared" si="5"/>
        <v>12</v>
      </c>
      <c r="C31" s="41">
        <f>A31*H31/(0.6*G31)</f>
        <v>77.353024818559305</v>
      </c>
      <c r="D31" s="39"/>
      <c r="E31" s="39"/>
      <c r="F31" s="15"/>
      <c r="G31" s="40">
        <v>400</v>
      </c>
      <c r="H31" s="15">
        <f>'Power Calcs'!R37</f>
        <v>1547.060496371186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13F32-B47B-4A9C-B715-64ED2094D547}">
  <dimension ref="A1:E25"/>
  <sheetViews>
    <sheetView workbookViewId="0">
      <selection activeCell="E4" sqref="E4"/>
    </sheetView>
  </sheetViews>
  <sheetFormatPr defaultRowHeight="15.75" x14ac:dyDescent="0.25"/>
  <cols>
    <col min="1" max="1" width="27.125" customWidth="1"/>
    <col min="2" max="2" width="29.875" customWidth="1"/>
    <col min="3" max="3" width="30" customWidth="1"/>
    <col min="4" max="4" width="25.625" customWidth="1"/>
    <col min="5" max="5" width="20.625" customWidth="1"/>
    <col min="6" max="6" width="20.125" customWidth="1"/>
  </cols>
  <sheetData>
    <row r="1" spans="1:4" x14ac:dyDescent="0.25">
      <c r="A1" s="14" t="s">
        <v>41</v>
      </c>
    </row>
    <row r="3" spans="1:4" ht="31.5" x14ac:dyDescent="0.25">
      <c r="A3" s="13" t="s">
        <v>42</v>
      </c>
      <c r="B3" s="13" t="s">
        <v>43</v>
      </c>
      <c r="C3" s="13" t="s">
        <v>44</v>
      </c>
      <c r="D3" s="2" t="s">
        <v>45</v>
      </c>
    </row>
    <row r="4" spans="1:4" x14ac:dyDescent="0.25">
      <c r="A4" s="13">
        <v>1.7</v>
      </c>
      <c r="B4" s="13">
        <v>350</v>
      </c>
      <c r="C4" s="13">
        <v>2.5000000000000001E-2</v>
      </c>
      <c r="D4" s="13">
        <v>6.1150000000000002</v>
      </c>
    </row>
    <row r="8" spans="1:4" x14ac:dyDescent="0.25">
      <c r="A8" s="14" t="s">
        <v>46</v>
      </c>
    </row>
    <row r="10" spans="1:4" x14ac:dyDescent="0.25">
      <c r="A10" s="13" t="s">
        <v>47</v>
      </c>
    </row>
    <row r="11" spans="1:4" x14ac:dyDescent="0.25">
      <c r="A11" s="13">
        <v>175</v>
      </c>
    </row>
    <row r="15" spans="1:4" x14ac:dyDescent="0.25">
      <c r="A15" s="14" t="s">
        <v>48</v>
      </c>
    </row>
    <row r="17" spans="1:5" x14ac:dyDescent="0.25">
      <c r="A17" s="16" t="s">
        <v>49</v>
      </c>
      <c r="B17" s="13" t="s">
        <v>50</v>
      </c>
    </row>
    <row r="18" spans="1:5" x14ac:dyDescent="0.25">
      <c r="A18" s="16">
        <v>2.2000000000000002</v>
      </c>
      <c r="B18" s="13">
        <v>0.1</v>
      </c>
    </row>
    <row r="22" spans="1:5" x14ac:dyDescent="0.25">
      <c r="A22" s="14" t="s">
        <v>51</v>
      </c>
    </row>
    <row r="24" spans="1:5" x14ac:dyDescent="0.25">
      <c r="A24" s="15" t="s">
        <v>52</v>
      </c>
      <c r="B24" s="15" t="s">
        <v>53</v>
      </c>
      <c r="C24" s="15" t="s">
        <v>54</v>
      </c>
      <c r="D24" s="15" t="s">
        <v>55</v>
      </c>
      <c r="E24" s="15" t="s">
        <v>56</v>
      </c>
    </row>
    <row r="25" spans="1:5" x14ac:dyDescent="0.25">
      <c r="A25" s="15">
        <f>B4+D4</f>
        <v>356.11500000000001</v>
      </c>
      <c r="B25" s="15">
        <f>(A25/0.6)*(C4)</f>
        <v>14.838125000000003</v>
      </c>
      <c r="C25" s="15">
        <f>B25/A11</f>
        <v>8.4789285714285734E-2</v>
      </c>
      <c r="D25" s="15">
        <f>A25/(B18*A18)</f>
        <v>1618.7045454545453</v>
      </c>
      <c r="E25" s="15">
        <f>A4+C25+B18</f>
        <v>1.8847892857142858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4e1b770-151a-4b49-861f-2e71ac4055aa" xsi:nil="true"/>
    <lcf76f155ced4ddcb4097134ff3c332f xmlns="54c70511-9b5a-41d8-ba50-03b3bf74deb2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806D1563F12BA49BEBEDB3E02249951" ma:contentTypeVersion="13" ma:contentTypeDescription="Create a new document." ma:contentTypeScope="" ma:versionID="1ae4e53d9ee754037fb24ba99a3ddf3b">
  <xsd:schema xmlns:xsd="http://www.w3.org/2001/XMLSchema" xmlns:xs="http://www.w3.org/2001/XMLSchema" xmlns:p="http://schemas.microsoft.com/office/2006/metadata/properties" xmlns:ns2="54c70511-9b5a-41d8-ba50-03b3bf74deb2" xmlns:ns3="44e1b770-151a-4b49-861f-2e71ac4055aa" targetNamespace="http://schemas.microsoft.com/office/2006/metadata/properties" ma:root="true" ma:fieldsID="9ecabaedade34b864a65cced485e5f63" ns2:_="" ns3:_="">
    <xsd:import namespace="54c70511-9b5a-41d8-ba50-03b3bf74deb2"/>
    <xsd:import namespace="44e1b770-151a-4b49-861f-2e71ac4055a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4c70511-9b5a-41d8-ba50-03b3bf74deb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576e6ad8-52fe-412f-a0b9-03ea580b629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BillingMetadata" ma:index="20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4e1b770-151a-4b49-861f-2e71ac4055aa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bfde1334-8f81-4b7e-a891-e63fc0be34ae}" ma:internalName="TaxCatchAll" ma:showField="CatchAllData" ma:web="44e1b770-151a-4b49-861f-2e71ac4055a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72BAADF-ABAD-4AA9-AC37-EC97B5721457}">
  <ds:schemaRefs>
    <ds:schemaRef ds:uri="54c70511-9b5a-41d8-ba50-03b3bf74deb2"/>
    <ds:schemaRef ds:uri="http://purl.org/dc/terms/"/>
    <ds:schemaRef ds:uri="http://schemas.openxmlformats.org/package/2006/metadata/core-properties"/>
    <ds:schemaRef ds:uri="http://purl.org/dc/dcmitype/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44e1b770-151a-4b49-861f-2e71ac4055aa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8F388E9E-2A49-4C18-B19E-77C631B3912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A909DA3-C58E-4E15-8CDF-7F2BE9FDDE3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4c70511-9b5a-41d8-ba50-03b3bf74deb2"/>
    <ds:schemaRef ds:uri="44e1b770-151a-4b49-861f-2e71ac4055a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Power Calcs</vt:lpstr>
      <vt:lpstr>Power Cycle Assistance Calcs</vt:lpstr>
      <vt:lpstr>Helicopter Power Calcs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Samuel Li</dc:creator>
  <cp:keywords/>
  <dc:description/>
  <cp:lastModifiedBy>Ochs, Benjamin</cp:lastModifiedBy>
  <cp:revision/>
  <dcterms:created xsi:type="dcterms:W3CDTF">2025-03-23T03:52:12Z</dcterms:created>
  <dcterms:modified xsi:type="dcterms:W3CDTF">2025-05-05T14:40:22Z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0x0101006806D1563F12BA49BEBEDB3E02249951</vt:lpwstr>
  </property>
  <property fmtid="{D5CDD505-2E9C-101B-9397-08002B2CF9AE}" pid="3" name="MediaServiceImageTags">
    <vt:lpwstr/>
  </property>
</Properties>
</file>