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lonj123\MAVRIC\MAVRIC-Electrical\Electrical\"/>
    </mc:Choice>
  </mc:AlternateContent>
  <xr:revisionPtr revIDLastSave="0" documentId="13_ncr:1_{CE7EABF4-9B81-41DC-83D9-C4D2B101D543}" xr6:coauthVersionLast="37" xr6:coauthVersionMax="37" xr10:uidLastSave="{00000000-0000-0000-0000-000000000000}"/>
  <bookViews>
    <workbookView xWindow="9300" yWindow="0" windowWidth="27870" windowHeight="12210" activeTab="4" xr2:uid="{00000000-000D-0000-FFFF-FFFF00000000}"/>
  </bookViews>
  <sheets>
    <sheet name="Component Data" sheetId="1" r:id="rId1"/>
    <sheet name="Items" sheetId="7" r:id="rId2"/>
    <sheet name="Analysis" sheetId="4" r:id="rId3"/>
    <sheet name="Results" sheetId="5" r:id="rId4"/>
    <sheet name="Motor Characterization" sheetId="8" r:id="rId5"/>
    <sheet name="Costs" sheetId="6" r:id="rId6"/>
  </sheets>
  <definedNames>
    <definedName name="_xlnm._FilterDatabase" localSheetId="0" hidden="1">'Component Data'!$C$1:$J$1</definedName>
    <definedName name="ComponentIDs">ComponentData[ID]</definedName>
    <definedName name="ItemIDs">Analysis[ItemID]</definedName>
  </definedNames>
  <calcPr calcId="17902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8" l="1"/>
  <c r="L84" i="8"/>
  <c r="M84" i="8"/>
  <c r="K84" i="8" s="1"/>
  <c r="K85" i="8"/>
  <c r="L85" i="8"/>
  <c r="M85" i="8"/>
  <c r="L86" i="8"/>
  <c r="M86" i="8" s="1"/>
  <c r="K86" i="8" s="1"/>
  <c r="L87" i="8"/>
  <c r="M87" i="8"/>
  <c r="K87" i="8" s="1"/>
  <c r="L88" i="8"/>
  <c r="M88" i="8"/>
  <c r="K88" i="8" s="1"/>
  <c r="K89" i="8"/>
  <c r="L89" i="8"/>
  <c r="M89" i="8"/>
  <c r="L90" i="8"/>
  <c r="M90" i="8" s="1"/>
  <c r="K90" i="8" s="1"/>
  <c r="L91" i="8"/>
  <c r="M91" i="8"/>
  <c r="K91" i="8" s="1"/>
  <c r="L92" i="8"/>
  <c r="M92" i="8"/>
  <c r="K92" i="8" s="1"/>
  <c r="K93" i="8"/>
  <c r="L93" i="8"/>
  <c r="M93" i="8"/>
  <c r="L94" i="8"/>
  <c r="M94" i="8" s="1"/>
  <c r="K94" i="8" s="1"/>
  <c r="L95" i="8"/>
  <c r="M95" i="8"/>
  <c r="K95" i="8" s="1"/>
  <c r="L96" i="8"/>
  <c r="M96" i="8"/>
  <c r="K96" i="8" s="1"/>
  <c r="K97" i="8"/>
  <c r="L97" i="8"/>
  <c r="M97" i="8"/>
  <c r="L98" i="8"/>
  <c r="M98" i="8" s="1"/>
  <c r="K98" i="8" s="1"/>
  <c r="L99" i="8"/>
  <c r="M99" i="8"/>
  <c r="K99" i="8" s="1"/>
  <c r="L100" i="8"/>
  <c r="M100" i="8"/>
  <c r="K100" i="8" s="1"/>
  <c r="K101" i="8"/>
  <c r="L101" i="8"/>
  <c r="M101" i="8"/>
  <c r="L102" i="8"/>
  <c r="M102" i="8" s="1"/>
  <c r="K102" i="8" s="1"/>
  <c r="L3" i="8"/>
  <c r="M3" i="8" s="1"/>
  <c r="K3" i="8" s="1"/>
  <c r="K4" i="8"/>
  <c r="L4" i="8"/>
  <c r="M4" i="8"/>
  <c r="L5" i="8"/>
  <c r="M5" i="8" s="1"/>
  <c r="K5" i="8" s="1"/>
  <c r="L6" i="8"/>
  <c r="M6" i="8"/>
  <c r="K6" i="8" s="1"/>
  <c r="L7" i="8"/>
  <c r="M7" i="8"/>
  <c r="K7" i="8" s="1"/>
  <c r="K8" i="8"/>
  <c r="L8" i="8"/>
  <c r="M8" i="8"/>
  <c r="L9" i="8"/>
  <c r="M9" i="8" s="1"/>
  <c r="K9" i="8" s="1"/>
  <c r="L10" i="8"/>
  <c r="M10" i="8"/>
  <c r="K10" i="8" s="1"/>
  <c r="L11" i="8"/>
  <c r="M11" i="8"/>
  <c r="K11" i="8" s="1"/>
  <c r="K12" i="8"/>
  <c r="L12" i="8"/>
  <c r="M12" i="8"/>
  <c r="L13" i="8"/>
  <c r="M13" i="8" s="1"/>
  <c r="K13" i="8" s="1"/>
  <c r="L14" i="8"/>
  <c r="M14" i="8"/>
  <c r="K14" i="8" s="1"/>
  <c r="L15" i="8"/>
  <c r="M15" i="8"/>
  <c r="K15" i="8" s="1"/>
  <c r="K16" i="8"/>
  <c r="L16" i="8"/>
  <c r="M16" i="8"/>
  <c r="L17" i="8"/>
  <c r="M17" i="8" s="1"/>
  <c r="K17" i="8" s="1"/>
  <c r="L18" i="8"/>
  <c r="M18" i="8"/>
  <c r="K18" i="8" s="1"/>
  <c r="L19" i="8"/>
  <c r="M19" i="8"/>
  <c r="K19" i="8" s="1"/>
  <c r="K20" i="8"/>
  <c r="L20" i="8"/>
  <c r="M20" i="8"/>
  <c r="L21" i="8"/>
  <c r="M21" i="8" s="1"/>
  <c r="K21" i="8" s="1"/>
  <c r="L22" i="8"/>
  <c r="M22" i="8"/>
  <c r="K22" i="8" s="1"/>
  <c r="L23" i="8"/>
  <c r="M23" i="8"/>
  <c r="K23" i="8" s="1"/>
  <c r="K24" i="8"/>
  <c r="L24" i="8"/>
  <c r="M24" i="8"/>
  <c r="L25" i="8"/>
  <c r="M25" i="8" s="1"/>
  <c r="K25" i="8" s="1"/>
  <c r="L26" i="8"/>
  <c r="M26" i="8"/>
  <c r="K26" i="8" s="1"/>
  <c r="L27" i="8"/>
  <c r="M27" i="8"/>
  <c r="K27" i="8" s="1"/>
  <c r="K28" i="8"/>
  <c r="L28" i="8"/>
  <c r="M28" i="8"/>
  <c r="L29" i="8"/>
  <c r="M29" i="8" s="1"/>
  <c r="K29" i="8" s="1"/>
  <c r="L30" i="8"/>
  <c r="M30" i="8"/>
  <c r="K30" i="8" s="1"/>
  <c r="L31" i="8"/>
  <c r="M31" i="8"/>
  <c r="K31" i="8" s="1"/>
  <c r="K32" i="8"/>
  <c r="L32" i="8"/>
  <c r="M32" i="8"/>
  <c r="L33" i="8"/>
  <c r="M33" i="8" s="1"/>
  <c r="K33" i="8" s="1"/>
  <c r="L34" i="8"/>
  <c r="M34" i="8"/>
  <c r="K34" i="8" s="1"/>
  <c r="L35" i="8"/>
  <c r="M35" i="8"/>
  <c r="K35" i="8" s="1"/>
  <c r="L36" i="8"/>
  <c r="M36" i="8" s="1"/>
  <c r="K36" i="8" s="1"/>
  <c r="L37" i="8"/>
  <c r="M37" i="8" s="1"/>
  <c r="K37" i="8" s="1"/>
  <c r="L38" i="8"/>
  <c r="M38" i="8"/>
  <c r="K38" i="8" s="1"/>
  <c r="L39" i="8"/>
  <c r="M39" i="8"/>
  <c r="K39" i="8" s="1"/>
  <c r="L40" i="8"/>
  <c r="M40" i="8" s="1"/>
  <c r="K40" i="8" s="1"/>
  <c r="L41" i="8"/>
  <c r="M41" i="8" s="1"/>
  <c r="K41" i="8" s="1"/>
  <c r="L42" i="8"/>
  <c r="M42" i="8"/>
  <c r="K42" i="8" s="1"/>
  <c r="L43" i="8"/>
  <c r="M43" i="8"/>
  <c r="K43" i="8" s="1"/>
  <c r="K44" i="8"/>
  <c r="L44" i="8"/>
  <c r="M44" i="8"/>
  <c r="L45" i="8"/>
  <c r="M45" i="8" s="1"/>
  <c r="K45" i="8" s="1"/>
  <c r="L46" i="8"/>
  <c r="M46" i="8"/>
  <c r="K46" i="8" s="1"/>
  <c r="L47" i="8"/>
  <c r="M47" i="8"/>
  <c r="K47" i="8" s="1"/>
  <c r="K48" i="8"/>
  <c r="L48" i="8"/>
  <c r="M48" i="8"/>
  <c r="L49" i="8"/>
  <c r="M49" i="8" s="1"/>
  <c r="K49" i="8" s="1"/>
  <c r="L50" i="8"/>
  <c r="M50" i="8"/>
  <c r="K50" i="8" s="1"/>
  <c r="L51" i="8"/>
  <c r="M51" i="8"/>
  <c r="K51" i="8" s="1"/>
  <c r="K52" i="8"/>
  <c r="L52" i="8"/>
  <c r="M52" i="8"/>
  <c r="L53" i="8"/>
  <c r="M53" i="8" s="1"/>
  <c r="K53" i="8" s="1"/>
  <c r="L54" i="8"/>
  <c r="M54" i="8"/>
  <c r="K54" i="8" s="1"/>
  <c r="L55" i="8"/>
  <c r="M55" i="8"/>
  <c r="K55" i="8" s="1"/>
  <c r="K56" i="8"/>
  <c r="L56" i="8"/>
  <c r="M56" i="8"/>
  <c r="L57" i="8"/>
  <c r="M57" i="8" s="1"/>
  <c r="K57" i="8" s="1"/>
  <c r="L58" i="8"/>
  <c r="M58" i="8"/>
  <c r="K58" i="8" s="1"/>
  <c r="L59" i="8"/>
  <c r="M59" i="8"/>
  <c r="K59" i="8" s="1"/>
  <c r="K60" i="8"/>
  <c r="L60" i="8"/>
  <c r="M60" i="8"/>
  <c r="L61" i="8"/>
  <c r="M61" i="8" s="1"/>
  <c r="K61" i="8" s="1"/>
  <c r="L62" i="8"/>
  <c r="M62" i="8"/>
  <c r="K62" i="8" s="1"/>
  <c r="L63" i="8"/>
  <c r="M63" i="8"/>
  <c r="K63" i="8" s="1"/>
  <c r="K64" i="8"/>
  <c r="L64" i="8"/>
  <c r="M64" i="8"/>
  <c r="L65" i="8"/>
  <c r="M65" i="8" s="1"/>
  <c r="K65" i="8" s="1"/>
  <c r="L66" i="8"/>
  <c r="M66" i="8"/>
  <c r="K66" i="8" s="1"/>
  <c r="L67" i="8"/>
  <c r="M67" i="8"/>
  <c r="K67" i="8" s="1"/>
  <c r="K68" i="8"/>
  <c r="L68" i="8"/>
  <c r="M68" i="8"/>
  <c r="L69" i="8"/>
  <c r="M69" i="8" s="1"/>
  <c r="K69" i="8" s="1"/>
  <c r="L70" i="8"/>
  <c r="M70" i="8"/>
  <c r="K70" i="8" s="1"/>
  <c r="L71" i="8"/>
  <c r="M71" i="8"/>
  <c r="K71" i="8" s="1"/>
  <c r="K72" i="8"/>
  <c r="L72" i="8"/>
  <c r="M72" i="8"/>
  <c r="L73" i="8"/>
  <c r="M73" i="8" s="1"/>
  <c r="K73" i="8" s="1"/>
  <c r="L74" i="8"/>
  <c r="M74" i="8"/>
  <c r="K74" i="8" s="1"/>
  <c r="L75" i="8"/>
  <c r="M75" i="8"/>
  <c r="K75" i="8" s="1"/>
  <c r="K76" i="8"/>
  <c r="L76" i="8"/>
  <c r="M76" i="8"/>
  <c r="L77" i="8"/>
  <c r="M77" i="8" s="1"/>
  <c r="K77" i="8" s="1"/>
  <c r="L78" i="8"/>
  <c r="M78" i="8"/>
  <c r="K78" i="8" s="1"/>
  <c r="L79" i="8"/>
  <c r="M79" i="8"/>
  <c r="K79" i="8" s="1"/>
  <c r="L80" i="8"/>
  <c r="M80" i="8" s="1"/>
  <c r="K80" i="8" s="1"/>
  <c r="L81" i="8"/>
  <c r="M81" i="8" s="1"/>
  <c r="K81" i="8" s="1"/>
  <c r="L82" i="8"/>
  <c r="M82" i="8"/>
  <c r="K82" i="8" s="1"/>
  <c r="L83" i="8"/>
  <c r="M83" i="8"/>
  <c r="K83" i="8" s="1"/>
  <c r="M2" i="8"/>
  <c r="K2" i="8" s="1"/>
  <c r="L2" i="8"/>
  <c r="F2" i="8"/>
  <c r="G2" i="8"/>
  <c r="G5" i="8"/>
  <c r="F5" i="8"/>
  <c r="H2" i="8"/>
  <c r="E5" i="8"/>
  <c r="J3" i="1" l="1"/>
  <c r="J16" i="1" l="1"/>
  <c r="A31" i="4" l="1"/>
  <c r="A32" i="4"/>
  <c r="A33" i="4"/>
  <c r="A34" i="4"/>
  <c r="B34" i="4" s="1"/>
  <c r="A35" i="4"/>
  <c r="B35" i="4" s="1"/>
  <c r="A36" i="4"/>
  <c r="A37" i="4"/>
  <c r="A38" i="4"/>
  <c r="A39" i="4"/>
  <c r="A40" i="4"/>
  <c r="A41" i="4"/>
  <c r="A42" i="4"/>
  <c r="A31" i="5"/>
  <c r="A32" i="5"/>
  <c r="A33" i="5"/>
  <c r="A35" i="5"/>
  <c r="D25" i="7"/>
  <c r="D31" i="7"/>
  <c r="D30" i="7"/>
  <c r="D29" i="7"/>
  <c r="D28" i="7"/>
  <c r="D27" i="7"/>
  <c r="D26" i="7"/>
  <c r="D4" i="7"/>
  <c r="E4" i="7"/>
  <c r="F4" i="7"/>
  <c r="G4" i="7"/>
  <c r="H4" i="7"/>
  <c r="I4" i="7"/>
  <c r="J4" i="7"/>
  <c r="K4" i="7"/>
  <c r="M4" i="7"/>
  <c r="N4" i="7"/>
  <c r="J5" i="1"/>
  <c r="L4" i="7" s="1"/>
  <c r="J15" i="1"/>
  <c r="O42" i="4" l="1"/>
  <c r="K42" i="4"/>
  <c r="B42" i="4"/>
  <c r="C42" i="4" s="1"/>
  <c r="G42" i="4" s="1"/>
  <c r="J42" i="4"/>
  <c r="N42" i="4"/>
  <c r="M42" i="4"/>
  <c r="I42" i="4"/>
  <c r="L42" i="4"/>
  <c r="D42" i="4"/>
  <c r="F42" i="4" s="1"/>
  <c r="A38" i="6"/>
  <c r="C38" i="6" s="1"/>
  <c r="O38" i="4"/>
  <c r="K38" i="4"/>
  <c r="B38" i="4"/>
  <c r="C38" i="4" s="1"/>
  <c r="N38" i="4"/>
  <c r="J38" i="4"/>
  <c r="M38" i="4"/>
  <c r="I38" i="4"/>
  <c r="L38" i="4"/>
  <c r="D38" i="4"/>
  <c r="E38" i="4" s="1"/>
  <c r="L41" i="4"/>
  <c r="D41" i="4"/>
  <c r="E41" i="4" s="1"/>
  <c r="O41" i="4"/>
  <c r="K41" i="4"/>
  <c r="B41" i="4"/>
  <c r="C41" i="4" s="1"/>
  <c r="H41" i="4" s="1"/>
  <c r="N41" i="4"/>
  <c r="J41" i="4"/>
  <c r="M41" i="4"/>
  <c r="I41" i="4"/>
  <c r="F41" i="4"/>
  <c r="A37" i="6"/>
  <c r="L37" i="4"/>
  <c r="D37" i="4"/>
  <c r="E37" i="4" s="1"/>
  <c r="O37" i="4"/>
  <c r="K37" i="4"/>
  <c r="B37" i="4"/>
  <c r="N37" i="4"/>
  <c r="J37" i="4"/>
  <c r="M37" i="4"/>
  <c r="I37" i="4"/>
  <c r="F37" i="4"/>
  <c r="A37" i="5"/>
  <c r="M40" i="4"/>
  <c r="I40" i="4"/>
  <c r="L40" i="4"/>
  <c r="D40" i="4"/>
  <c r="E40" i="4" s="1"/>
  <c r="O40" i="4"/>
  <c r="K40" i="4"/>
  <c r="B40" i="4"/>
  <c r="C40" i="4" s="1"/>
  <c r="G40" i="4" s="1"/>
  <c r="N40" i="4"/>
  <c r="J40" i="4"/>
  <c r="A36" i="6"/>
  <c r="M36" i="4"/>
  <c r="I36" i="4"/>
  <c r="L36" i="4"/>
  <c r="O36" i="4"/>
  <c r="K36" i="4"/>
  <c r="D36" i="4"/>
  <c r="E36" i="4" s="1"/>
  <c r="N36" i="4"/>
  <c r="J36" i="4"/>
  <c r="B36" i="4"/>
  <c r="C36" i="4" s="1"/>
  <c r="G36" i="4" s="1"/>
  <c r="A36" i="5"/>
  <c r="N39" i="4"/>
  <c r="J39" i="4"/>
  <c r="M39" i="4"/>
  <c r="I39" i="4"/>
  <c r="L39" i="4"/>
  <c r="D39" i="4"/>
  <c r="E39" i="4" s="1"/>
  <c r="O39" i="4"/>
  <c r="K39" i="4"/>
  <c r="B39" i="4"/>
  <c r="C39" i="4" s="1"/>
  <c r="H39" i="4" s="1"/>
  <c r="F39" i="4"/>
  <c r="B38" i="6"/>
  <c r="A34" i="6"/>
  <c r="A33" i="6"/>
  <c r="B33" i="4"/>
  <c r="A32" i="6"/>
  <c r="B32" i="4"/>
  <c r="A39" i="6"/>
  <c r="A31" i="6"/>
  <c r="B31" i="4"/>
  <c r="A34" i="5"/>
  <c r="K2" i="7"/>
  <c r="K3" i="7"/>
  <c r="K10" i="7" s="1"/>
  <c r="K13" i="7" s="1"/>
  <c r="K7" i="7"/>
  <c r="K8" i="7"/>
  <c r="K9" i="7"/>
  <c r="K12" i="7"/>
  <c r="K14" i="7"/>
  <c r="K16" i="7"/>
  <c r="K18" i="7"/>
  <c r="K20" i="7"/>
  <c r="K22" i="7"/>
  <c r="K24" i="7"/>
  <c r="K25" i="7"/>
  <c r="K26" i="7"/>
  <c r="K27" i="7"/>
  <c r="K28" i="7"/>
  <c r="K29" i="7"/>
  <c r="K30" i="7"/>
  <c r="K31" i="7"/>
  <c r="K32" i="7"/>
  <c r="K33" i="7"/>
  <c r="K34" i="7"/>
  <c r="K35" i="7"/>
  <c r="G38" i="4" l="1"/>
  <c r="H38" i="4"/>
  <c r="H42" i="4"/>
  <c r="H36" i="4"/>
  <c r="F36" i="4"/>
  <c r="C37" i="4"/>
  <c r="H37" i="4" s="1"/>
  <c r="F38" i="4"/>
  <c r="E42" i="4"/>
  <c r="H40" i="4"/>
  <c r="G41" i="4"/>
  <c r="G39" i="4"/>
  <c r="F40" i="4"/>
  <c r="D32" i="4"/>
  <c r="E32" i="4" s="1"/>
  <c r="D31" i="4"/>
  <c r="E31" i="4" s="1"/>
  <c r="D33" i="4"/>
  <c r="E33" i="4" s="1"/>
  <c r="B39" i="6"/>
  <c r="C39" i="6"/>
  <c r="D34" i="4"/>
  <c r="E34" i="4" s="1"/>
  <c r="D35" i="4"/>
  <c r="K19" i="7"/>
  <c r="K15" i="7"/>
  <c r="K21" i="7"/>
  <c r="K17" i="7"/>
  <c r="K11" i="7"/>
  <c r="D10" i="7"/>
  <c r="E10" i="7"/>
  <c r="F10" i="7"/>
  <c r="G10" i="7"/>
  <c r="H10" i="7"/>
  <c r="I10" i="7"/>
  <c r="J10" i="7"/>
  <c r="M10" i="7"/>
  <c r="N10" i="7"/>
  <c r="J14" i="1"/>
  <c r="F32" i="4" l="1"/>
  <c r="G37" i="4"/>
  <c r="F31" i="4"/>
  <c r="F33" i="4"/>
  <c r="F34" i="4"/>
  <c r="E35" i="4"/>
  <c r="F35" i="4"/>
  <c r="J5" i="7"/>
  <c r="N5" i="7"/>
  <c r="A9" i="4"/>
  <c r="B9" i="4" s="1"/>
  <c r="J3" i="7"/>
  <c r="N3" i="7"/>
  <c r="J6" i="7"/>
  <c r="N6" i="7"/>
  <c r="J7" i="7"/>
  <c r="N7" i="7"/>
  <c r="J8" i="7"/>
  <c r="N8" i="7"/>
  <c r="J9" i="7"/>
  <c r="N9" i="7"/>
  <c r="J11" i="7"/>
  <c r="N11" i="7"/>
  <c r="J12" i="7"/>
  <c r="N12" i="7"/>
  <c r="J13" i="7"/>
  <c r="N13" i="7"/>
  <c r="J14" i="7"/>
  <c r="N14" i="7"/>
  <c r="J15" i="7"/>
  <c r="N15" i="7"/>
  <c r="J16" i="7"/>
  <c r="N16" i="7"/>
  <c r="J17" i="7"/>
  <c r="N17" i="7"/>
  <c r="J18" i="7"/>
  <c r="N18" i="7"/>
  <c r="J19" i="7"/>
  <c r="N19" i="7"/>
  <c r="J20" i="7"/>
  <c r="N20" i="7"/>
  <c r="J21" i="7"/>
  <c r="N21" i="7"/>
  <c r="J22" i="7"/>
  <c r="N22" i="7"/>
  <c r="J23" i="7"/>
  <c r="N23" i="7"/>
  <c r="N24" i="7"/>
  <c r="J25" i="7"/>
  <c r="N25" i="7"/>
  <c r="N26" i="7"/>
  <c r="J27" i="7"/>
  <c r="N27" i="7"/>
  <c r="N28" i="7"/>
  <c r="M3" i="7"/>
  <c r="M5" i="7"/>
  <c r="M6" i="7"/>
  <c r="M7" i="7"/>
  <c r="M8" i="7"/>
  <c r="M9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I5" i="7"/>
  <c r="I6" i="7"/>
  <c r="I7" i="7"/>
  <c r="I8" i="7"/>
  <c r="I9" i="7"/>
  <c r="I23" i="7"/>
  <c r="I24" i="7"/>
  <c r="I25" i="7"/>
  <c r="I27" i="7"/>
  <c r="I3" i="7"/>
  <c r="I11" i="7"/>
  <c r="I12" i="7"/>
  <c r="I13" i="7"/>
  <c r="I14" i="7"/>
  <c r="I15" i="7"/>
  <c r="I16" i="7"/>
  <c r="I17" i="7"/>
  <c r="I18" i="7"/>
  <c r="I19" i="7"/>
  <c r="I20" i="7"/>
  <c r="I21" i="7"/>
  <c r="I22" i="7"/>
  <c r="J2" i="1"/>
  <c r="J4" i="1"/>
  <c r="L3" i="7" s="1"/>
  <c r="J6" i="1"/>
  <c r="L5" i="7" s="1"/>
  <c r="J7" i="1"/>
  <c r="J8" i="1"/>
  <c r="L7" i="7" s="1"/>
  <c r="J9" i="1"/>
  <c r="L25" i="7" s="1"/>
  <c r="J10" i="1"/>
  <c r="L13" i="7" s="1"/>
  <c r="J11" i="1"/>
  <c r="L12" i="7" s="1"/>
  <c r="L28" i="7"/>
  <c r="J12" i="1"/>
  <c r="J13" i="1"/>
  <c r="L8" i="7" s="1"/>
  <c r="A3" i="4"/>
  <c r="B3" i="4" s="1"/>
  <c r="A4" i="4"/>
  <c r="A4" i="5" s="1"/>
  <c r="A5" i="4"/>
  <c r="B5" i="4" s="1"/>
  <c r="A6" i="4"/>
  <c r="D6" i="4" s="1"/>
  <c r="A2" i="4"/>
  <c r="A7" i="4"/>
  <c r="A7" i="5" s="1"/>
  <c r="A8" i="4"/>
  <c r="A8" i="5" s="1"/>
  <c r="A10" i="4"/>
  <c r="B10" i="4" s="1"/>
  <c r="A11" i="4"/>
  <c r="B11" i="4" s="1"/>
  <c r="A12" i="4"/>
  <c r="B12" i="4" s="1"/>
  <c r="A13" i="4"/>
  <c r="A13" i="5" s="1"/>
  <c r="A14" i="4"/>
  <c r="B14" i="4" s="1"/>
  <c r="A15" i="4"/>
  <c r="A15" i="5" s="1"/>
  <c r="A16" i="4"/>
  <c r="B16" i="4" s="1"/>
  <c r="A17" i="4"/>
  <c r="A17" i="6" s="1"/>
  <c r="A18" i="4"/>
  <c r="A18" i="6" s="1"/>
  <c r="A19" i="4"/>
  <c r="A19" i="5" s="1"/>
  <c r="A20" i="4"/>
  <c r="B20" i="4" s="1"/>
  <c r="A21" i="4"/>
  <c r="A21" i="6" s="1"/>
  <c r="A22" i="4"/>
  <c r="B22" i="4" s="1"/>
  <c r="A23" i="4"/>
  <c r="A23" i="5" s="1"/>
  <c r="A24" i="4"/>
  <c r="B24" i="4" s="1"/>
  <c r="A25" i="4"/>
  <c r="A25" i="5" s="1"/>
  <c r="A26" i="4"/>
  <c r="B26" i="4" s="1"/>
  <c r="A27" i="4"/>
  <c r="A27" i="5" s="1"/>
  <c r="A28" i="4"/>
  <c r="A29" i="4"/>
  <c r="A29" i="6" s="1"/>
  <c r="A30" i="4"/>
  <c r="A30" i="6" s="1"/>
  <c r="D8" i="7"/>
  <c r="E8" i="7"/>
  <c r="F8" i="7"/>
  <c r="G8" i="7"/>
  <c r="H8" i="7"/>
  <c r="A2" i="5"/>
  <c r="D2" i="5" s="1"/>
  <c r="J24" i="7"/>
  <c r="J26" i="7"/>
  <c r="D9" i="7"/>
  <c r="E9" i="7"/>
  <c r="F9" i="7"/>
  <c r="G9" i="7"/>
  <c r="H9" i="7"/>
  <c r="M2" i="4"/>
  <c r="I26" i="7"/>
  <c r="D23" i="7"/>
  <c r="E23" i="7"/>
  <c r="E24" i="7"/>
  <c r="E25" i="7"/>
  <c r="F23" i="7"/>
  <c r="F24" i="7"/>
  <c r="F25" i="7"/>
  <c r="G23" i="7"/>
  <c r="G24" i="7"/>
  <c r="G25" i="7"/>
  <c r="H23" i="7"/>
  <c r="H24" i="7"/>
  <c r="H25" i="7"/>
  <c r="L24" i="7"/>
  <c r="D2" i="7"/>
  <c r="D3" i="7"/>
  <c r="D5" i="7"/>
  <c r="D6" i="7"/>
  <c r="D7" i="7"/>
  <c r="D11" i="7"/>
  <c r="D12" i="7"/>
  <c r="D13" i="7"/>
  <c r="D14" i="7"/>
  <c r="D15" i="7"/>
  <c r="D16" i="7"/>
  <c r="D17" i="7"/>
  <c r="D18" i="7"/>
  <c r="D19" i="7"/>
  <c r="D20" i="7"/>
  <c r="D21" i="7"/>
  <c r="D22" i="7"/>
  <c r="D24" i="7"/>
  <c r="D32" i="7"/>
  <c r="D33" i="7"/>
  <c r="D34" i="7"/>
  <c r="D35" i="7"/>
  <c r="J2" i="4"/>
  <c r="I2" i="4"/>
  <c r="N2" i="7"/>
  <c r="N29" i="7"/>
  <c r="N30" i="7"/>
  <c r="N31" i="7"/>
  <c r="N32" i="7"/>
  <c r="N33" i="7"/>
  <c r="N34" i="7"/>
  <c r="N35" i="7"/>
  <c r="E2" i="7"/>
  <c r="F2" i="7"/>
  <c r="G2" i="7"/>
  <c r="H2" i="7"/>
  <c r="I2" i="7"/>
  <c r="J2" i="7"/>
  <c r="L2" i="7"/>
  <c r="M2" i="7"/>
  <c r="G18" i="7"/>
  <c r="E5" i="7"/>
  <c r="F5" i="7"/>
  <c r="G5" i="7"/>
  <c r="H5" i="7"/>
  <c r="E6" i="7"/>
  <c r="F6" i="7"/>
  <c r="G6" i="7"/>
  <c r="H6" i="7"/>
  <c r="E7" i="7"/>
  <c r="F7" i="7"/>
  <c r="G7" i="7"/>
  <c r="H7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L15" i="7"/>
  <c r="E16" i="7"/>
  <c r="F16" i="7"/>
  <c r="G16" i="7"/>
  <c r="H16" i="7"/>
  <c r="E17" i="7"/>
  <c r="F17" i="7"/>
  <c r="G17" i="7"/>
  <c r="H17" i="7"/>
  <c r="E18" i="7"/>
  <c r="F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L21" i="7"/>
  <c r="E22" i="7"/>
  <c r="F22" i="7"/>
  <c r="G22" i="7"/>
  <c r="H22" i="7"/>
  <c r="L22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I29" i="7"/>
  <c r="J29" i="7"/>
  <c r="L29" i="7"/>
  <c r="M29" i="7"/>
  <c r="E30" i="7"/>
  <c r="F30" i="7"/>
  <c r="G30" i="7"/>
  <c r="H30" i="7"/>
  <c r="I30" i="7"/>
  <c r="J30" i="7"/>
  <c r="L30" i="7"/>
  <c r="M30" i="7"/>
  <c r="E31" i="7"/>
  <c r="F31" i="7"/>
  <c r="G31" i="7"/>
  <c r="H31" i="7"/>
  <c r="I31" i="7"/>
  <c r="J31" i="7"/>
  <c r="L31" i="7"/>
  <c r="M31" i="7"/>
  <c r="E32" i="7"/>
  <c r="F32" i="7"/>
  <c r="G32" i="7"/>
  <c r="H32" i="7"/>
  <c r="I32" i="7"/>
  <c r="J32" i="7"/>
  <c r="L32" i="7"/>
  <c r="M32" i="7"/>
  <c r="E33" i="7"/>
  <c r="F33" i="7"/>
  <c r="G33" i="7"/>
  <c r="H33" i="7"/>
  <c r="I33" i="7"/>
  <c r="J33" i="7"/>
  <c r="L33" i="7"/>
  <c r="M33" i="7"/>
  <c r="E34" i="7"/>
  <c r="F34" i="7"/>
  <c r="G34" i="7"/>
  <c r="H34" i="7"/>
  <c r="I34" i="7"/>
  <c r="J34" i="7"/>
  <c r="L34" i="7"/>
  <c r="M34" i="7"/>
  <c r="E35" i="7"/>
  <c r="F35" i="7"/>
  <c r="G35" i="7"/>
  <c r="H35" i="7"/>
  <c r="I35" i="7"/>
  <c r="J35" i="7"/>
  <c r="L35" i="7"/>
  <c r="M35" i="7"/>
  <c r="H3" i="7"/>
  <c r="G3" i="7"/>
  <c r="F3" i="7"/>
  <c r="E3" i="7"/>
  <c r="A2" i="6"/>
  <c r="B2" i="6" s="1"/>
  <c r="N2" i="4"/>
  <c r="K2" i="4"/>
  <c r="A23" i="6" l="1"/>
  <c r="A11" i="6"/>
  <c r="A19" i="6"/>
  <c r="C19" i="6" s="1"/>
  <c r="I34" i="4"/>
  <c r="B30" i="6"/>
  <c r="I33" i="4"/>
  <c r="G34" i="5"/>
  <c r="B36" i="6"/>
  <c r="B37" i="6"/>
  <c r="G36" i="5"/>
  <c r="G37" i="5"/>
  <c r="C36" i="6"/>
  <c r="C37" i="6"/>
  <c r="C2" i="4"/>
  <c r="H2" i="4" s="1"/>
  <c r="C37" i="5"/>
  <c r="D37" i="5"/>
  <c r="B29" i="6"/>
  <c r="A12" i="6"/>
  <c r="C12" i="6" s="1"/>
  <c r="B36" i="5"/>
  <c r="B37" i="5"/>
  <c r="B2" i="5"/>
  <c r="F2" i="5" s="1"/>
  <c r="A16" i="6"/>
  <c r="B16" i="6" s="1"/>
  <c r="A9" i="6"/>
  <c r="C9" i="6" s="1"/>
  <c r="A24" i="6"/>
  <c r="C24" i="6" s="1"/>
  <c r="A15" i="6"/>
  <c r="C15" i="6" s="1"/>
  <c r="A7" i="6"/>
  <c r="C7" i="6" s="1"/>
  <c r="A9" i="5"/>
  <c r="B34" i="6"/>
  <c r="B32" i="6"/>
  <c r="G35" i="5"/>
  <c r="C34" i="6"/>
  <c r="G33" i="5"/>
  <c r="C33" i="6"/>
  <c r="G32" i="5"/>
  <c r="C32" i="6"/>
  <c r="G31" i="5"/>
  <c r="C31" i="6"/>
  <c r="C30" i="6"/>
  <c r="C29" i="6"/>
  <c r="I32" i="4"/>
  <c r="B31" i="6"/>
  <c r="B35" i="5"/>
  <c r="B34" i="5"/>
  <c r="B33" i="5"/>
  <c r="B32" i="5"/>
  <c r="B31" i="5"/>
  <c r="I35" i="4"/>
  <c r="I31" i="4"/>
  <c r="A22" i="5"/>
  <c r="G22" i="5" s="1"/>
  <c r="B33" i="6"/>
  <c r="A6" i="6"/>
  <c r="C6" i="6" s="1"/>
  <c r="A18" i="5"/>
  <c r="G18" i="5" s="1"/>
  <c r="L11" i="7"/>
  <c r="B13" i="5" s="1"/>
  <c r="D34" i="5"/>
  <c r="D36" i="5"/>
  <c r="F36" i="5" s="1"/>
  <c r="A30" i="5"/>
  <c r="G30" i="5" s="1"/>
  <c r="D35" i="5"/>
  <c r="B28" i="4"/>
  <c r="A28" i="6"/>
  <c r="B28" i="6" s="1"/>
  <c r="C35" i="5"/>
  <c r="C36" i="5"/>
  <c r="C34" i="5"/>
  <c r="L18" i="7"/>
  <c r="L16" i="7"/>
  <c r="I29" i="4"/>
  <c r="L14" i="7"/>
  <c r="B15" i="5" s="1"/>
  <c r="L20" i="7"/>
  <c r="L19" i="7"/>
  <c r="D32" i="5"/>
  <c r="D31" i="5"/>
  <c r="C31" i="5"/>
  <c r="D33" i="5"/>
  <c r="C33" i="5"/>
  <c r="C32" i="5"/>
  <c r="C2" i="6"/>
  <c r="I9" i="4"/>
  <c r="A25" i="6"/>
  <c r="C25" i="6" s="1"/>
  <c r="A17" i="5"/>
  <c r="G17" i="5" s="1"/>
  <c r="A5" i="5"/>
  <c r="G5" i="5" s="1"/>
  <c r="B7" i="5"/>
  <c r="A5" i="6"/>
  <c r="C5" i="6" s="1"/>
  <c r="C2" i="5"/>
  <c r="A20" i="6"/>
  <c r="C20" i="6" s="1"/>
  <c r="A13" i="6"/>
  <c r="B13" i="6" s="1"/>
  <c r="A8" i="6"/>
  <c r="B8" i="6" s="1"/>
  <c r="A4" i="6"/>
  <c r="C4" i="6" s="1"/>
  <c r="A16" i="5"/>
  <c r="A20" i="5"/>
  <c r="A12" i="5"/>
  <c r="G12" i="5" s="1"/>
  <c r="A3" i="6"/>
  <c r="C3" i="6" s="1"/>
  <c r="A3" i="5"/>
  <c r="B3" i="5" s="1"/>
  <c r="B5" i="5"/>
  <c r="A29" i="5"/>
  <c r="G29" i="5" s="1"/>
  <c r="A21" i="5"/>
  <c r="A10" i="5"/>
  <c r="G10" i="5" s="1"/>
  <c r="A40" i="6"/>
  <c r="C40" i="6" s="1"/>
  <c r="L9" i="7"/>
  <c r="A26" i="5"/>
  <c r="A14" i="5"/>
  <c r="G14" i="5" s="1"/>
  <c r="B8" i="5"/>
  <c r="B15" i="6"/>
  <c r="A27" i="6"/>
  <c r="A28" i="5"/>
  <c r="A35" i="6"/>
  <c r="C35" i="6" s="1"/>
  <c r="A24" i="5"/>
  <c r="G24" i="5" s="1"/>
  <c r="B23" i="6"/>
  <c r="L27" i="7"/>
  <c r="L23" i="7"/>
  <c r="B25" i="5" s="1"/>
  <c r="C16" i="6"/>
  <c r="B21" i="6"/>
  <c r="L26" i="7"/>
  <c r="B27" i="5" s="1"/>
  <c r="L17" i="7"/>
  <c r="C17" i="6"/>
  <c r="B30" i="4"/>
  <c r="D30" i="4"/>
  <c r="E30" i="4" s="1"/>
  <c r="A11" i="5"/>
  <c r="B11" i="5" s="1"/>
  <c r="B29" i="4"/>
  <c r="D29" i="4"/>
  <c r="E29" i="4" s="1"/>
  <c r="B25" i="4"/>
  <c r="D25" i="4"/>
  <c r="B21" i="4"/>
  <c r="D21" i="4"/>
  <c r="B17" i="4"/>
  <c r="D17" i="4"/>
  <c r="B13" i="4"/>
  <c r="D13" i="4"/>
  <c r="B8" i="4"/>
  <c r="D8" i="4"/>
  <c r="B7" i="4"/>
  <c r="D7" i="4"/>
  <c r="B4" i="4"/>
  <c r="D4" i="4"/>
  <c r="B27" i="4"/>
  <c r="D27" i="4"/>
  <c r="B23" i="4"/>
  <c r="D23" i="4"/>
  <c r="B19" i="4"/>
  <c r="D19" i="4"/>
  <c r="B15" i="4"/>
  <c r="D15" i="4"/>
  <c r="L2" i="4"/>
  <c r="D2" i="4"/>
  <c r="E2" i="4" s="1"/>
  <c r="I28" i="7"/>
  <c r="B17" i="6"/>
  <c r="C18" i="6"/>
  <c r="I8" i="4"/>
  <c r="O2" i="4"/>
  <c r="G7" i="5"/>
  <c r="J28" i="7"/>
  <c r="I12" i="4"/>
  <c r="A41" i="6"/>
  <c r="A26" i="6"/>
  <c r="A10" i="6"/>
  <c r="I30" i="4"/>
  <c r="I27" i="4"/>
  <c r="I25" i="4"/>
  <c r="I23" i="4"/>
  <c r="I21" i="4"/>
  <c r="I19" i="4"/>
  <c r="I17" i="4"/>
  <c r="I15" i="4"/>
  <c r="B18" i="4"/>
  <c r="B6" i="4"/>
  <c r="I4" i="4"/>
  <c r="I14" i="4"/>
  <c r="I6" i="4"/>
  <c r="A14" i="6"/>
  <c r="C21" i="6"/>
  <c r="B11" i="6"/>
  <c r="C23" i="6"/>
  <c r="B9" i="6"/>
  <c r="G8" i="5"/>
  <c r="G4" i="5"/>
  <c r="I13" i="4"/>
  <c r="I11" i="4"/>
  <c r="I7" i="4"/>
  <c r="I3" i="4"/>
  <c r="I5" i="4"/>
  <c r="G2" i="5"/>
  <c r="H2" i="5" s="1"/>
  <c r="I10" i="4"/>
  <c r="A22" i="6"/>
  <c r="B18" i="6"/>
  <c r="C11" i="6"/>
  <c r="A6" i="5"/>
  <c r="B6" i="5" s="1"/>
  <c r="B4" i="5"/>
  <c r="G27" i="5"/>
  <c r="G25" i="5"/>
  <c r="G23" i="5"/>
  <c r="G19" i="5"/>
  <c r="G15" i="5"/>
  <c r="G13" i="5"/>
  <c r="G9" i="5"/>
  <c r="I28" i="4"/>
  <c r="I26" i="4"/>
  <c r="I24" i="4"/>
  <c r="I22" i="4"/>
  <c r="I20" i="4"/>
  <c r="I18" i="4"/>
  <c r="I16" i="4"/>
  <c r="C3" i="4"/>
  <c r="H3" i="4" s="1"/>
  <c r="B23" i="5" l="1"/>
  <c r="B19" i="6"/>
  <c r="B9" i="5"/>
  <c r="B30" i="5"/>
  <c r="H34" i="5"/>
  <c r="E36" i="5"/>
  <c r="B4" i="6"/>
  <c r="C35" i="4"/>
  <c r="C34" i="4"/>
  <c r="H32" i="5"/>
  <c r="B3" i="6"/>
  <c r="B12" i="5"/>
  <c r="H35" i="5"/>
  <c r="B7" i="6"/>
  <c r="E31" i="5"/>
  <c r="E35" i="5"/>
  <c r="G2" i="4"/>
  <c r="B12" i="6"/>
  <c r="B29" i="5"/>
  <c r="F37" i="5"/>
  <c r="E37" i="5"/>
  <c r="H37" i="5"/>
  <c r="B26" i="5"/>
  <c r="E2" i="5"/>
  <c r="B14" i="5"/>
  <c r="B22" i="5"/>
  <c r="G11" i="5"/>
  <c r="E32" i="5"/>
  <c r="H36" i="5"/>
  <c r="E33" i="5"/>
  <c r="H33" i="5"/>
  <c r="F34" i="5"/>
  <c r="B24" i="6"/>
  <c r="C8" i="6"/>
  <c r="C28" i="6"/>
  <c r="B18" i="5"/>
  <c r="H31" i="5"/>
  <c r="B17" i="5"/>
  <c r="B6" i="6"/>
  <c r="E34" i="5"/>
  <c r="B20" i="5"/>
  <c r="F35" i="5"/>
  <c r="B20" i="6"/>
  <c r="B40" i="6"/>
  <c r="B25" i="6"/>
  <c r="K35" i="4"/>
  <c r="J35" i="4" s="1"/>
  <c r="L35" i="4" s="1"/>
  <c r="N35" i="4"/>
  <c r="M35" i="4" s="1"/>
  <c r="O35" i="4" s="1"/>
  <c r="N34" i="4"/>
  <c r="M34" i="4" s="1"/>
  <c r="O34" i="4" s="1"/>
  <c r="K34" i="4"/>
  <c r="J34" i="4" s="1"/>
  <c r="L34" i="4" s="1"/>
  <c r="G34" i="4" s="1"/>
  <c r="B16" i="5"/>
  <c r="B21" i="5"/>
  <c r="F33" i="5"/>
  <c r="N3" i="5"/>
  <c r="F31" i="5"/>
  <c r="F32" i="5"/>
  <c r="B10" i="5"/>
  <c r="N32" i="4"/>
  <c r="M32" i="4" s="1"/>
  <c r="O32" i="4" s="1"/>
  <c r="K32" i="4"/>
  <c r="J32" i="4" s="1"/>
  <c r="L32" i="4" s="1"/>
  <c r="B28" i="5"/>
  <c r="C13" i="6"/>
  <c r="N33" i="4"/>
  <c r="M33" i="4" s="1"/>
  <c r="O33" i="4" s="1"/>
  <c r="N31" i="4"/>
  <c r="M31" i="4" s="1"/>
  <c r="O31" i="4" s="1"/>
  <c r="K33" i="4"/>
  <c r="J33" i="4" s="1"/>
  <c r="L33" i="4" s="1"/>
  <c r="K31" i="4"/>
  <c r="J31" i="4" s="1"/>
  <c r="L31" i="4" s="1"/>
  <c r="K30" i="4"/>
  <c r="J30" i="4" s="1"/>
  <c r="L30" i="4" s="1"/>
  <c r="N30" i="4"/>
  <c r="M30" i="4" s="1"/>
  <c r="O30" i="4" s="1"/>
  <c r="B19" i="5"/>
  <c r="C7" i="4"/>
  <c r="G26" i="5"/>
  <c r="C8" i="4"/>
  <c r="G20" i="5"/>
  <c r="B24" i="5"/>
  <c r="G16" i="5"/>
  <c r="B5" i="6"/>
  <c r="G3" i="5"/>
  <c r="G21" i="5"/>
  <c r="B35" i="6"/>
  <c r="B14" i="6"/>
  <c r="C26" i="6"/>
  <c r="C27" i="6"/>
  <c r="C22" i="6"/>
  <c r="C14" i="6"/>
  <c r="B26" i="6"/>
  <c r="B27" i="6"/>
  <c r="G28" i="5"/>
  <c r="F2" i="4"/>
  <c r="F29" i="4"/>
  <c r="B22" i="6"/>
  <c r="K8" i="4"/>
  <c r="J8" i="4" s="1"/>
  <c r="L8" i="4" s="1"/>
  <c r="C5" i="4"/>
  <c r="F30" i="4"/>
  <c r="N8" i="4"/>
  <c r="M8" i="4" s="1"/>
  <c r="O8" i="4" s="1"/>
  <c r="F8" i="4"/>
  <c r="D8" i="5" s="1"/>
  <c r="E8" i="4"/>
  <c r="C8" i="5" s="1"/>
  <c r="E8" i="5" s="1"/>
  <c r="G6" i="5"/>
  <c r="B41" i="6"/>
  <c r="C41" i="6"/>
  <c r="N29" i="4"/>
  <c r="M29" i="4" s="1"/>
  <c r="O29" i="4" s="1"/>
  <c r="N28" i="4" s="1"/>
  <c r="B10" i="6"/>
  <c r="C10" i="6"/>
  <c r="K29" i="4"/>
  <c r="J29" i="4" s="1"/>
  <c r="L29" i="4" s="1"/>
  <c r="K28" i="4" s="1"/>
  <c r="N27" i="4"/>
  <c r="M27" i="4" s="1"/>
  <c r="O27" i="4" s="1"/>
  <c r="G3" i="4"/>
  <c r="K27" i="4"/>
  <c r="J27" i="4" s="1"/>
  <c r="L27" i="4" s="1"/>
  <c r="F27" i="4"/>
  <c r="H34" i="4" l="1"/>
  <c r="H35" i="4"/>
  <c r="G35" i="4"/>
  <c r="H8" i="4"/>
  <c r="G8" i="4"/>
  <c r="C42" i="6"/>
  <c r="M28" i="4"/>
  <c r="O28" i="4" s="1"/>
  <c r="K9" i="4"/>
  <c r="H8" i="5"/>
  <c r="F8" i="5"/>
  <c r="N26" i="4"/>
  <c r="J28" i="4"/>
  <c r="L28" i="4" s="1"/>
  <c r="K25" i="4" s="1"/>
  <c r="E27" i="4"/>
  <c r="K26" i="4" l="1"/>
  <c r="J26" i="4" s="1"/>
  <c r="L26" i="4" s="1"/>
  <c r="J25" i="4"/>
  <c r="L25" i="4" s="1"/>
  <c r="E25" i="4"/>
  <c r="C25" i="5" s="1"/>
  <c r="E25" i="5" s="1"/>
  <c r="J9" i="4"/>
  <c r="L9" i="4" s="1"/>
  <c r="M26" i="4"/>
  <c r="O26" i="4" s="1"/>
  <c r="K24" i="4" l="1"/>
  <c r="J24" i="4" s="1"/>
  <c r="L24" i="4" s="1"/>
  <c r="K23" i="4" s="1"/>
  <c r="J23" i="4" s="1"/>
  <c r="L23" i="4" s="1"/>
  <c r="K22" i="4" s="1"/>
  <c r="J22" i="4" s="1"/>
  <c r="L22" i="4" s="1"/>
  <c r="K21" i="4" s="1"/>
  <c r="J21" i="4" s="1"/>
  <c r="L21" i="4" s="1"/>
  <c r="K20" i="4" s="1"/>
  <c r="J20" i="4" s="1"/>
  <c r="L20" i="4" s="1"/>
  <c r="K19" i="4" s="1"/>
  <c r="N25" i="4"/>
  <c r="E23" i="4" l="1"/>
  <c r="C23" i="5" s="1"/>
  <c r="E23" i="5" s="1"/>
  <c r="K7" i="4"/>
  <c r="J19" i="4"/>
  <c r="L19" i="4" s="1"/>
  <c r="K18" i="4" s="1"/>
  <c r="J18" i="4" s="1"/>
  <c r="L18" i="4" s="1"/>
  <c r="K17" i="4" s="1"/>
  <c r="E19" i="4"/>
  <c r="C19" i="5" s="1"/>
  <c r="E19" i="5" s="1"/>
  <c r="M25" i="4"/>
  <c r="O25" i="4" s="1"/>
  <c r="N24" i="4" s="1"/>
  <c r="M24" i="4" s="1"/>
  <c r="O24" i="4" s="1"/>
  <c r="F25" i="4"/>
  <c r="D25" i="5" s="1"/>
  <c r="E21" i="4"/>
  <c r="C21" i="5" s="1"/>
  <c r="E21" i="5" s="1"/>
  <c r="J7" i="4" l="1"/>
  <c r="L7" i="4" s="1"/>
  <c r="E7" i="4"/>
  <c r="C7" i="5" s="1"/>
  <c r="E7" i="5" s="1"/>
  <c r="J17" i="4"/>
  <c r="L17" i="4" s="1"/>
  <c r="K16" i="4" s="1"/>
  <c r="J16" i="4" s="1"/>
  <c r="L16" i="4" s="1"/>
  <c r="K15" i="4" s="1"/>
  <c r="E17" i="4"/>
  <c r="C17" i="5" s="1"/>
  <c r="E17" i="5" s="1"/>
  <c r="H25" i="5"/>
  <c r="F25" i="5"/>
  <c r="N23" i="4"/>
  <c r="G7" i="4" l="1"/>
  <c r="K6" i="4"/>
  <c r="J15" i="4"/>
  <c r="L15" i="4" s="1"/>
  <c r="K14" i="4" s="1"/>
  <c r="J14" i="4" s="1"/>
  <c r="L14" i="4" s="1"/>
  <c r="K13" i="4" s="1"/>
  <c r="E15" i="4"/>
  <c r="C15" i="5" s="1"/>
  <c r="E15" i="5" s="1"/>
  <c r="M23" i="4"/>
  <c r="O23" i="4" s="1"/>
  <c r="N22" i="4" s="1"/>
  <c r="F23" i="4"/>
  <c r="D23" i="5" s="1"/>
  <c r="N9" i="4"/>
  <c r="E6" i="4" l="1"/>
  <c r="C6" i="5" s="1"/>
  <c r="E6" i="5" s="1"/>
  <c r="J6" i="4"/>
  <c r="L6" i="4" s="1"/>
  <c r="K5" i="4" s="1"/>
  <c r="J5" i="4" s="1"/>
  <c r="L5" i="4" s="1"/>
  <c r="G5" i="4" s="1"/>
  <c r="J13" i="4"/>
  <c r="L13" i="4" s="1"/>
  <c r="K12" i="4" s="1"/>
  <c r="J12" i="4" s="1"/>
  <c r="L12" i="4" s="1"/>
  <c r="K11" i="4" s="1"/>
  <c r="J11" i="4" s="1"/>
  <c r="L11" i="4" s="1"/>
  <c r="K10" i="4" s="1"/>
  <c r="J10" i="4" s="1"/>
  <c r="L10" i="4" s="1"/>
  <c r="E13" i="4"/>
  <c r="C13" i="5" s="1"/>
  <c r="E13" i="5" s="1"/>
  <c r="H23" i="5"/>
  <c r="F23" i="5"/>
  <c r="M9" i="4"/>
  <c r="O9" i="4" s="1"/>
  <c r="N7" i="4" s="1"/>
  <c r="M22" i="4"/>
  <c r="O22" i="4" s="1"/>
  <c r="K3" i="4" l="1"/>
  <c r="J3" i="4" s="1"/>
  <c r="L3" i="4" s="1"/>
  <c r="K4" i="4"/>
  <c r="F7" i="4"/>
  <c r="M7" i="4"/>
  <c r="O7" i="4" s="1"/>
  <c r="N6" i="4" s="1"/>
  <c r="N21" i="4"/>
  <c r="F6" i="4" l="1"/>
  <c r="D6" i="5" s="1"/>
  <c r="M6" i="4"/>
  <c r="O6" i="4" s="1"/>
  <c r="N5" i="4" s="1"/>
  <c r="M5" i="4" s="1"/>
  <c r="O5" i="4" s="1"/>
  <c r="H5" i="4" s="1"/>
  <c r="E4" i="4"/>
  <c r="J4" i="4"/>
  <c r="L4" i="4" s="1"/>
  <c r="H7" i="4"/>
  <c r="D7" i="5"/>
  <c r="M21" i="4"/>
  <c r="O21" i="4" s="1"/>
  <c r="N20" i="4" s="1"/>
  <c r="F21" i="4"/>
  <c r="D21" i="5" s="1"/>
  <c r="H6" i="5" l="1"/>
  <c r="F6" i="5"/>
  <c r="C4" i="5"/>
  <c r="E4" i="5" s="1"/>
  <c r="P3" i="5"/>
  <c r="Q3" i="5" s="1"/>
  <c r="F7" i="5"/>
  <c r="H7" i="5"/>
  <c r="F21" i="5"/>
  <c r="H21" i="5"/>
  <c r="M20" i="4"/>
  <c r="O20" i="4" s="1"/>
  <c r="N19" i="4" l="1"/>
  <c r="M19" i="4" l="1"/>
  <c r="O19" i="4" s="1"/>
  <c r="N18" i="4" s="1"/>
  <c r="F19" i="4"/>
  <c r="D19" i="5" s="1"/>
  <c r="H19" i="5" l="1"/>
  <c r="F19" i="5"/>
  <c r="M18" i="4"/>
  <c r="O18" i="4" s="1"/>
  <c r="N17" i="4" l="1"/>
  <c r="M17" i="4" l="1"/>
  <c r="O17" i="4" s="1"/>
  <c r="F17" i="4"/>
  <c r="D17" i="5" s="1"/>
  <c r="N16" i="4" l="1"/>
  <c r="M16" i="4" s="1"/>
  <c r="O16" i="4" s="1"/>
  <c r="N15" i="4" s="1"/>
  <c r="F17" i="5"/>
  <c r="H17" i="5"/>
  <c r="D20" i="4"/>
  <c r="F20" i="4" s="1"/>
  <c r="D20" i="5" s="1"/>
  <c r="D18" i="4"/>
  <c r="D10" i="4"/>
  <c r="D26" i="4"/>
  <c r="D12" i="4"/>
  <c r="D11" i="4"/>
  <c r="D9" i="4"/>
  <c r="F9" i="4" s="1"/>
  <c r="D3" i="4"/>
  <c r="D24" i="4"/>
  <c r="D14" i="4"/>
  <c r="D16" i="4"/>
  <c r="F16" i="4" s="1"/>
  <c r="D16" i="5" s="1"/>
  <c r="D28" i="4"/>
  <c r="E28" i="4" s="1"/>
  <c r="D5" i="4"/>
  <c r="D22" i="4"/>
  <c r="E22" i="4" s="1"/>
  <c r="C22" i="5" s="1"/>
  <c r="E22" i="5" s="1"/>
  <c r="F26" i="4" l="1"/>
  <c r="C33" i="4"/>
  <c r="M15" i="4"/>
  <c r="O15" i="4" s="1"/>
  <c r="N14" i="4" s="1"/>
  <c r="M14" i="4" s="1"/>
  <c r="O14" i="4" s="1"/>
  <c r="N13" i="4" s="1"/>
  <c r="F15" i="4"/>
  <c r="D15" i="5" s="1"/>
  <c r="C25" i="4"/>
  <c r="H25" i="4" s="1"/>
  <c r="C31" i="4"/>
  <c r="C32" i="4"/>
  <c r="C30" i="4"/>
  <c r="D29" i="5"/>
  <c r="H29" i="5" s="1"/>
  <c r="D30" i="5"/>
  <c r="D26" i="5"/>
  <c r="H26" i="5" s="1"/>
  <c r="D27" i="5"/>
  <c r="C15" i="4"/>
  <c r="C19" i="4"/>
  <c r="H19" i="4" s="1"/>
  <c r="F5" i="4"/>
  <c r="C6" i="4"/>
  <c r="H6" i="4" s="1"/>
  <c r="E5" i="4"/>
  <c r="C21" i="4"/>
  <c r="G21" i="4" s="1"/>
  <c r="C17" i="4"/>
  <c r="H17" i="4" s="1"/>
  <c r="E16" i="4"/>
  <c r="C16" i="5" s="1"/>
  <c r="E16" i="5" s="1"/>
  <c r="E9" i="4"/>
  <c r="C9" i="5" s="1"/>
  <c r="E9" i="5" s="1"/>
  <c r="E3" i="4"/>
  <c r="P2" i="5" s="1"/>
  <c r="C26" i="4"/>
  <c r="H26" i="4" s="1"/>
  <c r="F24" i="4"/>
  <c r="D24" i="5" s="1"/>
  <c r="H24" i="5" s="1"/>
  <c r="C23" i="4"/>
  <c r="G23" i="4" s="1"/>
  <c r="E20" i="4"/>
  <c r="C20" i="5" s="1"/>
  <c r="E20" i="5" s="1"/>
  <c r="C10" i="4"/>
  <c r="G10" i="4" s="1"/>
  <c r="C20" i="4"/>
  <c r="H20" i="4" s="1"/>
  <c r="E14" i="4"/>
  <c r="C14" i="5" s="1"/>
  <c r="E14" i="5" s="1"/>
  <c r="F14" i="4"/>
  <c r="D14" i="5" s="1"/>
  <c r="F14" i="5" s="1"/>
  <c r="E11" i="4"/>
  <c r="F18" i="4"/>
  <c r="D18" i="5" s="1"/>
  <c r="F18" i="5" s="1"/>
  <c r="E18" i="4"/>
  <c r="C18" i="5" s="1"/>
  <c r="E18" i="5" s="1"/>
  <c r="H16" i="5"/>
  <c r="F16" i="5"/>
  <c r="F24" i="5"/>
  <c r="D9" i="5"/>
  <c r="F20" i="5"/>
  <c r="H20" i="5"/>
  <c r="F22" i="4"/>
  <c r="D22" i="5" s="1"/>
  <c r="E24" i="4"/>
  <c r="C24" i="5" s="1"/>
  <c r="E24" i="5" s="1"/>
  <c r="N2" i="5"/>
  <c r="C13" i="4"/>
  <c r="C16" i="4"/>
  <c r="E26" i="4"/>
  <c r="C30" i="5" s="1"/>
  <c r="E30" i="5" s="1"/>
  <c r="C9" i="4"/>
  <c r="C11" i="4"/>
  <c r="C28" i="4"/>
  <c r="C18" i="4"/>
  <c r="C22" i="4"/>
  <c r="C27" i="4"/>
  <c r="C4" i="4"/>
  <c r="E10" i="4"/>
  <c r="C29" i="4"/>
  <c r="C14" i="4"/>
  <c r="C12" i="4"/>
  <c r="F28" i="4"/>
  <c r="D28" i="5" s="1"/>
  <c r="C24" i="4"/>
  <c r="E12" i="4"/>
  <c r="C12" i="5" s="1"/>
  <c r="E12" i="5" s="1"/>
  <c r="F26" i="5" l="1"/>
  <c r="H15" i="4"/>
  <c r="G33" i="4"/>
  <c r="H33" i="4"/>
  <c r="G25" i="4"/>
  <c r="H15" i="5"/>
  <c r="F15" i="5"/>
  <c r="M13" i="4"/>
  <c r="O13" i="4" s="1"/>
  <c r="N12" i="4" s="1"/>
  <c r="F13" i="4"/>
  <c r="D13" i="5" s="1"/>
  <c r="G31" i="4"/>
  <c r="H31" i="4"/>
  <c r="G30" i="4"/>
  <c r="H30" i="4"/>
  <c r="G32" i="4"/>
  <c r="H32" i="4"/>
  <c r="F29" i="5"/>
  <c r="F30" i="5"/>
  <c r="H30" i="5"/>
  <c r="C28" i="5"/>
  <c r="E28" i="5" s="1"/>
  <c r="C29" i="5"/>
  <c r="E29" i="5" s="1"/>
  <c r="G19" i="4"/>
  <c r="G15" i="4"/>
  <c r="C26" i="5"/>
  <c r="E26" i="5" s="1"/>
  <c r="C27" i="5"/>
  <c r="E27" i="5" s="1"/>
  <c r="F27" i="5"/>
  <c r="H27" i="5"/>
  <c r="G6" i="4"/>
  <c r="C5" i="5"/>
  <c r="E5" i="5" s="1"/>
  <c r="D5" i="5"/>
  <c r="G20" i="4"/>
  <c r="H18" i="5"/>
  <c r="C3" i="5"/>
  <c r="E3" i="5" s="1"/>
  <c r="H21" i="4"/>
  <c r="G17" i="4"/>
  <c r="G26" i="4"/>
  <c r="Q2" i="5"/>
  <c r="H14" i="5"/>
  <c r="H23" i="4"/>
  <c r="C11" i="5"/>
  <c r="E11" i="5" s="1"/>
  <c r="H24" i="4"/>
  <c r="G24" i="4"/>
  <c r="H28" i="5"/>
  <c r="F28" i="5"/>
  <c r="G4" i="4"/>
  <c r="H4" i="4"/>
  <c r="H16" i="4"/>
  <c r="G16" i="4"/>
  <c r="G12" i="4"/>
  <c r="C10" i="5"/>
  <c r="E10" i="5" s="1"/>
  <c r="G11" i="4"/>
  <c r="H14" i="4"/>
  <c r="G14" i="4"/>
  <c r="H27" i="4"/>
  <c r="G27" i="4"/>
  <c r="G18" i="4"/>
  <c r="H18" i="4"/>
  <c r="G29" i="4"/>
  <c r="H29" i="4"/>
  <c r="G22" i="4"/>
  <c r="H22" i="4"/>
  <c r="G28" i="4"/>
  <c r="H28" i="4"/>
  <c r="G9" i="4"/>
  <c r="H9" i="4"/>
  <c r="G13" i="4"/>
  <c r="F22" i="5"/>
  <c r="H22" i="5"/>
  <c r="H9" i="5"/>
  <c r="F9" i="5"/>
  <c r="H13" i="4" l="1"/>
  <c r="M12" i="4"/>
  <c r="O12" i="4" s="1"/>
  <c r="F12" i="4"/>
  <c r="D12" i="5" s="1"/>
  <c r="H13" i="5"/>
  <c r="F13" i="5"/>
  <c r="F5" i="5"/>
  <c r="H5" i="5"/>
  <c r="N4" i="4" l="1"/>
  <c r="F4" i="4" s="1"/>
  <c r="N11" i="4"/>
  <c r="H12" i="5"/>
  <c r="F12" i="5"/>
  <c r="H12" i="4"/>
  <c r="M4" i="4" l="1"/>
  <c r="O4" i="4" s="1"/>
  <c r="M11" i="4"/>
  <c r="O11" i="4" s="1"/>
  <c r="N10" i="4" s="1"/>
  <c r="F11" i="4"/>
  <c r="D11" i="5" s="1"/>
  <c r="D4" i="5"/>
  <c r="O3" i="5"/>
  <c r="M10" i="4" l="1"/>
  <c r="O10" i="4" s="1"/>
  <c r="H10" i="4" s="1"/>
  <c r="F10" i="4"/>
  <c r="D10" i="5" s="1"/>
  <c r="F11" i="5"/>
  <c r="H11" i="5"/>
  <c r="H11" i="4"/>
  <c r="N3" i="4"/>
  <c r="H4" i="5"/>
  <c r="F4" i="5"/>
  <c r="F10" i="5" l="1"/>
  <c r="H10" i="5"/>
  <c r="M3" i="4"/>
  <c r="O3" i="4" s="1"/>
  <c r="F3" i="4"/>
  <c r="D3" i="5" l="1"/>
  <c r="O2" i="5"/>
  <c r="H3" i="5" l="1"/>
  <c r="K4" i="5" s="1"/>
  <c r="F3" i="5"/>
  <c r="K3" i="5" s="1"/>
</calcChain>
</file>

<file path=xl/sharedStrings.xml><?xml version="1.0" encoding="utf-8"?>
<sst xmlns="http://schemas.openxmlformats.org/spreadsheetml/2006/main" count="235" uniqueCount="133">
  <si>
    <t>Name</t>
  </si>
  <si>
    <t>Component</t>
  </si>
  <si>
    <t>Manufacturer</t>
  </si>
  <si>
    <t>Source</t>
  </si>
  <si>
    <t>Price</t>
  </si>
  <si>
    <t>ID</t>
  </si>
  <si>
    <t>Victor SP DC Motor Driver</t>
  </si>
  <si>
    <t>https://www.vexrobotics.com/217-9090.html</t>
  </si>
  <si>
    <t>ItemID</t>
  </si>
  <si>
    <t>Output (V)</t>
  </si>
  <si>
    <t>Output (A)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</si>
  <si>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</si>
  <si>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</si>
  <si>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</si>
  <si>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</si>
  <si>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</si>
  <si>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</si>
  <si>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</si>
  <si>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</si>
  <si>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</si>
  <si>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</si>
  <si>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</si>
  <si>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</si>
  <si>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</si>
  <si>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</si>
  <si>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</si>
  <si>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</si>
  <si>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Logic Supply</t>
  </si>
  <si>
    <t>Raspberry Pi</t>
  </si>
  <si>
    <t>Raspberry Pi 3 Rev 1.2</t>
  </si>
  <si>
    <t>Battery Life (hrs)</t>
  </si>
  <si>
    <t>Battery (mAh)</t>
  </si>
  <si>
    <t>Supply Item</t>
  </si>
  <si>
    <t>Status:</t>
  </si>
  <si>
    <t>Ubiquity</t>
  </si>
  <si>
    <t>http://www.doubleradius.com/s.nl/sc.1/category./.f?search=rocket+m3</t>
  </si>
  <si>
    <t>Transceiver</t>
  </si>
  <si>
    <t>Power Rail</t>
  </si>
  <si>
    <t>Voltage (V)</t>
  </si>
  <si>
    <t>Power (W)</t>
  </si>
  <si>
    <t>Wheel Motor</t>
  </si>
  <si>
    <t>Item</t>
  </si>
  <si>
    <t>Cost</t>
  </si>
  <si>
    <t>Grand Total</t>
  </si>
  <si>
    <t>Total Cost</t>
  </si>
  <si>
    <t>Input (V)</t>
  </si>
  <si>
    <t>Peak Consumption (W)</t>
  </si>
  <si>
    <t>Constant Consumption (W)</t>
  </si>
  <si>
    <t>Self Peak Consumption (W)</t>
  </si>
  <si>
    <t>Children Peak Consumption (W)</t>
  </si>
  <si>
    <t>Total Peak Consumption (W)</t>
  </si>
  <si>
    <t>Self Constant Consumption (W)</t>
  </si>
  <si>
    <t>Children Constant Consumption (W)</t>
  </si>
  <si>
    <t>Total Constant Consumption (W)</t>
  </si>
  <si>
    <t>Peak Input (A)</t>
  </si>
  <si>
    <t>Peak Output (A)</t>
  </si>
  <si>
    <t>Constant Input (A)</t>
  </si>
  <si>
    <t>Constant Output (A)</t>
  </si>
  <si>
    <t>Constant % Capacity</t>
  </si>
  <si>
    <t>Peak % Capacity</t>
  </si>
  <si>
    <t>Battery Life:</t>
  </si>
  <si>
    <t>Current Capacity</t>
  </si>
  <si>
    <t>Peak Current Used</t>
  </si>
  <si>
    <t>Constant Current Used</t>
  </si>
  <si>
    <t>Component Name</t>
  </si>
  <si>
    <t>Regulator</t>
  </si>
  <si>
    <t>Quantity</t>
  </si>
  <si>
    <t>Adjustable Linear Voltage Regulator</t>
  </si>
  <si>
    <t>https://www.aliexpress.com/item/DC-Adjustable-Voltage-Regulator-Module-DC-4-5-30V-to-0-8-30V-12A-Buck-Converters/1724570414.html</t>
  </si>
  <si>
    <t>Thoughput Loss</t>
  </si>
  <si>
    <t>20A 24V-&gt;12V Regulator</t>
  </si>
  <si>
    <t>https://www.amazon.com/Nextrox-Converter-Regulator-Step-Down/dp/B00BWKXTUU</t>
  </si>
  <si>
    <t>Nextrox DC/DC Converter Regulator 24V Step Down to 12V 20A 240W</t>
  </si>
  <si>
    <t>Talon SRX DC Motor  Driver</t>
  </si>
  <si>
    <t>Cross The Road Electronics</t>
  </si>
  <si>
    <t>Current (A)</t>
  </si>
  <si>
    <t>LiFePo</t>
  </si>
  <si>
    <t>[INPUT]</t>
  </si>
  <si>
    <t>RM5</t>
  </si>
  <si>
    <t>Ubiquity Rocket M5</t>
  </si>
  <si>
    <t>Network Power</t>
  </si>
  <si>
    <t>Network Switch</t>
  </si>
  <si>
    <t>BatterySpace</t>
  </si>
  <si>
    <t>http://www.batteryspace.com/lipo-battery-pack-tattu-22-2v-12ah-266wh-15c-6s1p.aspx</t>
  </si>
  <si>
    <t>Output Current Limit (A)</t>
  </si>
  <si>
    <t>Discharge (for batteries)</t>
  </si>
  <si>
    <t>Notes</t>
  </si>
  <si>
    <t>12-40V input</t>
  </si>
  <si>
    <t>Peak Current (A)</t>
  </si>
  <si>
    <t>Virtual Node for system isolation</t>
  </si>
  <si>
    <t>Drivetrain Power</t>
  </si>
  <si>
    <t>Total</t>
  </si>
  <si>
    <t>Talon SRX</t>
  </si>
  <si>
    <t>Victor SP</t>
  </si>
  <si>
    <t>PC Fan</t>
  </si>
  <si>
    <t>???</t>
  </si>
  <si>
    <t>12V 4-pin PC Fan</t>
  </si>
  <si>
    <t>LiIon</t>
  </si>
  <si>
    <t>22.2 V Lithuim Polymer Battery back</t>
  </si>
  <si>
    <t>22.2V Lithium Ion Battery Pack</t>
  </si>
  <si>
    <t>Obtained from Lab leftovers</t>
  </si>
  <si>
    <t>Primary Battery Pack</t>
  </si>
  <si>
    <t>E-Box Battery</t>
  </si>
  <si>
    <t>Cooling Fans Power</t>
  </si>
  <si>
    <t>Colling Fan 1</t>
  </si>
  <si>
    <t>Colling Fan 2</t>
  </si>
  <si>
    <t>Colling Fan 3</t>
  </si>
  <si>
    <t>Colling Fan 4</t>
  </si>
  <si>
    <t>Colling Fan 5</t>
  </si>
  <si>
    <t>Colling Fan 6</t>
  </si>
  <si>
    <t>Colling Fan 7</t>
  </si>
  <si>
    <t>Colling Fan 8</t>
  </si>
  <si>
    <t>Aihasd</t>
  </si>
  <si>
    <t>IP Camera</t>
  </si>
  <si>
    <t>ELP 1280720p 1MP Camera</t>
  </si>
  <si>
    <t>https://www.amazon.com/ELP-1280720p-Megapixel-Camera-Network/dp/B00KA4M4WS</t>
  </si>
  <si>
    <t>Hazard Camera 1</t>
  </si>
  <si>
    <t>Hazard Camera 2</t>
  </si>
  <si>
    <t>Hazard Camera 3</t>
  </si>
  <si>
    <t>16-Port network switch</t>
  </si>
  <si>
    <t>Large LiPo</t>
  </si>
  <si>
    <t>Small LiPo</t>
  </si>
  <si>
    <t>Arm Power</t>
  </si>
  <si>
    <t>Speed (RPM)</t>
  </si>
  <si>
    <t>Torque (N·m)</t>
  </si>
  <si>
    <t>Voltage</t>
  </si>
  <si>
    <t>K_s</t>
  </si>
  <si>
    <t>K_t</t>
  </si>
  <si>
    <t>R</t>
  </si>
  <si>
    <t>Stall Current</t>
  </si>
  <si>
    <t>Stall Torque</t>
  </si>
  <si>
    <t>No-Load Speed</t>
  </si>
  <si>
    <t>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</si>
</sst>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.00"/>
    <numFmt numFmtId="165" formatCode="0.0"/>
    <numFmt numFmtId="166" formatCode="#,##0.0"/>
    <numFmt numFmtId="167" formatCode="#\C"/>
    <numFmt numFmtId="168" formatCode="0.###\ &quot;Ohm&quot;"/>
    <numFmt numFmtId="169" formatCode="0.##\ &quot;A&quot;"/>
    <numFmt numFmtId="170" formatCode="0.##\ &quot;Nm&quot;"/>
    <numFmt numFmtId="171" formatCode="0\ &quot;RPM&quot;"/>
    <numFmt numFmtId="172" formatCode="0.##\ &quot;A/Nm&quot;"/>
    <numFmt numFmtId="173" formatCode="##0.0E+0\ &quot;V/RPM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166" fontId="0" fillId="0" borderId="0" xfId="0" applyNumberFormat="1" applyFont="1"/>
    <xf numFmtId="0" fontId="0" fillId="0" borderId="0" xfId="0" applyNumberFormat="1" applyAlignment="1"/>
    <xf numFmtId="164" fontId="0" fillId="0" borderId="0" xfId="0" applyNumberFormat="1" applyAlignment="1"/>
    <xf numFmtId="166" fontId="0" fillId="0" borderId="0" xfId="0" applyNumberFormat="1" applyAlignment="1"/>
    <xf numFmtId="0" fontId="1" fillId="0" borderId="0" xfId="0" applyFont="1" applyAlignment="1"/>
    <xf numFmtId="0" fontId="0" fillId="0" borderId="2" xfId="0" applyBorder="1" applyAlignment="1"/>
    <xf numFmtId="0" fontId="0" fillId="0" borderId="2" xfId="0" applyNumberFormat="1" applyBorder="1" applyAlignment="1"/>
    <xf numFmtId="49" fontId="2" fillId="0" borderId="0" xfId="1" applyNumberFormat="1" applyAlignment="1">
      <alignment wrapText="1"/>
    </xf>
    <xf numFmtId="4" fontId="0" fillId="0" borderId="0" xfId="0" applyNumberFormat="1" applyAlignment="1"/>
    <xf numFmtId="0" fontId="3" fillId="0" borderId="0" xfId="0" applyFont="1" applyBorder="1"/>
    <xf numFmtId="0" fontId="3" fillId="0" borderId="1" xfId="0" applyFont="1" applyBorder="1"/>
    <xf numFmtId="0" fontId="3" fillId="0" borderId="0" xfId="0" applyFont="1"/>
    <xf numFmtId="0" fontId="3" fillId="0" borderId="0" xfId="0" applyNumberFormat="1" applyFont="1" applyBorder="1"/>
    <xf numFmtId="0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167" fontId="0" fillId="0" borderId="0" xfId="0" applyNumberFormat="1"/>
    <xf numFmtId="10" fontId="0" fillId="0" borderId="0" xfId="0" applyNumberFormat="1" applyAlignment="1"/>
    <xf numFmtId="0" fontId="0" fillId="0" borderId="0" xfId="0" applyNumberFormat="1" applyFont="1"/>
    <xf numFmtId="0" fontId="0" fillId="0" borderId="0" xfId="0" applyNumberFormat="1" applyFont="1" applyBorder="1"/>
    <xf numFmtId="165" fontId="0" fillId="0" borderId="0" xfId="0" applyNumberFormat="1" applyFont="1"/>
    <xf numFmtId="2" fontId="0" fillId="0" borderId="0" xfId="0" applyNumberFormat="1" applyFon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wrapText="1"/>
    </xf>
  </cellXfs>
  <cellStyles count="2">
    <cellStyle name="Hyperlink" xfId="1" builtinId="8"/>
    <cellStyle name="Normal" xfId="0" builtinId="0"/>
  </cellStyles>
  <dxfs count="8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numFmt numFmtId="164" formatCode="&quot;$&quot;#,##0.00"/>
    </dxf>
    <dxf>
      <numFmt numFmtId="0" formatCode="General"/>
    </dxf>
    <dxf>
      <numFmt numFmtId="0" formatCode="General"/>
    </dxf>
    <dxf>
      <numFmt numFmtId="164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4" formatCode="0.00%"/>
    </dxf>
    <dxf>
      <numFmt numFmtId="14" formatCode="0.00%"/>
    </dxf>
    <dxf>
      <numFmt numFmtId="166" formatCode="#,##0.0"/>
    </dxf>
    <dxf>
      <numFmt numFmtId="166" formatCode="#,##0.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4" formatCode="#,##0.0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4" formatCode="0.00%"/>
    </dxf>
    <dxf>
      <numFmt numFmtId="166" formatCode="#,##0.0"/>
    </dxf>
    <dxf>
      <numFmt numFmtId="167" formatCode="#\C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4" formatCode="&quot;$&quot;#,##0.0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alignment horizontal="left" vertical="bottom" textRotation="0" indent="0" justifyLastLine="0" shrinkToFit="0" readingOrder="0"/>
    </dxf>
  </dxfs>
  <tableStyles count="0" defaultTableStyle="TableStyleMedium2" defaultPivotStyle="PivotStyleLight16"/>
  <colors>
    <mruColors>
      <color rgb="FFDCDE80"/>
      <color rgb="FFFFF8CB"/>
      <color rgb="FFFFB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'Motor Characterization'!$A$1</c:f>
              <c:strCache>
                <c:ptCount val="1"/>
                <c:pt idx="0">
                  <c:v>Speed 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'Motor Characterization'!$B$2:$B$102</c:f>
              <c:numCache>
                <c:formatCode>General</c:formatCode>
                <c:ptCount val="101"/>
                <c:pt idx="0">
                  <c:v>0.35799999999999998</c:v>
                </c:pt>
                <c:pt idx="1">
                  <c:v>0.35442000000000001</c:v>
                </c:pt>
                <c:pt idx="2">
                  <c:v>0.35083999999999999</c:v>
                </c:pt>
                <c:pt idx="3">
                  <c:v>0.34726000000000001</c:v>
                </c:pt>
                <c:pt idx="4">
                  <c:v>0.34367999999999999</c:v>
                </c:pt>
                <c:pt idx="5">
                  <c:v>0.34010000000000001</c:v>
                </c:pt>
                <c:pt idx="6">
                  <c:v>0.33651999999999999</c:v>
                </c:pt>
                <c:pt idx="7">
                  <c:v>0.33294000000000001</c:v>
                </c:pt>
                <c:pt idx="8">
                  <c:v>0.32935999999999999</c:v>
                </c:pt>
                <c:pt idx="9">
                  <c:v>0.32578000000000001</c:v>
                </c:pt>
                <c:pt idx="10">
                  <c:v>0.32219999999999999</c:v>
                </c:pt>
                <c:pt idx="11">
                  <c:v>0.31862000000000001</c:v>
                </c:pt>
                <c:pt idx="12">
                  <c:v>0.31503999999999999</c:v>
                </c:pt>
                <c:pt idx="13">
                  <c:v>0.31146000000000001</c:v>
                </c:pt>
                <c:pt idx="14">
                  <c:v>0.30787999999999999</c:v>
                </c:pt>
                <c:pt idx="15">
                  <c:v>0.30430000000000001</c:v>
                </c:pt>
                <c:pt idx="16">
                  <c:v>0.30071999999999999</c:v>
                </c:pt>
                <c:pt idx="17">
                  <c:v>0.29714000000000002</c:v>
                </c:pt>
                <c:pt idx="18">
                  <c:v>0.29355999999999999</c:v>
                </c:pt>
                <c:pt idx="19">
                  <c:v>0.28998000000000002</c:v>
                </c:pt>
                <c:pt idx="20">
                  <c:v>0.28639999999999999</c:v>
                </c:pt>
                <c:pt idx="21">
                  <c:v>0.28282000000000002</c:v>
                </c:pt>
                <c:pt idx="22">
                  <c:v>0.27923999999999999</c:v>
                </c:pt>
                <c:pt idx="23">
                  <c:v>0.27566000000000002</c:v>
                </c:pt>
                <c:pt idx="24">
                  <c:v>0.27207999999999999</c:v>
                </c:pt>
                <c:pt idx="25">
                  <c:v>0.26850000000000002</c:v>
                </c:pt>
                <c:pt idx="26">
                  <c:v>0.26491999999999999</c:v>
                </c:pt>
                <c:pt idx="27">
                  <c:v>0.26134000000000002</c:v>
                </c:pt>
                <c:pt idx="28">
                  <c:v>0.25775999999999999</c:v>
                </c:pt>
                <c:pt idx="29">
                  <c:v>0.25418000000000002</c:v>
                </c:pt>
                <c:pt idx="30">
                  <c:v>0.25059999999999999</c:v>
                </c:pt>
                <c:pt idx="31">
                  <c:v>0.24701999999999999</c:v>
                </c:pt>
                <c:pt idx="32">
                  <c:v>0.24343999999999999</c:v>
                </c:pt>
                <c:pt idx="33">
                  <c:v>0.23985999999999999</c:v>
                </c:pt>
                <c:pt idx="34">
                  <c:v>0.23627999999999999</c:v>
                </c:pt>
                <c:pt idx="35">
                  <c:v>0.23269999999999999</c:v>
                </c:pt>
                <c:pt idx="36">
                  <c:v>0.22911999999999999</c:v>
                </c:pt>
                <c:pt idx="37">
                  <c:v>0.22553999999999999</c:v>
                </c:pt>
                <c:pt idx="38">
                  <c:v>0.22195999999999999</c:v>
                </c:pt>
                <c:pt idx="39">
                  <c:v>0.21837999999999999</c:v>
                </c:pt>
                <c:pt idx="40">
                  <c:v>0.21479999999999999</c:v>
                </c:pt>
                <c:pt idx="41">
                  <c:v>0.21121999999999999</c:v>
                </c:pt>
                <c:pt idx="42">
                  <c:v>0.20763999999999999</c:v>
                </c:pt>
                <c:pt idx="43">
                  <c:v>0.20405999999999999</c:v>
                </c:pt>
                <c:pt idx="44">
                  <c:v>0.20047999999999999</c:v>
                </c:pt>
                <c:pt idx="45">
                  <c:v>0.19689999999999999</c:v>
                </c:pt>
                <c:pt idx="46">
                  <c:v>0.19331999999999999</c:v>
                </c:pt>
                <c:pt idx="47">
                  <c:v>0.18973999999999999</c:v>
                </c:pt>
                <c:pt idx="48">
                  <c:v>0.18615999999999999</c:v>
                </c:pt>
                <c:pt idx="49">
                  <c:v>0.18257999999999999</c:v>
                </c:pt>
                <c:pt idx="50">
                  <c:v>0.17899999999999999</c:v>
                </c:pt>
                <c:pt idx="51">
                  <c:v>0.17541999999999999</c:v>
                </c:pt>
                <c:pt idx="52">
                  <c:v>0.17183999999999999</c:v>
                </c:pt>
                <c:pt idx="53">
                  <c:v>0.16825999999999999</c:v>
                </c:pt>
                <c:pt idx="54">
                  <c:v>0.16467999999999999</c:v>
                </c:pt>
                <c:pt idx="55">
                  <c:v>0.16109999999999999</c:v>
                </c:pt>
                <c:pt idx="56">
                  <c:v>0.15751999999999999</c:v>
                </c:pt>
                <c:pt idx="57">
                  <c:v>0.15393999999999999</c:v>
                </c:pt>
                <c:pt idx="58">
                  <c:v>0.15035999999999999</c:v>
                </c:pt>
                <c:pt idx="59">
                  <c:v>0.14677999999999999</c:v>
                </c:pt>
                <c:pt idx="60">
                  <c:v>0.14319999999999999</c:v>
                </c:pt>
                <c:pt idx="61">
                  <c:v>0.13961999999999999</c:v>
                </c:pt>
                <c:pt idx="62">
                  <c:v>0.13603999999999999</c:v>
                </c:pt>
                <c:pt idx="63">
                  <c:v>0.13245999999999999</c:v>
                </c:pt>
                <c:pt idx="64">
                  <c:v>0.12887999999999999</c:v>
                </c:pt>
                <c:pt idx="65">
                  <c:v>0.12529999999999999</c:v>
                </c:pt>
                <c:pt idx="66">
                  <c:v>0.12171999999999999</c:v>
                </c:pt>
                <c:pt idx="67">
                  <c:v>0.11814</c:v>
                </c:pt>
                <c:pt idx="68">
                  <c:v>0.11456</c:v>
                </c:pt>
                <c:pt idx="69">
                  <c:v>0.11098</c:v>
                </c:pt>
                <c:pt idx="70">
                  <c:v>0.1074</c:v>
                </c:pt>
                <c:pt idx="71">
                  <c:v>0.10382</c:v>
                </c:pt>
                <c:pt idx="72">
                  <c:v>0.10024</c:v>
                </c:pt>
                <c:pt idx="73">
                  <c:v>9.6659999999999996E-2</c:v>
                </c:pt>
                <c:pt idx="74">
                  <c:v>9.3079999999999996E-2</c:v>
                </c:pt>
                <c:pt idx="75">
                  <c:v>8.9499999999999996E-2</c:v>
                </c:pt>
                <c:pt idx="76">
                  <c:v>8.5919999999999996E-2</c:v>
                </c:pt>
                <c:pt idx="77">
                  <c:v>8.2339999999999997E-2</c:v>
                </c:pt>
                <c:pt idx="78">
                  <c:v>7.8759999999999997E-2</c:v>
                </c:pt>
                <c:pt idx="79">
                  <c:v>7.5179999999999997E-2</c:v>
                </c:pt>
                <c:pt idx="80">
                  <c:v>7.1599999999999997E-2</c:v>
                </c:pt>
                <c:pt idx="81">
                  <c:v>6.8019999999999997E-2</c:v>
                </c:pt>
                <c:pt idx="82">
                  <c:v>6.4439999999999997E-2</c:v>
                </c:pt>
                <c:pt idx="83">
                  <c:v>6.0859999999999997E-2</c:v>
                </c:pt>
                <c:pt idx="84">
                  <c:v>5.7279999999999998E-2</c:v>
                </c:pt>
                <c:pt idx="85">
                  <c:v>5.3699999999999998E-2</c:v>
                </c:pt>
                <c:pt idx="86">
                  <c:v>5.0119999999999998E-2</c:v>
                </c:pt>
                <c:pt idx="87">
                  <c:v>4.6539999999999998E-2</c:v>
                </c:pt>
                <c:pt idx="88">
                  <c:v>4.2959999999999998E-2</c:v>
                </c:pt>
                <c:pt idx="89">
                  <c:v>3.9379999999999998E-2</c:v>
                </c:pt>
                <c:pt idx="90">
                  <c:v>3.5799999999999998E-2</c:v>
                </c:pt>
                <c:pt idx="91">
                  <c:v>3.2219999999999999E-2</c:v>
                </c:pt>
                <c:pt idx="92">
                  <c:v>2.8639999999999999E-2</c:v>
                </c:pt>
                <c:pt idx="93">
                  <c:v>2.5059999999999999E-2</c:v>
                </c:pt>
                <c:pt idx="94">
                  <c:v>2.1479999999999999E-2</c:v>
                </c:pt>
                <c:pt idx="95">
                  <c:v>1.7899999999999999E-2</c:v>
                </c:pt>
                <c:pt idx="96">
                  <c:v>1.4319999999999999E-2</c:v>
                </c:pt>
                <c:pt idx="97">
                  <c:v>1.074E-2</c:v>
                </c:pt>
                <c:pt idx="98">
                  <c:v>7.1599999999999997E-3</c:v>
                </c:pt>
                <c:pt idx="99">
                  <c:v>3.5799999999999998E-3</c:v>
                </c:pt>
                <c:pt idx="100">
                  <c:v>0</c:v>
                </c:pt>
              </c:numCache>
            </c:numRef>
          </c:xVal>
          <c:yVal>
            <c:numRef>
              <c:f>'Motor Characterization'!$A$2:$A$102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142.69900000000001</c:v>
                </c:pt>
                <c:pt idx="2">
                  <c:v>285.39699999999999</c:v>
                </c:pt>
                <c:pt idx="3">
                  <c:v>428.096</c:v>
                </c:pt>
                <c:pt idx="4">
                  <c:v>570.79499999999996</c:v>
                </c:pt>
                <c:pt idx="5">
                  <c:v>713.49300000000005</c:v>
                </c:pt>
                <c:pt idx="6">
                  <c:v>856.19200000000001</c:v>
                </c:pt>
                <c:pt idx="7">
                  <c:v>998.89</c:v>
                </c:pt>
                <c:pt idx="8">
                  <c:v>1141.5889999999999</c:v>
                </c:pt>
                <c:pt idx="9">
                  <c:v>1284.288</c:v>
                </c:pt>
                <c:pt idx="10">
                  <c:v>1426.9860000000001</c:v>
                </c:pt>
                <c:pt idx="11">
                  <c:v>1569.6849999999999</c:v>
                </c:pt>
                <c:pt idx="12">
                  <c:v>1712.384</c:v>
                </c:pt>
                <c:pt idx="13">
                  <c:v>1855.0820000000001</c:v>
                </c:pt>
                <c:pt idx="14">
                  <c:v>1997.7809999999999</c:v>
                </c:pt>
                <c:pt idx="15">
                  <c:v>2140.4789999999998</c:v>
                </c:pt>
                <c:pt idx="16">
                  <c:v>2283.1779999999999</c:v>
                </c:pt>
                <c:pt idx="17">
                  <c:v>2425.877</c:v>
                </c:pt>
                <c:pt idx="18">
                  <c:v>2568.5749999999998</c:v>
                </c:pt>
                <c:pt idx="19">
                  <c:v>2711.2739999999999</c:v>
                </c:pt>
                <c:pt idx="20">
                  <c:v>2853.973</c:v>
                </c:pt>
                <c:pt idx="21">
                  <c:v>2996.6709999999998</c:v>
                </c:pt>
                <c:pt idx="22">
                  <c:v>3139.37</c:v>
                </c:pt>
                <c:pt idx="23">
                  <c:v>3282.0680000000002</c:v>
                </c:pt>
                <c:pt idx="24">
                  <c:v>3424.7669999999998</c:v>
                </c:pt>
                <c:pt idx="25">
                  <c:v>3567.4659999999999</c:v>
                </c:pt>
                <c:pt idx="26">
                  <c:v>3710.1640000000002</c:v>
                </c:pt>
                <c:pt idx="27">
                  <c:v>3852.8629999999998</c:v>
                </c:pt>
                <c:pt idx="28">
                  <c:v>3995.5619999999999</c:v>
                </c:pt>
                <c:pt idx="29">
                  <c:v>4138.26</c:v>
                </c:pt>
                <c:pt idx="30">
                  <c:v>4280.9589999999998</c:v>
                </c:pt>
                <c:pt idx="31">
                  <c:v>4423.6580000000004</c:v>
                </c:pt>
                <c:pt idx="32">
                  <c:v>4566.3559999999998</c:v>
                </c:pt>
                <c:pt idx="33">
                  <c:v>4709.0550000000003</c:v>
                </c:pt>
                <c:pt idx="34">
                  <c:v>4851.7529999999997</c:v>
                </c:pt>
                <c:pt idx="35">
                  <c:v>4994.4520000000002</c:v>
                </c:pt>
                <c:pt idx="36">
                  <c:v>5137.1509999999998</c:v>
                </c:pt>
                <c:pt idx="37">
                  <c:v>5279.8490000000002</c:v>
                </c:pt>
                <c:pt idx="38">
                  <c:v>5422.5479999999998</c:v>
                </c:pt>
                <c:pt idx="39">
                  <c:v>5565.2470000000003</c:v>
                </c:pt>
                <c:pt idx="40">
                  <c:v>5707.9449999999997</c:v>
                </c:pt>
                <c:pt idx="41">
                  <c:v>5850.6440000000002</c:v>
                </c:pt>
                <c:pt idx="42">
                  <c:v>5993.3419999999996</c:v>
                </c:pt>
                <c:pt idx="43">
                  <c:v>6136.0410000000002</c:v>
                </c:pt>
                <c:pt idx="44">
                  <c:v>6278.74</c:v>
                </c:pt>
                <c:pt idx="45">
                  <c:v>6421.4380000000001</c:v>
                </c:pt>
                <c:pt idx="46">
                  <c:v>6564.1369999999997</c:v>
                </c:pt>
                <c:pt idx="47">
                  <c:v>6706.8360000000002</c:v>
                </c:pt>
                <c:pt idx="48">
                  <c:v>6849.5339999999997</c:v>
                </c:pt>
                <c:pt idx="49">
                  <c:v>6992.2330000000002</c:v>
                </c:pt>
                <c:pt idx="50">
                  <c:v>7134.9319999999998</c:v>
                </c:pt>
                <c:pt idx="51">
                  <c:v>7277.63</c:v>
                </c:pt>
                <c:pt idx="52">
                  <c:v>7420.3289999999997</c:v>
                </c:pt>
                <c:pt idx="53">
                  <c:v>7563.027</c:v>
                </c:pt>
                <c:pt idx="54">
                  <c:v>7705.7259999999997</c:v>
                </c:pt>
                <c:pt idx="55">
                  <c:v>7848.4250000000002</c:v>
                </c:pt>
                <c:pt idx="56">
                  <c:v>7991.1229999999996</c:v>
                </c:pt>
                <c:pt idx="57">
                  <c:v>8133.8220000000001</c:v>
                </c:pt>
                <c:pt idx="58">
                  <c:v>8276.5210000000006</c:v>
                </c:pt>
                <c:pt idx="59">
                  <c:v>8419.2189999999991</c:v>
                </c:pt>
                <c:pt idx="60">
                  <c:v>8561.9179999999997</c:v>
                </c:pt>
                <c:pt idx="61">
                  <c:v>8704.616</c:v>
                </c:pt>
                <c:pt idx="62">
                  <c:v>8847.3150000000005</c:v>
                </c:pt>
                <c:pt idx="63">
                  <c:v>8990.0139999999992</c:v>
                </c:pt>
                <c:pt idx="64">
                  <c:v>9132.7119999999995</c:v>
                </c:pt>
                <c:pt idx="65">
                  <c:v>9275.4110000000001</c:v>
                </c:pt>
                <c:pt idx="66">
                  <c:v>9418.11</c:v>
                </c:pt>
                <c:pt idx="67">
                  <c:v>9560.8080000000009</c:v>
                </c:pt>
                <c:pt idx="68">
                  <c:v>9703.5069999999996</c:v>
                </c:pt>
                <c:pt idx="69">
                  <c:v>9846.2049999999999</c:v>
                </c:pt>
                <c:pt idx="70">
                  <c:v>9988.9040000000005</c:v>
                </c:pt>
                <c:pt idx="71">
                  <c:v>10131.602999999999</c:v>
                </c:pt>
                <c:pt idx="72">
                  <c:v>10274.300999999999</c:v>
                </c:pt>
                <c:pt idx="73">
                  <c:v>10417</c:v>
                </c:pt>
                <c:pt idx="74">
                  <c:v>10559.699000000001</c:v>
                </c:pt>
                <c:pt idx="75">
                  <c:v>10702.397000000001</c:v>
                </c:pt>
                <c:pt idx="76">
                  <c:v>10845.096</c:v>
                </c:pt>
                <c:pt idx="77">
                  <c:v>10987.795</c:v>
                </c:pt>
                <c:pt idx="78">
                  <c:v>11130.493</c:v>
                </c:pt>
                <c:pt idx="79">
                  <c:v>11273.191999999999</c:v>
                </c:pt>
                <c:pt idx="80">
                  <c:v>11415.89</c:v>
                </c:pt>
                <c:pt idx="81">
                  <c:v>11558.589</c:v>
                </c:pt>
                <c:pt idx="82">
                  <c:v>11701.288</c:v>
                </c:pt>
                <c:pt idx="83">
                  <c:v>11843.986000000001</c:v>
                </c:pt>
                <c:pt idx="84">
                  <c:v>11986.684999999999</c:v>
                </c:pt>
                <c:pt idx="85">
                  <c:v>12129.384</c:v>
                </c:pt>
                <c:pt idx="86">
                  <c:v>12272.082</c:v>
                </c:pt>
                <c:pt idx="87">
                  <c:v>12414.781000000001</c:v>
                </c:pt>
                <c:pt idx="88">
                  <c:v>12557.478999999999</c:v>
                </c:pt>
                <c:pt idx="89">
                  <c:v>12700.178</c:v>
                </c:pt>
                <c:pt idx="90">
                  <c:v>12842.877</c:v>
                </c:pt>
                <c:pt idx="91">
                  <c:v>12985.575000000001</c:v>
                </c:pt>
                <c:pt idx="92">
                  <c:v>13128.273999999999</c:v>
                </c:pt>
                <c:pt idx="93">
                  <c:v>13270.973</c:v>
                </c:pt>
                <c:pt idx="94">
                  <c:v>13413.671</c:v>
                </c:pt>
                <c:pt idx="95">
                  <c:v>13556.37</c:v>
                </c:pt>
                <c:pt idx="96">
                  <c:v>13699.067999999999</c:v>
                </c:pt>
                <c:pt idx="97">
                  <c:v>13841.767</c:v>
                </c:pt>
                <c:pt idx="98">
                  <c:v>13984.466</c:v>
                </c:pt>
                <c:pt idx="99">
                  <c:v>14127.164000000001</c:v>
                </c:pt>
                <c:pt idx="100">
                  <c:v>14269.862999999999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55-45C3-83A8-90D482387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48824"/>
        <c:axId val="505849808"/>
      </c:scatterChart>
      <c:scatterChart>
        <c:scatterStyle val="smoothMarker"/>
        <c:varyColors val="0"/>
        <c:ser>
          <c:idx val="1"/>
          <c:order val="1"/>
          <c:tx>
            <c:strRef>
              <c:f>'Motor Characterization'!$C$1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'Motor Characterization'!$B$2:$B$102</c:f>
              <c:numCache>
                <c:formatCode>General</c:formatCode>
                <c:ptCount val="101"/>
                <c:pt idx="0">
                  <c:v>0.35799999999999998</c:v>
                </c:pt>
                <c:pt idx="1">
                  <c:v>0.35442000000000001</c:v>
                </c:pt>
                <c:pt idx="2">
                  <c:v>0.35083999999999999</c:v>
                </c:pt>
                <c:pt idx="3">
                  <c:v>0.34726000000000001</c:v>
                </c:pt>
                <c:pt idx="4">
                  <c:v>0.34367999999999999</c:v>
                </c:pt>
                <c:pt idx="5">
                  <c:v>0.34010000000000001</c:v>
                </c:pt>
                <c:pt idx="6">
                  <c:v>0.33651999999999999</c:v>
                </c:pt>
                <c:pt idx="7">
                  <c:v>0.33294000000000001</c:v>
                </c:pt>
                <c:pt idx="8">
                  <c:v>0.32935999999999999</c:v>
                </c:pt>
                <c:pt idx="9">
                  <c:v>0.32578000000000001</c:v>
                </c:pt>
                <c:pt idx="10">
                  <c:v>0.32219999999999999</c:v>
                </c:pt>
                <c:pt idx="11">
                  <c:v>0.31862000000000001</c:v>
                </c:pt>
                <c:pt idx="12">
                  <c:v>0.31503999999999999</c:v>
                </c:pt>
                <c:pt idx="13">
                  <c:v>0.31146000000000001</c:v>
                </c:pt>
                <c:pt idx="14">
                  <c:v>0.30787999999999999</c:v>
                </c:pt>
                <c:pt idx="15">
                  <c:v>0.30430000000000001</c:v>
                </c:pt>
                <c:pt idx="16">
                  <c:v>0.30071999999999999</c:v>
                </c:pt>
                <c:pt idx="17">
                  <c:v>0.29714000000000002</c:v>
                </c:pt>
                <c:pt idx="18">
                  <c:v>0.29355999999999999</c:v>
                </c:pt>
                <c:pt idx="19">
                  <c:v>0.28998000000000002</c:v>
                </c:pt>
                <c:pt idx="20">
                  <c:v>0.28639999999999999</c:v>
                </c:pt>
                <c:pt idx="21">
                  <c:v>0.28282000000000002</c:v>
                </c:pt>
                <c:pt idx="22">
                  <c:v>0.27923999999999999</c:v>
                </c:pt>
                <c:pt idx="23">
                  <c:v>0.27566000000000002</c:v>
                </c:pt>
                <c:pt idx="24">
                  <c:v>0.27207999999999999</c:v>
                </c:pt>
                <c:pt idx="25">
                  <c:v>0.26850000000000002</c:v>
                </c:pt>
                <c:pt idx="26">
                  <c:v>0.26491999999999999</c:v>
                </c:pt>
                <c:pt idx="27">
                  <c:v>0.26134000000000002</c:v>
                </c:pt>
                <c:pt idx="28">
                  <c:v>0.25775999999999999</c:v>
                </c:pt>
                <c:pt idx="29">
                  <c:v>0.25418000000000002</c:v>
                </c:pt>
                <c:pt idx="30">
                  <c:v>0.25059999999999999</c:v>
                </c:pt>
                <c:pt idx="31">
                  <c:v>0.24701999999999999</c:v>
                </c:pt>
                <c:pt idx="32">
                  <c:v>0.24343999999999999</c:v>
                </c:pt>
                <c:pt idx="33">
                  <c:v>0.23985999999999999</c:v>
                </c:pt>
                <c:pt idx="34">
                  <c:v>0.23627999999999999</c:v>
                </c:pt>
                <c:pt idx="35">
                  <c:v>0.23269999999999999</c:v>
                </c:pt>
                <c:pt idx="36">
                  <c:v>0.22911999999999999</c:v>
                </c:pt>
                <c:pt idx="37">
                  <c:v>0.22553999999999999</c:v>
                </c:pt>
                <c:pt idx="38">
                  <c:v>0.22195999999999999</c:v>
                </c:pt>
                <c:pt idx="39">
                  <c:v>0.21837999999999999</c:v>
                </c:pt>
                <c:pt idx="40">
                  <c:v>0.21479999999999999</c:v>
                </c:pt>
                <c:pt idx="41">
                  <c:v>0.21121999999999999</c:v>
                </c:pt>
                <c:pt idx="42">
                  <c:v>0.20763999999999999</c:v>
                </c:pt>
                <c:pt idx="43">
                  <c:v>0.20405999999999999</c:v>
                </c:pt>
                <c:pt idx="44">
                  <c:v>0.20047999999999999</c:v>
                </c:pt>
                <c:pt idx="45">
                  <c:v>0.19689999999999999</c:v>
                </c:pt>
                <c:pt idx="46">
                  <c:v>0.19331999999999999</c:v>
                </c:pt>
                <c:pt idx="47">
                  <c:v>0.18973999999999999</c:v>
                </c:pt>
                <c:pt idx="48">
                  <c:v>0.18615999999999999</c:v>
                </c:pt>
                <c:pt idx="49">
                  <c:v>0.18257999999999999</c:v>
                </c:pt>
                <c:pt idx="50">
                  <c:v>0.17899999999999999</c:v>
                </c:pt>
                <c:pt idx="51">
                  <c:v>0.17541999999999999</c:v>
                </c:pt>
                <c:pt idx="52">
                  <c:v>0.17183999999999999</c:v>
                </c:pt>
                <c:pt idx="53">
                  <c:v>0.16825999999999999</c:v>
                </c:pt>
                <c:pt idx="54">
                  <c:v>0.16467999999999999</c:v>
                </c:pt>
                <c:pt idx="55">
                  <c:v>0.16109999999999999</c:v>
                </c:pt>
                <c:pt idx="56">
                  <c:v>0.15751999999999999</c:v>
                </c:pt>
                <c:pt idx="57">
                  <c:v>0.15393999999999999</c:v>
                </c:pt>
                <c:pt idx="58">
                  <c:v>0.15035999999999999</c:v>
                </c:pt>
                <c:pt idx="59">
                  <c:v>0.14677999999999999</c:v>
                </c:pt>
                <c:pt idx="60">
                  <c:v>0.14319999999999999</c:v>
                </c:pt>
                <c:pt idx="61">
                  <c:v>0.13961999999999999</c:v>
                </c:pt>
                <c:pt idx="62">
                  <c:v>0.13603999999999999</c:v>
                </c:pt>
                <c:pt idx="63">
                  <c:v>0.13245999999999999</c:v>
                </c:pt>
                <c:pt idx="64">
                  <c:v>0.12887999999999999</c:v>
                </c:pt>
                <c:pt idx="65">
                  <c:v>0.12529999999999999</c:v>
                </c:pt>
                <c:pt idx="66">
                  <c:v>0.12171999999999999</c:v>
                </c:pt>
                <c:pt idx="67">
                  <c:v>0.11814</c:v>
                </c:pt>
                <c:pt idx="68">
                  <c:v>0.11456</c:v>
                </c:pt>
                <c:pt idx="69">
                  <c:v>0.11098</c:v>
                </c:pt>
                <c:pt idx="70">
                  <c:v>0.1074</c:v>
                </c:pt>
                <c:pt idx="71">
                  <c:v>0.10382</c:v>
                </c:pt>
                <c:pt idx="72">
                  <c:v>0.10024</c:v>
                </c:pt>
                <c:pt idx="73">
                  <c:v>9.6659999999999996E-2</c:v>
                </c:pt>
                <c:pt idx="74">
                  <c:v>9.3079999999999996E-2</c:v>
                </c:pt>
                <c:pt idx="75">
                  <c:v>8.9499999999999996E-2</c:v>
                </c:pt>
                <c:pt idx="76">
                  <c:v>8.5919999999999996E-2</c:v>
                </c:pt>
                <c:pt idx="77">
                  <c:v>8.2339999999999997E-2</c:v>
                </c:pt>
                <c:pt idx="78">
                  <c:v>7.8759999999999997E-2</c:v>
                </c:pt>
                <c:pt idx="79">
                  <c:v>7.5179999999999997E-2</c:v>
                </c:pt>
                <c:pt idx="80">
                  <c:v>7.1599999999999997E-2</c:v>
                </c:pt>
                <c:pt idx="81">
                  <c:v>6.8019999999999997E-2</c:v>
                </c:pt>
                <c:pt idx="82">
                  <c:v>6.4439999999999997E-2</c:v>
                </c:pt>
                <c:pt idx="83">
                  <c:v>6.0859999999999997E-2</c:v>
                </c:pt>
                <c:pt idx="84">
                  <c:v>5.7279999999999998E-2</c:v>
                </c:pt>
                <c:pt idx="85">
                  <c:v>5.3699999999999998E-2</c:v>
                </c:pt>
                <c:pt idx="86">
                  <c:v>5.0119999999999998E-2</c:v>
                </c:pt>
                <c:pt idx="87">
                  <c:v>4.6539999999999998E-2</c:v>
                </c:pt>
                <c:pt idx="88">
                  <c:v>4.2959999999999998E-2</c:v>
                </c:pt>
                <c:pt idx="89">
                  <c:v>3.9379999999999998E-2</c:v>
                </c:pt>
                <c:pt idx="90">
                  <c:v>3.5799999999999998E-2</c:v>
                </c:pt>
                <c:pt idx="91">
                  <c:v>3.2219999999999999E-2</c:v>
                </c:pt>
                <c:pt idx="92">
                  <c:v>2.8639999999999999E-2</c:v>
                </c:pt>
                <c:pt idx="93">
                  <c:v>2.5059999999999999E-2</c:v>
                </c:pt>
                <c:pt idx="94">
                  <c:v>2.1479999999999999E-2</c:v>
                </c:pt>
                <c:pt idx="95">
                  <c:v>1.7899999999999999E-2</c:v>
                </c:pt>
                <c:pt idx="96">
                  <c:v>1.4319999999999999E-2</c:v>
                </c:pt>
                <c:pt idx="97">
                  <c:v>1.074E-2</c:v>
                </c:pt>
                <c:pt idx="98">
                  <c:v>7.1599999999999997E-3</c:v>
                </c:pt>
                <c:pt idx="99">
                  <c:v>3.5799999999999998E-3</c:v>
                </c:pt>
                <c:pt idx="100">
                  <c:v>0</c:v>
                </c:pt>
              </c:numCache>
            </c:numRef>
          </c:xVal>
          <c:yVal>
            <c:numRef>
              <c:f>'Motor Characterization'!$C$2:$C$102</c:f>
              <c:numCache>
                <c:formatCode>General</c:formatCode>
                <c:ptCount val="101"/>
                <c:pt idx="0">
                  <c:v>71.234999999999999</c:v>
                </c:pt>
                <c:pt idx="1">
                  <c:v>70.56</c:v>
                </c:pt>
                <c:pt idx="2">
                  <c:v>69.885000000000005</c:v>
                </c:pt>
                <c:pt idx="3">
                  <c:v>69.209999999999994</c:v>
                </c:pt>
                <c:pt idx="4">
                  <c:v>68.534999999999997</c:v>
                </c:pt>
                <c:pt idx="5">
                  <c:v>67.861000000000004</c:v>
                </c:pt>
                <c:pt idx="6">
                  <c:v>67.186000000000007</c:v>
                </c:pt>
                <c:pt idx="7">
                  <c:v>66.510999999999996</c:v>
                </c:pt>
                <c:pt idx="8">
                  <c:v>65.835999999999999</c:v>
                </c:pt>
                <c:pt idx="9">
                  <c:v>65.161000000000001</c:v>
                </c:pt>
                <c:pt idx="10">
                  <c:v>64.486000000000004</c:v>
                </c:pt>
                <c:pt idx="11">
                  <c:v>63.811</c:v>
                </c:pt>
                <c:pt idx="12">
                  <c:v>63.136000000000003</c:v>
                </c:pt>
                <c:pt idx="13">
                  <c:v>62.460999999999999</c:v>
                </c:pt>
                <c:pt idx="14">
                  <c:v>61.786000000000001</c:v>
                </c:pt>
                <c:pt idx="15">
                  <c:v>61.112000000000002</c:v>
                </c:pt>
                <c:pt idx="16">
                  <c:v>60.436999999999998</c:v>
                </c:pt>
                <c:pt idx="17">
                  <c:v>59.762</c:v>
                </c:pt>
                <c:pt idx="18">
                  <c:v>59.087000000000003</c:v>
                </c:pt>
                <c:pt idx="19">
                  <c:v>58.411999999999999</c:v>
                </c:pt>
                <c:pt idx="20">
                  <c:v>57.737000000000002</c:v>
                </c:pt>
                <c:pt idx="21">
                  <c:v>57.061999999999998</c:v>
                </c:pt>
                <c:pt idx="22">
                  <c:v>56.387</c:v>
                </c:pt>
                <c:pt idx="23">
                  <c:v>55.712000000000003</c:v>
                </c:pt>
                <c:pt idx="24">
                  <c:v>55.036999999999999</c:v>
                </c:pt>
                <c:pt idx="25">
                  <c:v>54.363</c:v>
                </c:pt>
                <c:pt idx="26">
                  <c:v>53.688000000000002</c:v>
                </c:pt>
                <c:pt idx="27">
                  <c:v>53.012999999999998</c:v>
                </c:pt>
                <c:pt idx="28">
                  <c:v>52.338000000000001</c:v>
                </c:pt>
                <c:pt idx="29">
                  <c:v>51.662999999999997</c:v>
                </c:pt>
                <c:pt idx="30">
                  <c:v>50.988</c:v>
                </c:pt>
                <c:pt idx="31">
                  <c:v>50.313000000000002</c:v>
                </c:pt>
                <c:pt idx="32">
                  <c:v>49.637999999999998</c:v>
                </c:pt>
                <c:pt idx="33">
                  <c:v>48.963000000000001</c:v>
                </c:pt>
                <c:pt idx="34">
                  <c:v>48.287999999999997</c:v>
                </c:pt>
                <c:pt idx="35">
                  <c:v>47.613999999999997</c:v>
                </c:pt>
                <c:pt idx="36">
                  <c:v>46.939</c:v>
                </c:pt>
                <c:pt idx="37">
                  <c:v>46.264000000000003</c:v>
                </c:pt>
                <c:pt idx="38">
                  <c:v>45.588999999999999</c:v>
                </c:pt>
                <c:pt idx="39">
                  <c:v>44.914000000000001</c:v>
                </c:pt>
                <c:pt idx="40">
                  <c:v>44.238999999999997</c:v>
                </c:pt>
                <c:pt idx="41">
                  <c:v>43.564</c:v>
                </c:pt>
                <c:pt idx="42">
                  <c:v>42.889000000000003</c:v>
                </c:pt>
                <c:pt idx="43">
                  <c:v>42.213999999999999</c:v>
                </c:pt>
                <c:pt idx="44">
                  <c:v>41.539000000000001</c:v>
                </c:pt>
                <c:pt idx="45">
                  <c:v>40.865000000000002</c:v>
                </c:pt>
                <c:pt idx="46">
                  <c:v>40.19</c:v>
                </c:pt>
                <c:pt idx="47">
                  <c:v>39.515000000000001</c:v>
                </c:pt>
                <c:pt idx="48">
                  <c:v>38.840000000000003</c:v>
                </c:pt>
                <c:pt idx="49">
                  <c:v>38.164999999999999</c:v>
                </c:pt>
                <c:pt idx="50">
                  <c:v>37.49</c:v>
                </c:pt>
                <c:pt idx="51">
                  <c:v>36.814999999999998</c:v>
                </c:pt>
                <c:pt idx="52">
                  <c:v>36.14</c:v>
                </c:pt>
                <c:pt idx="53">
                  <c:v>35.465000000000003</c:v>
                </c:pt>
                <c:pt idx="54">
                  <c:v>34.79</c:v>
                </c:pt>
                <c:pt idx="55">
                  <c:v>34.116</c:v>
                </c:pt>
                <c:pt idx="56">
                  <c:v>33.441000000000003</c:v>
                </c:pt>
                <c:pt idx="57">
                  <c:v>32.765999999999998</c:v>
                </c:pt>
                <c:pt idx="58">
                  <c:v>32.091000000000001</c:v>
                </c:pt>
                <c:pt idx="59">
                  <c:v>31.416</c:v>
                </c:pt>
                <c:pt idx="60">
                  <c:v>30.741</c:v>
                </c:pt>
                <c:pt idx="61">
                  <c:v>30.065999999999999</c:v>
                </c:pt>
                <c:pt idx="62">
                  <c:v>29.390999999999998</c:v>
                </c:pt>
                <c:pt idx="63">
                  <c:v>28.716000000000001</c:v>
                </c:pt>
                <c:pt idx="64">
                  <c:v>28.041</c:v>
                </c:pt>
                <c:pt idx="65">
                  <c:v>27.367000000000001</c:v>
                </c:pt>
                <c:pt idx="66">
                  <c:v>26.692</c:v>
                </c:pt>
                <c:pt idx="67">
                  <c:v>26.016999999999999</c:v>
                </c:pt>
                <c:pt idx="68">
                  <c:v>25.341999999999999</c:v>
                </c:pt>
                <c:pt idx="69">
                  <c:v>24.667000000000002</c:v>
                </c:pt>
                <c:pt idx="70">
                  <c:v>23.992000000000001</c:v>
                </c:pt>
                <c:pt idx="71">
                  <c:v>23.317</c:v>
                </c:pt>
                <c:pt idx="72">
                  <c:v>22.641999999999999</c:v>
                </c:pt>
                <c:pt idx="73">
                  <c:v>21.966999999999999</c:v>
                </c:pt>
                <c:pt idx="74">
                  <c:v>21.292000000000002</c:v>
                </c:pt>
                <c:pt idx="75">
                  <c:v>20.617999999999999</c:v>
                </c:pt>
                <c:pt idx="76">
                  <c:v>19.943000000000001</c:v>
                </c:pt>
                <c:pt idx="77">
                  <c:v>19.268000000000001</c:v>
                </c:pt>
                <c:pt idx="78">
                  <c:v>18.593</c:v>
                </c:pt>
                <c:pt idx="79">
                  <c:v>17.917999999999999</c:v>
                </c:pt>
                <c:pt idx="80">
                  <c:v>17.242999999999999</c:v>
                </c:pt>
                <c:pt idx="81">
                  <c:v>16.568000000000001</c:v>
                </c:pt>
                <c:pt idx="82">
                  <c:v>15.893000000000001</c:v>
                </c:pt>
                <c:pt idx="83">
                  <c:v>15.218</c:v>
                </c:pt>
                <c:pt idx="84">
                  <c:v>14.542999999999999</c:v>
                </c:pt>
                <c:pt idx="85">
                  <c:v>13.869</c:v>
                </c:pt>
                <c:pt idx="86">
                  <c:v>13.194000000000001</c:v>
                </c:pt>
                <c:pt idx="87">
                  <c:v>12.519</c:v>
                </c:pt>
                <c:pt idx="88">
                  <c:v>11.843999999999999</c:v>
                </c:pt>
                <c:pt idx="89">
                  <c:v>11.169</c:v>
                </c:pt>
                <c:pt idx="90">
                  <c:v>10.494</c:v>
                </c:pt>
                <c:pt idx="91">
                  <c:v>9.8190000000000008</c:v>
                </c:pt>
                <c:pt idx="92">
                  <c:v>9.1440000000000001</c:v>
                </c:pt>
                <c:pt idx="93">
                  <c:v>8.4689999999999994</c:v>
                </c:pt>
                <c:pt idx="94">
                  <c:v>7.7939999999999996</c:v>
                </c:pt>
                <c:pt idx="95">
                  <c:v>7.12</c:v>
                </c:pt>
                <c:pt idx="96">
                  <c:v>6.4450000000000003</c:v>
                </c:pt>
                <c:pt idx="97">
                  <c:v>5.77</c:v>
                </c:pt>
                <c:pt idx="98">
                  <c:v>5.0949999999999998</c:v>
                </c:pt>
                <c:pt idx="99">
                  <c:v>4.42</c:v>
                </c:pt>
                <c:pt idx="100">
                  <c:v>3.7450000000000001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55-45C3-83A8-90D482387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51448"/>
        <c:axId val="505850792"/>
      </c:scatterChart>
      <c:valAx>
        <c:axId val="50584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9808"/>
        <c:crosses val="autoZero"/>
        <c:crossBetween val="midCat"/>
      </c:valAx>
      <c:valAx>
        <c:axId val="5058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8824"/>
        <c:crosses val="autoZero"/>
        <c:crossBetween val="midCat"/>
      </c:valAx>
      <c:valAx>
        <c:axId val="505850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51448"/>
        <c:crosses val="max"/>
        <c:crossBetween val="midCat"/>
      </c:valAx>
      <c:valAx>
        <c:axId val="505851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85079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'Motor Characterization'!$K$1</c:f>
              <c:strCache>
                <c:ptCount val="1"/>
                <c:pt idx="0">
                  <c:v>Speed 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'Motor Characterization'!$L$2:$L$102</c:f>
              <c:numCache>
                <c:formatCode>General</c:formatCode>
                <c:ptCount val="101"/>
                <c:pt idx="0">
                  <c:v>0.35799999999999998</c:v>
                </c:pt>
                <c:pt idx="1">
                  <c:v>0.35442000000000001</c:v>
                </c:pt>
                <c:pt idx="2">
                  <c:v>0.35083999999999999</c:v>
                </c:pt>
                <c:pt idx="3">
                  <c:v>0.34726000000000001</c:v>
                </c:pt>
                <c:pt idx="4">
                  <c:v>0.34367999999999999</c:v>
                </c:pt>
                <c:pt idx="5">
                  <c:v>0.34010000000000001</c:v>
                </c:pt>
                <c:pt idx="6">
                  <c:v>0.33651999999999999</c:v>
                </c:pt>
                <c:pt idx="7">
                  <c:v>0.33294000000000001</c:v>
                </c:pt>
                <c:pt idx="8">
                  <c:v>0.32935999999999999</c:v>
                </c:pt>
                <c:pt idx="9">
                  <c:v>0.32578000000000001</c:v>
                </c:pt>
                <c:pt idx="10">
                  <c:v>0.32219999999999999</c:v>
                </c:pt>
                <c:pt idx="11">
                  <c:v>0.31862000000000001</c:v>
                </c:pt>
                <c:pt idx="12">
                  <c:v>0.31503999999999999</c:v>
                </c:pt>
                <c:pt idx="13">
                  <c:v>0.31146000000000001</c:v>
                </c:pt>
                <c:pt idx="14">
                  <c:v>0.30787999999999999</c:v>
                </c:pt>
                <c:pt idx="15">
                  <c:v>0.30430000000000001</c:v>
                </c:pt>
                <c:pt idx="16">
                  <c:v>0.30071999999999999</c:v>
                </c:pt>
                <c:pt idx="17">
                  <c:v>0.29714000000000002</c:v>
                </c:pt>
                <c:pt idx="18">
                  <c:v>0.29355999999999999</c:v>
                </c:pt>
                <c:pt idx="19">
                  <c:v>0.28998000000000002</c:v>
                </c:pt>
                <c:pt idx="20">
                  <c:v>0.28639999999999999</c:v>
                </c:pt>
                <c:pt idx="21">
                  <c:v>0.28282000000000002</c:v>
                </c:pt>
                <c:pt idx="22">
                  <c:v>0.27923999999999999</c:v>
                </c:pt>
                <c:pt idx="23">
                  <c:v>0.27566000000000002</c:v>
                </c:pt>
                <c:pt idx="24">
                  <c:v>0.27207999999999999</c:v>
                </c:pt>
                <c:pt idx="25">
                  <c:v>0.26850000000000002</c:v>
                </c:pt>
                <c:pt idx="26">
                  <c:v>0.26491999999999999</c:v>
                </c:pt>
                <c:pt idx="27">
                  <c:v>0.26134000000000002</c:v>
                </c:pt>
                <c:pt idx="28">
                  <c:v>0.25775999999999999</c:v>
                </c:pt>
                <c:pt idx="29">
                  <c:v>0.25418000000000002</c:v>
                </c:pt>
                <c:pt idx="30">
                  <c:v>0.25059999999999999</c:v>
                </c:pt>
                <c:pt idx="31">
                  <c:v>0.24701999999999999</c:v>
                </c:pt>
                <c:pt idx="32">
                  <c:v>0.24343999999999999</c:v>
                </c:pt>
                <c:pt idx="33">
                  <c:v>0.23985999999999999</c:v>
                </c:pt>
                <c:pt idx="34">
                  <c:v>0.23627999999999999</c:v>
                </c:pt>
                <c:pt idx="35">
                  <c:v>0.23269999999999999</c:v>
                </c:pt>
                <c:pt idx="36">
                  <c:v>0.22911999999999999</c:v>
                </c:pt>
                <c:pt idx="37">
                  <c:v>0.22553999999999999</c:v>
                </c:pt>
                <c:pt idx="38">
                  <c:v>0.22195999999999999</c:v>
                </c:pt>
                <c:pt idx="39">
                  <c:v>0.21837999999999999</c:v>
                </c:pt>
                <c:pt idx="40">
                  <c:v>0.21479999999999999</c:v>
                </c:pt>
                <c:pt idx="41">
                  <c:v>0.21121999999999999</c:v>
                </c:pt>
                <c:pt idx="42">
                  <c:v>0.20763999999999999</c:v>
                </c:pt>
                <c:pt idx="43">
                  <c:v>0.20405999999999999</c:v>
                </c:pt>
                <c:pt idx="44">
                  <c:v>0.20047999999999999</c:v>
                </c:pt>
                <c:pt idx="45">
                  <c:v>0.19689999999999999</c:v>
                </c:pt>
                <c:pt idx="46">
                  <c:v>0.19331999999999999</c:v>
                </c:pt>
                <c:pt idx="47">
                  <c:v>0.18973999999999999</c:v>
                </c:pt>
                <c:pt idx="48">
                  <c:v>0.18615999999999999</c:v>
                </c:pt>
                <c:pt idx="49">
                  <c:v>0.18257999999999999</c:v>
                </c:pt>
                <c:pt idx="50">
                  <c:v>0.17899999999999999</c:v>
                </c:pt>
                <c:pt idx="51">
                  <c:v>0.17541999999999999</c:v>
                </c:pt>
                <c:pt idx="52">
                  <c:v>0.17183999999999999</c:v>
                </c:pt>
                <c:pt idx="53">
                  <c:v>0.16825999999999999</c:v>
                </c:pt>
                <c:pt idx="54">
                  <c:v>0.16467999999999999</c:v>
                </c:pt>
                <c:pt idx="55">
                  <c:v>0.16109999999999999</c:v>
                </c:pt>
                <c:pt idx="56">
                  <c:v>0.15751999999999999</c:v>
                </c:pt>
                <c:pt idx="57">
                  <c:v>0.15393999999999999</c:v>
                </c:pt>
                <c:pt idx="58">
                  <c:v>0.15035999999999999</c:v>
                </c:pt>
                <c:pt idx="59">
                  <c:v>0.14677999999999999</c:v>
                </c:pt>
                <c:pt idx="60">
                  <c:v>0.14319999999999999</c:v>
                </c:pt>
                <c:pt idx="61">
                  <c:v>0.13961999999999999</c:v>
                </c:pt>
                <c:pt idx="62">
                  <c:v>0.13603999999999999</c:v>
                </c:pt>
                <c:pt idx="63">
                  <c:v>0.13245999999999999</c:v>
                </c:pt>
                <c:pt idx="64">
                  <c:v>0.12887999999999999</c:v>
                </c:pt>
                <c:pt idx="65">
                  <c:v>0.12529999999999999</c:v>
                </c:pt>
                <c:pt idx="66">
                  <c:v>0.12171999999999999</c:v>
                </c:pt>
                <c:pt idx="67">
                  <c:v>0.11814</c:v>
                </c:pt>
                <c:pt idx="68">
                  <c:v>0.11456</c:v>
                </c:pt>
                <c:pt idx="69">
                  <c:v>0.11098</c:v>
                </c:pt>
                <c:pt idx="70">
                  <c:v>0.1074</c:v>
                </c:pt>
                <c:pt idx="71">
                  <c:v>0.10382</c:v>
                </c:pt>
                <c:pt idx="72">
                  <c:v>0.10024</c:v>
                </c:pt>
                <c:pt idx="73">
                  <c:v>9.6659999999999996E-2</c:v>
                </c:pt>
                <c:pt idx="74">
                  <c:v>9.3079999999999996E-2</c:v>
                </c:pt>
                <c:pt idx="75">
                  <c:v>8.9499999999999996E-2</c:v>
                </c:pt>
                <c:pt idx="76">
                  <c:v>8.5919999999999996E-2</c:v>
                </c:pt>
                <c:pt idx="77">
                  <c:v>8.2339999999999997E-2</c:v>
                </c:pt>
                <c:pt idx="78">
                  <c:v>7.8759999999999997E-2</c:v>
                </c:pt>
                <c:pt idx="79">
                  <c:v>7.5179999999999997E-2</c:v>
                </c:pt>
                <c:pt idx="80">
                  <c:v>7.1599999999999997E-2</c:v>
                </c:pt>
                <c:pt idx="81">
                  <c:v>6.8019999999999997E-2</c:v>
                </c:pt>
                <c:pt idx="82">
                  <c:v>6.4439999999999997E-2</c:v>
                </c:pt>
                <c:pt idx="83">
                  <c:v>6.0859999999999997E-2</c:v>
                </c:pt>
                <c:pt idx="84">
                  <c:v>5.7279999999999998E-2</c:v>
                </c:pt>
                <c:pt idx="85">
                  <c:v>5.3699999999999998E-2</c:v>
                </c:pt>
                <c:pt idx="86">
                  <c:v>5.0119999999999998E-2</c:v>
                </c:pt>
                <c:pt idx="87">
                  <c:v>4.6539999999999998E-2</c:v>
                </c:pt>
                <c:pt idx="88">
                  <c:v>4.2959999999999998E-2</c:v>
                </c:pt>
                <c:pt idx="89">
                  <c:v>3.9379999999999998E-2</c:v>
                </c:pt>
                <c:pt idx="90">
                  <c:v>3.5799999999999998E-2</c:v>
                </c:pt>
                <c:pt idx="91">
                  <c:v>3.2219999999999999E-2</c:v>
                </c:pt>
                <c:pt idx="92">
                  <c:v>2.8639999999999999E-2</c:v>
                </c:pt>
                <c:pt idx="93">
                  <c:v>2.5059999999999999E-2</c:v>
                </c:pt>
                <c:pt idx="94">
                  <c:v>2.1479999999999999E-2</c:v>
                </c:pt>
                <c:pt idx="95">
                  <c:v>1.7899999999999999E-2</c:v>
                </c:pt>
                <c:pt idx="96">
                  <c:v>1.4319999999999999E-2</c:v>
                </c:pt>
                <c:pt idx="97">
                  <c:v>1.074E-2</c:v>
                </c:pt>
                <c:pt idx="98">
                  <c:v>7.1599999999999997E-3</c:v>
                </c:pt>
                <c:pt idx="99">
                  <c:v>3.5799999999999998E-3</c:v>
                </c:pt>
                <c:pt idx="100">
                  <c:v>0</c:v>
                </c:pt>
              </c:numCache>
            </c:numRef>
          </c:xVal>
          <c:yVal>
            <c:numRef>
              <c:f>'Motor Characterization'!$K$2:$K$102</c:f>
              <c:numCache>
                <c:formatCode>0.00</c:formatCode>
                <c:ptCount val="101"/>
                <c:pt idx="0">
                  <c:v>2.3878824497149032E-5</c:v>
                </c:pt>
                <c:pt idx="1">
                  <c:v>142.69865350025478</c:v>
                </c:pt>
                <c:pt idx="2">
                  <c:v>285.39728312168927</c:v>
                </c:pt>
                <c:pt idx="3">
                  <c:v>428.09591274311958</c:v>
                </c:pt>
                <c:pt idx="4">
                  <c:v>570.7945423645541</c:v>
                </c:pt>
                <c:pt idx="5">
                  <c:v>713.49317198598646</c:v>
                </c:pt>
                <c:pt idx="6">
                  <c:v>856.19180160742098</c:v>
                </c:pt>
                <c:pt idx="7">
                  <c:v>998.89043122885346</c:v>
                </c:pt>
                <c:pt idx="8">
                  <c:v>1141.589060850288</c:v>
                </c:pt>
                <c:pt idx="9">
                  <c:v>1284.2876904717202</c:v>
                </c:pt>
                <c:pt idx="10">
                  <c:v>1426.9863200931547</c:v>
                </c:pt>
                <c:pt idx="11">
                  <c:v>1569.6849497145852</c:v>
                </c:pt>
                <c:pt idx="12">
                  <c:v>1712.3835793360197</c:v>
                </c:pt>
                <c:pt idx="13">
                  <c:v>1855.0822089574519</c:v>
                </c:pt>
                <c:pt idx="14">
                  <c:v>1997.7808385788844</c:v>
                </c:pt>
                <c:pt idx="15">
                  <c:v>2140.4794682003189</c:v>
                </c:pt>
                <c:pt idx="16">
                  <c:v>2283.1780978217512</c:v>
                </c:pt>
                <c:pt idx="17">
                  <c:v>2425.8767274431839</c:v>
                </c:pt>
                <c:pt idx="18">
                  <c:v>2568.5753570646184</c:v>
                </c:pt>
                <c:pt idx="19">
                  <c:v>2711.2739866860506</c:v>
                </c:pt>
                <c:pt idx="20">
                  <c:v>2853.9726163074852</c:v>
                </c:pt>
                <c:pt idx="21">
                  <c:v>2996.6712459289156</c:v>
                </c:pt>
                <c:pt idx="22">
                  <c:v>3139.3698755503501</c:v>
                </c:pt>
                <c:pt idx="23">
                  <c:v>3282.0685051717824</c:v>
                </c:pt>
                <c:pt idx="24">
                  <c:v>3424.7671347932169</c:v>
                </c:pt>
                <c:pt idx="25">
                  <c:v>3567.4657644146491</c:v>
                </c:pt>
                <c:pt idx="26">
                  <c:v>3710.1643940360836</c:v>
                </c:pt>
                <c:pt idx="27">
                  <c:v>3852.8630236575141</c:v>
                </c:pt>
                <c:pt idx="28">
                  <c:v>3995.5616532789486</c:v>
                </c:pt>
                <c:pt idx="29">
                  <c:v>4138.2602829003808</c:v>
                </c:pt>
                <c:pt idx="30">
                  <c:v>4280.9589125218154</c:v>
                </c:pt>
                <c:pt idx="31">
                  <c:v>4423.6575421432481</c:v>
                </c:pt>
                <c:pt idx="32">
                  <c:v>4566.3561717646808</c:v>
                </c:pt>
                <c:pt idx="33">
                  <c:v>4709.0548013861144</c:v>
                </c:pt>
                <c:pt idx="34">
                  <c:v>4851.7534310075462</c:v>
                </c:pt>
                <c:pt idx="35">
                  <c:v>4994.4520606289807</c:v>
                </c:pt>
                <c:pt idx="36">
                  <c:v>5137.1506902504134</c:v>
                </c:pt>
                <c:pt idx="37">
                  <c:v>5279.8493198718461</c:v>
                </c:pt>
                <c:pt idx="38">
                  <c:v>5422.5479494932788</c:v>
                </c:pt>
                <c:pt idx="39">
                  <c:v>5565.2465791147124</c:v>
                </c:pt>
                <c:pt idx="40">
                  <c:v>5707.945208736146</c:v>
                </c:pt>
                <c:pt idx="41">
                  <c:v>5850.6438383575796</c:v>
                </c:pt>
                <c:pt idx="42">
                  <c:v>5993.3424679790114</c:v>
                </c:pt>
                <c:pt idx="43">
                  <c:v>6136.0410976004441</c:v>
                </c:pt>
                <c:pt idx="44">
                  <c:v>6278.7397272218777</c:v>
                </c:pt>
                <c:pt idx="45">
                  <c:v>6421.4383568433113</c:v>
                </c:pt>
                <c:pt idx="46">
                  <c:v>6564.136986464744</c:v>
                </c:pt>
                <c:pt idx="47">
                  <c:v>6706.8356160861767</c:v>
                </c:pt>
                <c:pt idx="48">
                  <c:v>6849.5342457076094</c:v>
                </c:pt>
                <c:pt idx="49">
                  <c:v>6992.232875329044</c:v>
                </c:pt>
                <c:pt idx="50">
                  <c:v>7134.9315049504776</c:v>
                </c:pt>
                <c:pt idx="51">
                  <c:v>7277.6301345719094</c:v>
                </c:pt>
                <c:pt idx="52">
                  <c:v>7420.3287641933421</c:v>
                </c:pt>
                <c:pt idx="53">
                  <c:v>7563.0273938147757</c:v>
                </c:pt>
                <c:pt idx="54">
                  <c:v>7705.7260234362093</c:v>
                </c:pt>
                <c:pt idx="55">
                  <c:v>7848.424653057642</c:v>
                </c:pt>
                <c:pt idx="56">
                  <c:v>7991.1232826790747</c:v>
                </c:pt>
                <c:pt idx="57">
                  <c:v>8133.8219123005074</c:v>
                </c:pt>
                <c:pt idx="58">
                  <c:v>8276.5205419219401</c:v>
                </c:pt>
                <c:pt idx="59">
                  <c:v>8419.2191715433746</c:v>
                </c:pt>
                <c:pt idx="60">
                  <c:v>8561.9178011648073</c:v>
                </c:pt>
                <c:pt idx="61">
                  <c:v>8704.61643078624</c:v>
                </c:pt>
                <c:pt idx="62">
                  <c:v>8847.3150604076727</c:v>
                </c:pt>
                <c:pt idx="63">
                  <c:v>8990.0136900291072</c:v>
                </c:pt>
                <c:pt idx="64">
                  <c:v>9132.7123196505399</c:v>
                </c:pt>
                <c:pt idx="65">
                  <c:v>9275.4109492719726</c:v>
                </c:pt>
                <c:pt idx="66">
                  <c:v>9418.1095788934053</c:v>
                </c:pt>
                <c:pt idx="67">
                  <c:v>9560.808208514838</c:v>
                </c:pt>
                <c:pt idx="68">
                  <c:v>9703.5068381362726</c:v>
                </c:pt>
                <c:pt idx="69">
                  <c:v>9846.2054677577053</c:v>
                </c:pt>
                <c:pt idx="70">
                  <c:v>9988.9040973791361</c:v>
                </c:pt>
                <c:pt idx="71">
                  <c:v>10131.602727000571</c:v>
                </c:pt>
                <c:pt idx="72">
                  <c:v>10274.301356622003</c:v>
                </c:pt>
                <c:pt idx="73">
                  <c:v>10416.999986243438</c:v>
                </c:pt>
                <c:pt idx="74">
                  <c:v>10559.698615864871</c:v>
                </c:pt>
                <c:pt idx="75">
                  <c:v>10702.397245486303</c:v>
                </c:pt>
                <c:pt idx="76">
                  <c:v>10845.095875107736</c:v>
                </c:pt>
                <c:pt idx="77">
                  <c:v>10987.794504729171</c:v>
                </c:pt>
                <c:pt idx="78">
                  <c:v>11130.493134350603</c:v>
                </c:pt>
                <c:pt idx="79">
                  <c:v>11273.191763972034</c:v>
                </c:pt>
                <c:pt idx="80">
                  <c:v>11415.890393593469</c:v>
                </c:pt>
                <c:pt idx="81">
                  <c:v>11558.589023214901</c:v>
                </c:pt>
                <c:pt idx="82">
                  <c:v>11701.287652836334</c:v>
                </c:pt>
                <c:pt idx="83">
                  <c:v>11843.986282457767</c:v>
                </c:pt>
                <c:pt idx="84">
                  <c:v>11986.684912079201</c:v>
                </c:pt>
                <c:pt idx="85">
                  <c:v>12129.383541700634</c:v>
                </c:pt>
                <c:pt idx="86">
                  <c:v>12272.082171322068</c:v>
                </c:pt>
                <c:pt idx="87">
                  <c:v>12414.780800943501</c:v>
                </c:pt>
                <c:pt idx="88">
                  <c:v>12557.479430564932</c:v>
                </c:pt>
                <c:pt idx="89">
                  <c:v>12700.178060186365</c:v>
                </c:pt>
                <c:pt idx="90">
                  <c:v>12842.876689807799</c:v>
                </c:pt>
                <c:pt idx="91">
                  <c:v>12985.575319429232</c:v>
                </c:pt>
                <c:pt idx="92">
                  <c:v>13128.273949050665</c:v>
                </c:pt>
                <c:pt idx="93">
                  <c:v>13270.972578672099</c:v>
                </c:pt>
                <c:pt idx="94">
                  <c:v>13413.671208293532</c:v>
                </c:pt>
                <c:pt idx="95">
                  <c:v>13556.369837914965</c:v>
                </c:pt>
                <c:pt idx="96">
                  <c:v>13699.068467536399</c:v>
                </c:pt>
                <c:pt idx="97">
                  <c:v>13841.76709715783</c:v>
                </c:pt>
                <c:pt idx="98">
                  <c:v>13984.465726779263</c:v>
                </c:pt>
                <c:pt idx="99">
                  <c:v>14127.164356400697</c:v>
                </c:pt>
                <c:pt idx="100">
                  <c:v>14269.86298602213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BD-4268-A14E-8BAC27D77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48824"/>
        <c:axId val="505849808"/>
      </c:scatterChart>
      <c:scatterChart>
        <c:scatterStyle val="smoothMarker"/>
        <c:varyColors val="0"/>
        <c:ser>
          <c:idx val="1"/>
          <c:order val="1"/>
          <c:tx>
            <c:strRef>
              <c:f>'Motor Characterization'!$M$1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'Motor Characterization'!$L$2:$L$102</c:f>
              <c:numCache>
                <c:formatCode>General</c:formatCode>
                <c:ptCount val="101"/>
                <c:pt idx="0">
                  <c:v>0.35799999999999998</c:v>
                </c:pt>
                <c:pt idx="1">
                  <c:v>0.35442000000000001</c:v>
                </c:pt>
                <c:pt idx="2">
                  <c:v>0.35083999999999999</c:v>
                </c:pt>
                <c:pt idx="3">
                  <c:v>0.34726000000000001</c:v>
                </c:pt>
                <c:pt idx="4">
                  <c:v>0.34367999999999999</c:v>
                </c:pt>
                <c:pt idx="5">
                  <c:v>0.34010000000000001</c:v>
                </c:pt>
                <c:pt idx="6">
                  <c:v>0.33651999999999999</c:v>
                </c:pt>
                <c:pt idx="7">
                  <c:v>0.33294000000000001</c:v>
                </c:pt>
                <c:pt idx="8">
                  <c:v>0.32935999999999999</c:v>
                </c:pt>
                <c:pt idx="9">
                  <c:v>0.32578000000000001</c:v>
                </c:pt>
                <c:pt idx="10">
                  <c:v>0.32219999999999999</c:v>
                </c:pt>
                <c:pt idx="11">
                  <c:v>0.31862000000000001</c:v>
                </c:pt>
                <c:pt idx="12">
                  <c:v>0.31503999999999999</c:v>
                </c:pt>
                <c:pt idx="13">
                  <c:v>0.31146000000000001</c:v>
                </c:pt>
                <c:pt idx="14">
                  <c:v>0.30787999999999999</c:v>
                </c:pt>
                <c:pt idx="15">
                  <c:v>0.30430000000000001</c:v>
                </c:pt>
                <c:pt idx="16">
                  <c:v>0.30071999999999999</c:v>
                </c:pt>
                <c:pt idx="17">
                  <c:v>0.29714000000000002</c:v>
                </c:pt>
                <c:pt idx="18">
                  <c:v>0.29355999999999999</c:v>
                </c:pt>
                <c:pt idx="19">
                  <c:v>0.28998000000000002</c:v>
                </c:pt>
                <c:pt idx="20">
                  <c:v>0.28639999999999999</c:v>
                </c:pt>
                <c:pt idx="21">
                  <c:v>0.28282000000000002</c:v>
                </c:pt>
                <c:pt idx="22">
                  <c:v>0.27923999999999999</c:v>
                </c:pt>
                <c:pt idx="23">
                  <c:v>0.27566000000000002</c:v>
                </c:pt>
                <c:pt idx="24">
                  <c:v>0.27207999999999999</c:v>
                </c:pt>
                <c:pt idx="25">
                  <c:v>0.26850000000000002</c:v>
                </c:pt>
                <c:pt idx="26">
                  <c:v>0.26491999999999999</c:v>
                </c:pt>
                <c:pt idx="27">
                  <c:v>0.26134000000000002</c:v>
                </c:pt>
                <c:pt idx="28">
                  <c:v>0.25775999999999999</c:v>
                </c:pt>
                <c:pt idx="29">
                  <c:v>0.25418000000000002</c:v>
                </c:pt>
                <c:pt idx="30">
                  <c:v>0.25059999999999999</c:v>
                </c:pt>
                <c:pt idx="31">
                  <c:v>0.24701999999999999</c:v>
                </c:pt>
                <c:pt idx="32">
                  <c:v>0.24343999999999999</c:v>
                </c:pt>
                <c:pt idx="33">
                  <c:v>0.23985999999999999</c:v>
                </c:pt>
                <c:pt idx="34">
                  <c:v>0.23627999999999999</c:v>
                </c:pt>
                <c:pt idx="35">
                  <c:v>0.23269999999999999</c:v>
                </c:pt>
                <c:pt idx="36">
                  <c:v>0.22911999999999999</c:v>
                </c:pt>
                <c:pt idx="37">
                  <c:v>0.22553999999999999</c:v>
                </c:pt>
                <c:pt idx="38">
                  <c:v>0.22195999999999999</c:v>
                </c:pt>
                <c:pt idx="39">
                  <c:v>0.21837999999999999</c:v>
                </c:pt>
                <c:pt idx="40">
                  <c:v>0.21479999999999999</c:v>
                </c:pt>
                <c:pt idx="41">
                  <c:v>0.21121999999999999</c:v>
                </c:pt>
                <c:pt idx="42">
                  <c:v>0.20763999999999999</c:v>
                </c:pt>
                <c:pt idx="43">
                  <c:v>0.20405999999999999</c:v>
                </c:pt>
                <c:pt idx="44">
                  <c:v>0.20047999999999999</c:v>
                </c:pt>
                <c:pt idx="45">
                  <c:v>0.19689999999999999</c:v>
                </c:pt>
                <c:pt idx="46">
                  <c:v>0.19331999999999999</c:v>
                </c:pt>
                <c:pt idx="47">
                  <c:v>0.18973999999999999</c:v>
                </c:pt>
                <c:pt idx="48">
                  <c:v>0.18615999999999999</c:v>
                </c:pt>
                <c:pt idx="49">
                  <c:v>0.18257999999999999</c:v>
                </c:pt>
                <c:pt idx="50">
                  <c:v>0.17899999999999999</c:v>
                </c:pt>
                <c:pt idx="51">
                  <c:v>0.17541999999999999</c:v>
                </c:pt>
                <c:pt idx="52">
                  <c:v>0.17183999999999999</c:v>
                </c:pt>
                <c:pt idx="53">
                  <c:v>0.16825999999999999</c:v>
                </c:pt>
                <c:pt idx="54">
                  <c:v>0.16467999999999999</c:v>
                </c:pt>
                <c:pt idx="55">
                  <c:v>0.16109999999999999</c:v>
                </c:pt>
                <c:pt idx="56">
                  <c:v>0.15751999999999999</c:v>
                </c:pt>
                <c:pt idx="57">
                  <c:v>0.15393999999999999</c:v>
                </c:pt>
                <c:pt idx="58">
                  <c:v>0.15035999999999999</c:v>
                </c:pt>
                <c:pt idx="59">
                  <c:v>0.14677999999999999</c:v>
                </c:pt>
                <c:pt idx="60">
                  <c:v>0.14319999999999999</c:v>
                </c:pt>
                <c:pt idx="61">
                  <c:v>0.13961999999999999</c:v>
                </c:pt>
                <c:pt idx="62">
                  <c:v>0.13603999999999999</c:v>
                </c:pt>
                <c:pt idx="63">
                  <c:v>0.13245999999999999</c:v>
                </c:pt>
                <c:pt idx="64">
                  <c:v>0.12887999999999999</c:v>
                </c:pt>
                <c:pt idx="65">
                  <c:v>0.12529999999999999</c:v>
                </c:pt>
                <c:pt idx="66">
                  <c:v>0.12171999999999999</c:v>
                </c:pt>
                <c:pt idx="67">
                  <c:v>0.11814</c:v>
                </c:pt>
                <c:pt idx="68">
                  <c:v>0.11456</c:v>
                </c:pt>
                <c:pt idx="69">
                  <c:v>0.11098</c:v>
                </c:pt>
                <c:pt idx="70">
                  <c:v>0.1074</c:v>
                </c:pt>
                <c:pt idx="71">
                  <c:v>0.10382</c:v>
                </c:pt>
                <c:pt idx="72">
                  <c:v>0.10024</c:v>
                </c:pt>
                <c:pt idx="73">
                  <c:v>9.6659999999999996E-2</c:v>
                </c:pt>
                <c:pt idx="74">
                  <c:v>9.3079999999999996E-2</c:v>
                </c:pt>
                <c:pt idx="75">
                  <c:v>8.9499999999999996E-2</c:v>
                </c:pt>
                <c:pt idx="76">
                  <c:v>8.5919999999999996E-2</c:v>
                </c:pt>
                <c:pt idx="77">
                  <c:v>8.2339999999999997E-2</c:v>
                </c:pt>
                <c:pt idx="78">
                  <c:v>7.8759999999999997E-2</c:v>
                </c:pt>
                <c:pt idx="79">
                  <c:v>7.5179999999999997E-2</c:v>
                </c:pt>
                <c:pt idx="80">
                  <c:v>7.1599999999999997E-2</c:v>
                </c:pt>
                <c:pt idx="81">
                  <c:v>6.8019999999999997E-2</c:v>
                </c:pt>
                <c:pt idx="82">
                  <c:v>6.4439999999999997E-2</c:v>
                </c:pt>
                <c:pt idx="83">
                  <c:v>6.0859999999999997E-2</c:v>
                </c:pt>
                <c:pt idx="84">
                  <c:v>5.7279999999999998E-2</c:v>
                </c:pt>
                <c:pt idx="85">
                  <c:v>5.3699999999999998E-2</c:v>
                </c:pt>
                <c:pt idx="86">
                  <c:v>5.0119999999999998E-2</c:v>
                </c:pt>
                <c:pt idx="87">
                  <c:v>4.6539999999999998E-2</c:v>
                </c:pt>
                <c:pt idx="88">
                  <c:v>4.2959999999999998E-2</c:v>
                </c:pt>
                <c:pt idx="89">
                  <c:v>3.9379999999999998E-2</c:v>
                </c:pt>
                <c:pt idx="90">
                  <c:v>3.5799999999999998E-2</c:v>
                </c:pt>
                <c:pt idx="91">
                  <c:v>3.2219999999999999E-2</c:v>
                </c:pt>
                <c:pt idx="92">
                  <c:v>2.8639999999999999E-2</c:v>
                </c:pt>
                <c:pt idx="93">
                  <c:v>2.5059999999999999E-2</c:v>
                </c:pt>
                <c:pt idx="94">
                  <c:v>2.1479999999999999E-2</c:v>
                </c:pt>
                <c:pt idx="95">
                  <c:v>1.7899999999999999E-2</c:v>
                </c:pt>
                <c:pt idx="96">
                  <c:v>1.4319999999999999E-2</c:v>
                </c:pt>
                <c:pt idx="97">
                  <c:v>1.074E-2</c:v>
                </c:pt>
                <c:pt idx="98">
                  <c:v>7.1599999999999997E-3</c:v>
                </c:pt>
                <c:pt idx="99">
                  <c:v>3.5799999999999998E-3</c:v>
                </c:pt>
                <c:pt idx="100">
                  <c:v>0</c:v>
                </c:pt>
              </c:numCache>
            </c:numRef>
          </c:xVal>
          <c:yVal>
            <c:numRef>
              <c:f>'Motor Characterization'!$M$2:$M$102</c:f>
              <c:numCache>
                <c:formatCode>General</c:formatCode>
                <c:ptCount val="101"/>
                <c:pt idx="0">
                  <c:v>71.235026202236327</c:v>
                </c:pt>
                <c:pt idx="1">
                  <c:v>70.522675940213972</c:v>
                </c:pt>
                <c:pt idx="2">
                  <c:v>69.810325678191603</c:v>
                </c:pt>
                <c:pt idx="3">
                  <c:v>69.097975416169248</c:v>
                </c:pt>
                <c:pt idx="4">
                  <c:v>68.385625154146879</c:v>
                </c:pt>
                <c:pt idx="5">
                  <c:v>67.673274892124525</c:v>
                </c:pt>
                <c:pt idx="6">
                  <c:v>66.960924630102156</c:v>
                </c:pt>
                <c:pt idx="7">
                  <c:v>66.248574368079787</c:v>
                </c:pt>
                <c:pt idx="8">
                  <c:v>65.536224106057418</c:v>
                </c:pt>
                <c:pt idx="9">
                  <c:v>64.823873844035063</c:v>
                </c:pt>
                <c:pt idx="10">
                  <c:v>64.111523582012694</c:v>
                </c:pt>
                <c:pt idx="11">
                  <c:v>63.399173319990339</c:v>
                </c:pt>
                <c:pt idx="12">
                  <c:v>62.68682305796797</c:v>
                </c:pt>
                <c:pt idx="13">
                  <c:v>61.974472795945616</c:v>
                </c:pt>
                <c:pt idx="14">
                  <c:v>61.262122533923247</c:v>
                </c:pt>
                <c:pt idx="15">
                  <c:v>60.549772271900885</c:v>
                </c:pt>
                <c:pt idx="16">
                  <c:v>59.837422009878516</c:v>
                </c:pt>
                <c:pt idx="17">
                  <c:v>59.125071747856161</c:v>
                </c:pt>
                <c:pt idx="18">
                  <c:v>58.412721485833792</c:v>
                </c:pt>
                <c:pt idx="19">
                  <c:v>57.70037122381143</c:v>
                </c:pt>
                <c:pt idx="20">
                  <c:v>56.988020961789061</c:v>
                </c:pt>
                <c:pt idx="21">
                  <c:v>56.275670699766707</c:v>
                </c:pt>
                <c:pt idx="22">
                  <c:v>55.563320437744338</c:v>
                </c:pt>
                <c:pt idx="23">
                  <c:v>54.850970175721983</c:v>
                </c:pt>
                <c:pt idx="24">
                  <c:v>54.138619913699614</c:v>
                </c:pt>
                <c:pt idx="25">
                  <c:v>53.426269651677252</c:v>
                </c:pt>
                <c:pt idx="26">
                  <c:v>52.713919389654883</c:v>
                </c:pt>
                <c:pt idx="27">
                  <c:v>52.001569127632528</c:v>
                </c:pt>
                <c:pt idx="28">
                  <c:v>51.28921886561016</c:v>
                </c:pt>
                <c:pt idx="29">
                  <c:v>50.576868603587798</c:v>
                </c:pt>
                <c:pt idx="30">
                  <c:v>49.864518341565429</c:v>
                </c:pt>
                <c:pt idx="31">
                  <c:v>49.152168079543067</c:v>
                </c:pt>
                <c:pt idx="32">
                  <c:v>48.439817817520705</c:v>
                </c:pt>
                <c:pt idx="33">
                  <c:v>47.727467555498343</c:v>
                </c:pt>
                <c:pt idx="34">
                  <c:v>47.015117293475981</c:v>
                </c:pt>
                <c:pt idx="35">
                  <c:v>46.302767031453612</c:v>
                </c:pt>
                <c:pt idx="36">
                  <c:v>45.590416769431251</c:v>
                </c:pt>
                <c:pt idx="37">
                  <c:v>44.878066507408889</c:v>
                </c:pt>
                <c:pt idx="38">
                  <c:v>44.165716245386527</c:v>
                </c:pt>
                <c:pt idx="39">
                  <c:v>43.453365983364165</c:v>
                </c:pt>
                <c:pt idx="40">
                  <c:v>42.741015721341796</c:v>
                </c:pt>
                <c:pt idx="41">
                  <c:v>42.028665459319434</c:v>
                </c:pt>
                <c:pt idx="42">
                  <c:v>41.316315197297072</c:v>
                </c:pt>
                <c:pt idx="43">
                  <c:v>40.603964935274711</c:v>
                </c:pt>
                <c:pt idx="44">
                  <c:v>39.891614673252349</c:v>
                </c:pt>
                <c:pt idx="45">
                  <c:v>39.17926441122998</c:v>
                </c:pt>
                <c:pt idx="46">
                  <c:v>38.466914149207618</c:v>
                </c:pt>
                <c:pt idx="47">
                  <c:v>37.754563887185256</c:v>
                </c:pt>
                <c:pt idx="48">
                  <c:v>37.042213625162894</c:v>
                </c:pt>
                <c:pt idx="49">
                  <c:v>36.329863363140525</c:v>
                </c:pt>
                <c:pt idx="50">
                  <c:v>35.617513101118163</c:v>
                </c:pt>
                <c:pt idx="51">
                  <c:v>34.905162839095802</c:v>
                </c:pt>
                <c:pt idx="52">
                  <c:v>34.19281257707344</c:v>
                </c:pt>
                <c:pt idx="53">
                  <c:v>33.480462315051078</c:v>
                </c:pt>
                <c:pt idx="54">
                  <c:v>32.768112053028709</c:v>
                </c:pt>
                <c:pt idx="55">
                  <c:v>32.055761791006347</c:v>
                </c:pt>
                <c:pt idx="56">
                  <c:v>31.343411528983985</c:v>
                </c:pt>
                <c:pt idx="57">
                  <c:v>30.631061266961623</c:v>
                </c:pt>
                <c:pt idx="58">
                  <c:v>29.918711004939258</c:v>
                </c:pt>
                <c:pt idx="59">
                  <c:v>29.206360742916896</c:v>
                </c:pt>
                <c:pt idx="60">
                  <c:v>28.494010480894531</c:v>
                </c:pt>
                <c:pt idx="61">
                  <c:v>27.781660218872169</c:v>
                </c:pt>
                <c:pt idx="62">
                  <c:v>27.069309956849807</c:v>
                </c:pt>
                <c:pt idx="63">
                  <c:v>26.356959694827442</c:v>
                </c:pt>
                <c:pt idx="64">
                  <c:v>25.64460943280508</c:v>
                </c:pt>
                <c:pt idx="65">
                  <c:v>24.932259170782714</c:v>
                </c:pt>
                <c:pt idx="66">
                  <c:v>24.219908908760353</c:v>
                </c:pt>
                <c:pt idx="67">
                  <c:v>23.507558646737991</c:v>
                </c:pt>
                <c:pt idx="68">
                  <c:v>22.795208384715625</c:v>
                </c:pt>
                <c:pt idx="69">
                  <c:v>22.082858122693263</c:v>
                </c:pt>
                <c:pt idx="70">
                  <c:v>21.370507860670898</c:v>
                </c:pt>
                <c:pt idx="71">
                  <c:v>20.658157598648536</c:v>
                </c:pt>
                <c:pt idx="72">
                  <c:v>19.945807336626174</c:v>
                </c:pt>
                <c:pt idx="73">
                  <c:v>19.233457074603809</c:v>
                </c:pt>
                <c:pt idx="74">
                  <c:v>18.521106812581447</c:v>
                </c:pt>
                <c:pt idx="75">
                  <c:v>17.808756550559082</c:v>
                </c:pt>
                <c:pt idx="76">
                  <c:v>17.09640628853672</c:v>
                </c:pt>
                <c:pt idx="77">
                  <c:v>16.384056026514354</c:v>
                </c:pt>
                <c:pt idx="78">
                  <c:v>15.671705764491993</c:v>
                </c:pt>
                <c:pt idx="79">
                  <c:v>14.959355502469629</c:v>
                </c:pt>
                <c:pt idx="80">
                  <c:v>14.247005240447265</c:v>
                </c:pt>
                <c:pt idx="81">
                  <c:v>13.534654978424904</c:v>
                </c:pt>
                <c:pt idx="82">
                  <c:v>12.82230471640254</c:v>
                </c:pt>
                <c:pt idx="83">
                  <c:v>12.109954454380176</c:v>
                </c:pt>
                <c:pt idx="84">
                  <c:v>11.397604192357813</c:v>
                </c:pt>
                <c:pt idx="85">
                  <c:v>10.685253930335449</c:v>
                </c:pt>
                <c:pt idx="86">
                  <c:v>9.9729036683130872</c:v>
                </c:pt>
                <c:pt idx="87">
                  <c:v>9.2605534062907235</c:v>
                </c:pt>
                <c:pt idx="88">
                  <c:v>8.5482031442683599</c:v>
                </c:pt>
                <c:pt idx="89">
                  <c:v>7.8358528822459963</c:v>
                </c:pt>
                <c:pt idx="90">
                  <c:v>7.1235026202236327</c:v>
                </c:pt>
                <c:pt idx="91">
                  <c:v>6.4111523582012699</c:v>
                </c:pt>
                <c:pt idx="92">
                  <c:v>5.6988020961789063</c:v>
                </c:pt>
                <c:pt idx="93">
                  <c:v>4.9864518341565436</c:v>
                </c:pt>
                <c:pt idx="94">
                  <c:v>4.27410157213418</c:v>
                </c:pt>
                <c:pt idx="95">
                  <c:v>3.5617513101118163</c:v>
                </c:pt>
                <c:pt idx="96">
                  <c:v>2.8494010480894532</c:v>
                </c:pt>
                <c:pt idx="97">
                  <c:v>2.13705078606709</c:v>
                </c:pt>
                <c:pt idx="98">
                  <c:v>1.4247005240447266</c:v>
                </c:pt>
                <c:pt idx="99">
                  <c:v>0.71235026202236329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BD-4268-A14E-8BAC27D77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51448"/>
        <c:axId val="505850792"/>
      </c:scatterChart>
      <c:valAx>
        <c:axId val="50584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9808"/>
        <c:crosses val="autoZero"/>
        <c:crossBetween val="midCat"/>
      </c:valAx>
      <c:valAx>
        <c:axId val="5058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8824"/>
        <c:crosses val="autoZero"/>
        <c:crossBetween val="midCat"/>
      </c:valAx>
      <c:valAx>
        <c:axId val="505850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51448"/>
        <c:crosses val="max"/>
        <c:crossBetween val="midCat"/>
      </c:valAx>
      <c:valAx>
        <c:axId val="505851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85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7</xdr:row>
      <xdr:rowOff>52387</xdr:rowOff>
    </xdr:from>
    <xdr:to>
      <xdr:col>9</xdr:col>
      <xdr:colOff>352425</xdr:colOff>
      <xdr:row>21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5F33BE-13EE-4690-96B5-939DE5537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23</xdr:row>
      <xdr:rowOff>133350</xdr:rowOff>
    </xdr:from>
    <xdr:to>
      <xdr:col>9</xdr:col>
      <xdr:colOff>295275</xdr:colOff>
      <xdr:row>38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F407E1-80F3-4619-92DE-D9B6BB419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Talbert" refreshedDate="43319.654593981482" createdVersion="5" refreshedVersion="6" minRefreshableVersion="3" recordCount="40" xr:uid="{00000000-000A-0000-FFFF-FFFF00000000}">
  <cacheSource type="worksheet">
    <worksheetSource name="Costs"/>
  </cacheSource>
  <cacheFields count="4">
    <cacheField name="Item" numFmtId="0">
      <sharedItems/>
    </cacheField>
    <cacheField name="Component Name" numFmtId="0">
      <sharedItems count="22">
        <s v=""/>
        <s v="22.2 V Lithuim Polymer Battery back"/>
        <s v="22.2V Lithium Ion Battery Pack"/>
        <s v="Adjustable Linear Voltage Regulator"/>
        <s v="Raspberry Pi 3 Rev 1.2"/>
        <s v="Ubiquity Rocket M5"/>
        <s v="16-Port network switch"/>
        <s v="Nextrox DC/DC Converter Regulator 24V Step Down to 12V 20A 240W"/>
        <s v="Virtual Node for system isolation"/>
        <s v="Talon SRX DC Motor  Driver"/>
        <s v="Banebots RS-550 Motor 19300rpm 12V 70.55oz-in"/>
        <s v="???"/>
        <s v="ELP 1280720p 1MP Camera"/>
        <s v="26 RPM Premium Planetary Gear Motor w/Encoder" u="1"/>
        <s v="Ubiquity Rocket M3" u="1"/>
        <s v="Homemade POE injection" u="1"/>
        <s v="12 RPM HD Premium Planetary Gear Motor w/Encoder" u="1"/>
        <s v="24 V Lithuim Ion Battery back" u="1"/>
        <s v="Victor SP DC Motor Driver" u="1"/>
        <s v="Linear Voltage Regulator" u="1"/>
        <s v="Linear Regulator" u="1"/>
        <s v="AMO-3G12 - Ubiquiti Antenna 3.4-3.7 GHz 12dBi Omni-directional" u="1"/>
      </sharedItems>
    </cacheField>
    <cacheField name="Cost" numFmtId="164">
      <sharedItems containsMixedTypes="1" containsNumber="1" minValue="0" maxValue="254"/>
    </cacheField>
    <cacheField name="Field1" numFmtId="0" formula="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"/>
    <x v="0"/>
    <s v=""/>
  </r>
  <r>
    <s v="Primary Battery Pack"/>
    <x v="1"/>
    <n v="254"/>
  </r>
  <r>
    <s v="E-Box Battery"/>
    <x v="2"/>
    <n v="0"/>
  </r>
  <r>
    <s v="Logic Supply"/>
    <x v="3"/>
    <n v="8.48"/>
  </r>
  <r>
    <s v="Master Control"/>
    <x v="4"/>
    <n v="30"/>
  </r>
  <r>
    <s v="Network Power"/>
    <x v="3"/>
    <n v="8.48"/>
  </r>
  <r>
    <s v="Transceiver"/>
    <x v="5"/>
    <n v="180"/>
  </r>
  <r>
    <s v="Network Switch"/>
    <x v="6"/>
    <n v="60"/>
  </r>
  <r>
    <s v="Dirty Power 1"/>
    <x v="7"/>
    <n v="16"/>
  </r>
  <r>
    <s v="Dirty Power 2"/>
    <x v="7"/>
    <n v="16"/>
  </r>
  <r>
    <s v="Drivetrain Power"/>
    <x v="8"/>
    <n v="0"/>
  </r>
  <r>
    <s v="FrontRight ESC"/>
    <x v="9"/>
    <n v="90"/>
  </r>
  <r>
    <s v="FrontRight Motor"/>
    <x v="10"/>
    <n v="7.25"/>
  </r>
  <r>
    <s v="MidRight ESC"/>
    <x v="9"/>
    <n v="90"/>
  </r>
  <r>
    <s v="MidRight Motor"/>
    <x v="10"/>
    <n v="7.25"/>
  </r>
  <r>
    <s v="BackRight ESC"/>
    <x v="9"/>
    <n v="90"/>
  </r>
  <r>
    <s v="BackRight Motor"/>
    <x v="10"/>
    <n v="7.25"/>
  </r>
  <r>
    <s v="FrontLeft ESC"/>
    <x v="9"/>
    <n v="90"/>
  </r>
  <r>
    <s v="FrontLeft Motor"/>
    <x v="10"/>
    <n v="7.25"/>
  </r>
  <r>
    <s v="MidLeft ESC"/>
    <x v="9"/>
    <n v="90"/>
  </r>
  <r>
    <s v="MidLeft Motor"/>
    <x v="10"/>
    <n v="7.25"/>
  </r>
  <r>
    <s v="BackLeft ESC"/>
    <x v="9"/>
    <n v="90"/>
  </r>
  <r>
    <s v="BackLeft Motor"/>
    <x v="10"/>
    <n v="7.25"/>
  </r>
  <r>
    <s v="Cooling Fans Power"/>
    <x v="8"/>
    <n v="0"/>
  </r>
  <r>
    <s v="Colling Fan 1"/>
    <x v="11"/>
    <n v="18"/>
  </r>
  <r>
    <s v="Colling Fan 2"/>
    <x v="11"/>
    <n v="18"/>
  </r>
  <r>
    <s v="Colling Fan 3"/>
    <x v="11"/>
    <n v="18"/>
  </r>
  <r>
    <s v="Colling Fan 4"/>
    <x v="11"/>
    <n v="18"/>
  </r>
  <r>
    <s v="Colling Fan 5"/>
    <x v="11"/>
    <n v="18"/>
  </r>
  <r>
    <s v="Colling Fan 6"/>
    <x v="11"/>
    <n v="18"/>
  </r>
  <r>
    <s v="Colling Fan 7"/>
    <x v="11"/>
    <n v="18"/>
  </r>
  <r>
    <s v="Colling Fan 8"/>
    <x v="11"/>
    <n v="18"/>
  </r>
  <r>
    <s v="Hazard Camera 1"/>
    <x v="12"/>
    <n v="20"/>
  </r>
  <r>
    <s v="Hazard Camera 2"/>
    <x v="12"/>
    <n v="20"/>
  </r>
  <r>
    <s v="Hazard Camera 3"/>
    <x v="12"/>
    <n v="20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Costs By Component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Component">
  <location ref="E1:G14" firstHeaderRow="0" firstDataRow="1" firstDataCol="1"/>
  <pivotFields count="4">
    <pivotField showAll="0"/>
    <pivotField axis="axisRow" showAll="0" includeNewItemsInFilter="1">
      <items count="23">
        <item h="1" x="0"/>
        <item m="1" x="16"/>
        <item m="1" x="13"/>
        <item m="1" x="21"/>
        <item x="10"/>
        <item m="1" x="15"/>
        <item m="1" x="20"/>
        <item x="4"/>
        <item m="1" x="14"/>
        <item m="1" x="18"/>
        <item m="1" x="17"/>
        <item m="1" x="19"/>
        <item x="3"/>
        <item x="5"/>
        <item x="7"/>
        <item x="8"/>
        <item x="9"/>
        <item x="1"/>
        <item x="2"/>
        <item x="11"/>
        <item x="12"/>
        <item x="6"/>
        <item t="default"/>
      </items>
    </pivotField>
    <pivotField dataField="1" showAll="0"/>
    <pivotField dataField="1" dragToRow="0" dragToCol="0" dragToPage="0" showAll="0" defaultSubtotal="0"/>
  </pivotFields>
  <rowFields count="1">
    <field x="1"/>
  </rowFields>
  <rowItems count="13">
    <i>
      <x v="4"/>
    </i>
    <i>
      <x v="7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2" subtotal="count" baseField="1" baseItem="1"/>
    <dataField name="Total Cost" fld="3" baseField="1" baseItem="1" numFmtId="164"/>
  </dataFields>
  <formats count="1"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onentData" displayName="ComponentData" ref="A1:N16" totalsRowShown="0" headerRowDxfId="81">
  <autoFilter ref="A1:N16" xr:uid="{00000000-0009-0000-0100-000002000000}"/>
  <tableColumns count="14">
    <tableColumn id="1" xr3:uid="{00000000-0010-0000-0000-000001000000}" name="ID" dataDxfId="80"/>
    <tableColumn id="6" xr3:uid="{00000000-0010-0000-0000-000006000000}" name="Name" dataDxfId="79"/>
    <tableColumn id="2" xr3:uid="{00000000-0010-0000-0000-000002000000}" name="Manufacturer" dataDxfId="78"/>
    <tableColumn id="3" xr3:uid="{00000000-0010-0000-0000-000003000000}" name="Source" dataDxfId="77"/>
    <tableColumn id="14" xr3:uid="{6A244259-BB2A-459C-B0E1-991C19EA0C8F}" name="Notes" dataDxfId="76" dataCellStyle="Hyperlink"/>
    <tableColumn id="4" xr3:uid="{00000000-0010-0000-0000-000004000000}" name="Price" dataDxfId="75"/>
    <tableColumn id="5" xr3:uid="{00000000-0010-0000-0000-000005000000}" name="Peak Consumption (W)" dataDxfId="74"/>
    <tableColumn id="10" xr3:uid="{00000000-0010-0000-0000-00000A000000}" name="Constant Consumption (W)" dataDxfId="73"/>
    <tableColumn id="7" xr3:uid="{00000000-0010-0000-0000-000007000000}" name="Output (V)" dataDxfId="72"/>
    <tableColumn id="8" xr3:uid="{00000000-0010-0000-0000-000008000000}" name="Output (A)" dataDxfId="71">
      <calculatedColumnFormula>MAX(ComponentData[[#This Row],[Output Current Limit (A)]], ComponentData[[#This Row],[Discharge (for batteries)]]*ComponentData[[#This Row],[Battery (mAh)]]/1000)</calculatedColumnFormula>
    </tableColumn>
    <tableColumn id="13" xr3:uid="{EAB38889-81D8-483D-81AD-0E87BE980AFE}" name="Output Current Limit (A)" dataDxfId="70"/>
    <tableColumn id="12" xr3:uid="{7019C30C-0028-430A-9C9F-F1D685462011}" name="Discharge (for batteries)" dataDxfId="69"/>
    <tableColumn id="9" xr3:uid="{00000000-0010-0000-0000-000009000000}" name="Battery (mAh)" dataDxfId="68"/>
    <tableColumn id="11" xr3:uid="{00000000-0010-0000-0000-00000B000000}" name="Thoughput Loss" dataDxfId="6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Items" displayName="Items" ref="A1:N35" totalsRowShown="0" headerRowDxfId="66" dataDxfId="65">
  <autoFilter ref="A1:N35" xr:uid="{00000000-0009-0000-0100-000003000000}"/>
  <tableColumns count="14">
    <tableColumn id="1" xr3:uid="{00000000-0010-0000-0100-000001000000}" name="ItemID" dataDxfId="64"/>
    <tableColumn id="2" xr3:uid="{00000000-0010-0000-0100-000002000000}" name="Component" dataDxfId="63"/>
    <tableColumn id="3" xr3:uid="{00000000-0010-0000-0100-000003000000}" name="Supply Item" dataDxfId="62"/>
    <tableColumn id="4" xr3:uid="{00000000-0010-0000-0100-000004000000}" name="Supply Component" dataDxfId="61">
      <calculatedColumnFormula>IF(OR(ISBLANK(Items[[#This Row],[Supply Item]]), Items[[#This Row],[Supply Item]]="", Items[[#This Row],[Supply Item]]=0), "", VLOOKUP(Items[[#This Row],[Supply Item]], Items[], COLUMN(Items[Component])-COLUMN(Items[])+1, FALSE))</calculatedColumnFormula>
    </tableColumn>
    <tableColumn id="5" xr3:uid="{00000000-0010-0000-0100-000005000000}" name="Name" dataDxfId="60">
      <calculatedColumnFormula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calculatedColumnFormula>
    </tableColumn>
    <tableColumn id="6" xr3:uid="{00000000-0010-0000-0100-000006000000}" name="Manufacturer" dataDxfId="59">
      <calculatedColumnFormula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calculatedColumnFormula>
    </tableColumn>
    <tableColumn id="7" xr3:uid="{00000000-0010-0000-0100-000007000000}" name="Source" dataDxfId="58">
      <calculatedColumnFormula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calculatedColumnFormula>
    </tableColumn>
    <tableColumn id="8" xr3:uid="{00000000-0010-0000-0100-000008000000}" name="Price" dataDxfId="57">
      <calculatedColumnFormula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calculatedColumnFormula>
    </tableColumn>
    <tableColumn id="9" xr3:uid="{00000000-0010-0000-0100-000009000000}" name="Peak Consumption (W)" dataDxfId="56">
      <calculatedColumnFormula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calculatedColumnFormula>
    </tableColumn>
    <tableColumn id="10" xr3:uid="{00000000-0010-0000-0100-00000A000000}" name="Constant Consumption (W)" dataDxfId="55">
      <calculatedColumnFormula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calculatedColumnFormula>
    </tableColumn>
    <tableColumn id="11" xr3:uid="{00000000-0010-0000-0100-00000B000000}" name="Output (V)" dataDxfId="54">
      <calculatedColumnFormula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calculatedColumnFormula>
    </tableColumn>
    <tableColumn id="12" xr3:uid="{00000000-0010-0000-0100-00000C000000}" name="Output (A)" dataDxfId="53">
      <calculatedColumnFormula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calculatedColumnFormula>
    </tableColumn>
    <tableColumn id="13" xr3:uid="{00000000-0010-0000-0100-00000D000000}" name="Battery (mAh)" dataDxfId="52">
      <calculatedColumnFormula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calculatedColumnFormula>
    </tableColumn>
    <tableColumn id="14" xr3:uid="{00000000-0010-0000-0100-00000E000000}" name="Thoughput Loss" dataDxfId="51">
      <calculatedColumnFormula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Analysis" displayName="Analysis" ref="A1:O43" totalsRowCount="1">
  <autoFilter ref="A1:O42" xr:uid="{00000000-0009-0000-0100-000006000000}"/>
  <tableColumns count="15">
    <tableColumn id="1" xr3:uid="{00000000-0010-0000-0200-000001000000}" name="ItemID" dataDxfId="50" totalsRowDxfId="49">
      <calculatedColumnFormula>IF(IFERROR(Items[[#This Row],[ItemID]], 0)=0, "", Items[[#This Row],[ItemID]])</calculatedColumnFormula>
    </tableColumn>
    <tableColumn id="5" xr3:uid="{00000000-0010-0000-0200-000005000000}" name="Supply Item" dataDxfId="48" totalsRowDxfId="47"/>
    <tableColumn id="11" xr3:uid="{00000000-0010-0000-0200-00000B000000}" name="Input (V)" dataDxfId="46" totalsRowDxfId="45">
      <calculatedColumnFormula>IF(OR(ISBLANK(Analysis[[#This Row],[ItemID]]), Analysis[[#This Row],[ItemID]]="", ISBLANK(Analysis[[#This Row],[Supply Item]]), Analysis[[#This Row],[Supply Item]]=""), "", VLOOKUP(Analysis[[#This Row],[Supply Item]], Analysis[], COLUMN(Analysis[Output (V)]), FALSE))</calculatedColumnFormula>
    </tableColumn>
    <tableColumn id="8" xr3:uid="{00000000-0010-0000-0200-000008000000}" name="Output (V)" dataDxfId="44" totalsRowDxfId="43">
      <calculatedColumnFormula>IF(OR(ISBLANK(Analysis[[#This Row],[ItemID]]), Analysis[[#This Row],[ItemID]]=""), "", VLOOKUP(Analysis[[#This Row],[ItemID]], Items[], COLUMN(Items[Output (V)])-COLUMN(Items[])+1, FALSE))</calculatedColumnFormula>
    </tableColumn>
    <tableColumn id="7" xr3:uid="{00000000-0010-0000-0200-000007000000}" name="Peak Output (A)" dataDxfId="42" totalsRowDxfId="41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calculatedColumnFormula>
    </tableColumn>
    <tableColumn id="17" xr3:uid="{00000000-0010-0000-0200-000011000000}" name="Constant Output (A)" dataDxfId="40" totalsRowDxfId="39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calculatedColumnFormula>
    </tableColumn>
    <tableColumn id="9" xr3:uid="{00000000-0010-0000-0200-000009000000}" name="Peak Input (A)" dataDxfId="38" totalsRowDxfId="37">
      <calculatedColumnFormula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calculatedColumnFormula>
    </tableColumn>
    <tableColumn id="16" xr3:uid="{00000000-0010-0000-0200-000010000000}" name="Constant Input (A)" dataDxfId="36" totalsRowDxfId="35">
      <calculatedColumnFormula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calculatedColumnFormula>
    </tableColumn>
    <tableColumn id="2" xr3:uid="{00000000-0010-0000-0200-000002000000}" name="Thoughput Loss" dataDxfId="34" totalsRowDxfId="33">
      <calculatedColumnFormula>IF(OR(ISBLANK(Analysis[[#This Row],[ItemID]]), Analysis[[#This Row],[ItemID]]=""), "", VLOOKUP(Analysis[[#This Row],[ItemID]], Items[], COLUMN(Items[Thoughput Loss])-COLUMN(Items[])+1, FALSE))</calculatedColumnFormula>
    </tableColumn>
    <tableColumn id="3" xr3:uid="{00000000-0010-0000-0200-000003000000}" name="Self Peak Consumption (W)" dataDxfId="32" totalsRowDxfId="31">
      <calculatedColumnFormula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calculatedColumnFormula>
    </tableColumn>
    <tableColumn id="4" xr3:uid="{00000000-0010-0000-0200-000004000000}" name="Children Peak Consumption (W)" dataDxfId="30" totalsRowDxfId="29">
      <calculatedColumnFormula>IF(OR(ISBLANK(Analysis[[#This Row],[ItemID]]), Analysis[[#This Row],[ItemID]]=""), "", SUMIFS(Analysis[Total Peak Consumption (W)], Analysis[Supply Item], Analysis[[#This Row],[ItemID]]))</calculatedColumnFormula>
    </tableColumn>
    <tableColumn id="6" xr3:uid="{00000000-0010-0000-0200-000006000000}" name="Total Peak Consumption (W)" dataDxfId="28" totalsRowDxfId="27">
      <calculatedColumnFormula>IF(OR(ISBLANK(Analysis[[#This Row],[ItemID]]), Analysis[[#This Row],[ItemID]]=""), "", Analysis[[#This Row],[Self Peak Consumption (W)]]+Analysis[[#This Row],[Children Peak Consumption (W)]])</calculatedColumnFormula>
    </tableColumn>
    <tableColumn id="12" xr3:uid="{00000000-0010-0000-0200-00000C000000}" name="Self Constant Consumption (W)" dataDxfId="26" totalsRowDxfId="25">
      <calculatedColumnFormula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calculatedColumnFormula>
    </tableColumn>
    <tableColumn id="14" xr3:uid="{00000000-0010-0000-0200-00000E000000}" name="Children Constant Consumption (W)" dataDxfId="24" totalsRowDxfId="23">
      <calculatedColumnFormula>IF(OR(ISBLANK(Analysis[[#This Row],[ItemID]]), Analysis[[#This Row],[ItemID]]=""), "", SUMIFS(Analysis[Total Constant Consumption (W)], Analysis[Supply Item], Analysis[[#This Row],[ItemID]]))</calculatedColumnFormula>
    </tableColumn>
    <tableColumn id="15" xr3:uid="{00000000-0010-0000-0200-00000F000000}" name="Total Constant Consumption (W)" dataDxfId="22" totalsRowDxfId="21">
      <calculatedColumnFormula>IF(OR(ISBLANK(Analysis[[#This Row],[ItemID]]), Analysis[[#This Row],[ItemID]]=""), "", Analysis[[#This Row],[Self Constant Consumption (W)]]+Analysis[[#This Row],[Children Constant Consumption (W)]])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Results" displayName="Results" ref="A1:H37" totalsRowShown="0">
  <autoFilter ref="A1:H37" xr:uid="{00000000-0009-0000-0100-000007000000}"/>
  <tableColumns count="8">
    <tableColumn id="1" xr3:uid="{00000000-0010-0000-0300-000001000000}" name="ItemID" dataDxfId="20">
      <calculatedColumnFormula>IF(IFERROR(Analysis[[#This Row],[ItemID]], 0)=0, "", Analysis[[#This Row],[ItemID]])</calculatedColumnFormula>
    </tableColumn>
    <tableColumn id="4" xr3:uid="{00000000-0010-0000-0300-000004000000}" name="Current Capacity" dataDxfId="19">
      <calculatedColumnFormula>IF(OR(ISBLANK(Results[[#This Row],[ItemID]]), Results[[#This Row],[ItemID]]=0, Results[[#This Row],[ItemID]]=""), "", VLOOKUP(Results[[#This Row],[ItemID]], Items[], COLUMN(Items[Output (A)])-COLUMN(Items[])+1, FALSE))</calculatedColumnFormula>
    </tableColumn>
    <tableColumn id="5" xr3:uid="{00000000-0010-0000-0300-000005000000}" name="Peak Current Used" dataDxfId="18">
      <calculatedColumnFormula>IF(OR(ISBLANK(Results[[#This Row],[ItemID]]), Results[[#This Row],[ItemID]]=0, Results[[#This Row],[ItemID]]=""), "", VLOOKUP(Results[[#This Row],[ItemID]], Analysis[], COLUMN(Analysis[Peak Output (A)])-COLUMN(Analysis[])+1, FALSE))</calculatedColumnFormula>
    </tableColumn>
    <tableColumn id="8" xr3:uid="{00000000-0010-0000-0300-000008000000}" name="Constant Current Used" dataDxfId="17">
      <calculatedColumnFormula>IF(OR(ISBLANK(Results[[#This Row],[ItemID]]), Results[[#This Row],[ItemID]]=0, Results[[#This Row],[ItemID]]=""), "", VLOOKUP(Results[[#This Row],[ItemID]], Analysis[], COLUMN(Analysis[Constant Output (A)])-COLUMN(Analysis[])+1, FALSE))</calculatedColumnFormula>
    </tableColumn>
    <tableColumn id="3" xr3:uid="{00000000-0010-0000-0300-000003000000}" name="Peak % Capacity" dataDxfId="16">
      <calculatedColumnFormula>IF(OR(ISBLANK(Results[[#This Row],[ItemID]]), Results[[#This Row],[Current Capacity]]=0, Results[[#This Row],[Current Capacity]]="", Results[[#This Row],[Peak Current Used]]=""), "", Results[[#This Row],[Peak Current Used]]/Results[[#This Row],[Current Capacity]])</calculatedColumnFormula>
    </tableColumn>
    <tableColumn id="7" xr3:uid="{00000000-0010-0000-0300-000007000000}" name="Constant % Capacity" dataDxfId="15">
      <calculatedColumnFormula>IF(OR(ISBLANK(Results[[#This Row],[ItemID]]), Results[[#This Row],[Current Capacity]]=0, Results[[#This Row],[Current Capacity]]="", Results[[#This Row],[Constant Current Used]]=""), "", Results[[#This Row],[Constant Current Used]]/Results[[#This Row],[Current Capacity]])</calculatedColumnFormula>
    </tableColumn>
    <tableColumn id="9" xr3:uid="{00000000-0010-0000-0300-000009000000}" name="Battery (mAh)" dataDxfId="14">
      <calculatedColumnFormula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calculatedColumnFormula>
    </tableColumn>
    <tableColumn id="6" xr3:uid="{00000000-0010-0000-0300-000006000000}" name="Battery Life (hrs)" dataDxfId="13">
      <calculatedColumnFormula>IF(OR(ISBLANK(Results[[#This Row],[ItemID]]), Results[[#This Row],[Constant Current Used]]="", Results[[#This Row],[Battery (mAh)]]=""), "", (Results[[#This Row],[Battery (mAh)]]/1000)/Results[[#This Row],[Constant Current Used]])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RailSummary" displayName="RailSummary" ref="M1:Q8" totalsRowShown="0" dataDxfId="12">
  <autoFilter ref="M1:Q8" xr:uid="{00000000-0009-0000-0100-000001000000}"/>
  <tableColumns count="5">
    <tableColumn id="1" xr3:uid="{00000000-0010-0000-0400-000001000000}" name="Power Rail" dataDxfId="11"/>
    <tableColumn id="2" xr3:uid="{00000000-0010-0000-0400-000002000000}" name="Voltage (V)" dataDxfId="10">
      <calculatedColumnFormula>IF(ISBLANK(RailSummary[[#This Row],[Power Rail]]), "", VLOOKUP(RailSummary[[#This Row],[Power Rail]], Analysis[], COLUMN(Analysis[Output (V)])-COLUMN(Analysis[])+1, FALSE))</calculatedColumnFormula>
    </tableColumn>
    <tableColumn id="5" xr3:uid="{5734B35D-169B-4597-A9BA-F7DB77804437}" name="Current (A)" dataDxfId="9">
      <calculatedColumnFormula>IF(ISBLANK(RailSummary[[#This Row],[Power Rail]]), "", VLOOKUP(RailSummary[[#This Row],[Power Rail]], Analysis[], COLUMN(Analysis[Constant Output (A)])-COLUMN(Analysis[])+1, FALSE))</calculatedColumnFormula>
    </tableColumn>
    <tableColumn id="3" xr3:uid="{00000000-0010-0000-0400-000003000000}" name="Peak Current (A)" dataDxfId="8">
      <calculatedColumnFormula>IF(ISBLANK(RailSummary[[#This Row],[Power Rail]]), "", VLOOKUP(RailSummary[[#This Row],[Power Rail]], Analysis[], COLUMN(Analysis[Peak Output (A)])-COLUMN(Analysis[])+1, FALSE))</calculatedColumnFormula>
    </tableColumn>
    <tableColumn id="4" xr3:uid="{00000000-0010-0000-0400-000004000000}" name="Power (W)" dataDxfId="7">
      <calculatedColumnFormula>IF(ISBLANK(RailSummary[[#This Row],[Power Rail]]), "", RailSummary[[#This Row],[Voltage (V)]]*RailSummary[[#This Row],[Peak Current (A)]])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Costs" displayName="Costs" ref="A1:C42" totalsRowCount="1">
  <autoFilter ref="A1:C41" xr:uid="{00000000-0009-0000-0100-000004000000}"/>
  <tableColumns count="3">
    <tableColumn id="1" xr3:uid="{00000000-0010-0000-0500-000001000000}" name="Item" totalsRowLabel="Total" dataDxfId="5">
      <calculatedColumnFormula>IF(OR(ISBLANK(Analysis[[#This Row],[ItemID]]), Analysis[[#This Row],[ItemID]]="", Analysis[[#This Row],[ItemID]]=0), "", Analysis[[#This Row],[ItemID]])</calculatedColumnFormula>
    </tableColumn>
    <tableColumn id="2" xr3:uid="{00000000-0010-0000-0500-000002000000}" name="Component Name" dataDxfId="4">
      <calculatedColumnFormula>IF(OR(ISBLANK(Costs[[#This Row],[Item]]), Costs[[#This Row],[Item]]="", Costs[[#This Row],[Item]]=0), "", VLOOKUP(Costs[[#This Row],[Item]], Items[], COLUMN(Items[Name])-COLUMN(Items[])+1, FALSE))</calculatedColumnFormula>
    </tableColumn>
    <tableColumn id="3" xr3:uid="{00000000-0010-0000-0500-000003000000}" name="Cost" totalsRowFunction="custom" dataDxfId="3">
      <calculatedColumnFormula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calculatedColumnFormula>
      <totalsRowFormula>SUBTOTAL(9,Costs[Cost])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DC-Adjustable-Voltage-Regulator-Module-DC-4-5-30V-to-0-8-30V-12A-Buck-Converters/1724570414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amazon.com/Nextrox-Converter-Regulator-Step-Down/dp/B00BWKXTUU" TargetMode="External"/><Relationship Id="rId1" Type="http://schemas.openxmlformats.org/officeDocument/2006/relationships/hyperlink" Target="http://robotshop.com/en/banebots-rs-550-motor-12v-19300rpm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batteryspace.com/lipo-battery-pack-tattu-22-2v-12ah-266wh-15c-6s1p.aspx" TargetMode="External"/><Relationship Id="rId4" Type="http://schemas.openxmlformats.org/officeDocument/2006/relationships/hyperlink" Target="https://www.amazon.com/ELP-1280720p-Megapixel-Camera-Network/dp/B00KA4M4W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6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G17" sqref="G17"/>
    </sheetView>
  </sheetViews>
  <sheetFormatPr defaultRowHeight="15" x14ac:dyDescent="0.25"/>
  <cols>
    <col min="1" max="1" width="29.7109375" customWidth="1"/>
    <col min="2" max="2" width="59.85546875" bestFit="1" customWidth="1"/>
    <col min="3" max="3" width="15.5703125" bestFit="1" customWidth="1"/>
    <col min="4" max="4" width="65" customWidth="1"/>
    <col min="5" max="5" width="19.28515625" customWidth="1"/>
    <col min="6" max="6" width="8.140625" bestFit="1" customWidth="1"/>
    <col min="7" max="7" width="24.140625" bestFit="1" customWidth="1"/>
    <col min="8" max="8" width="27.85546875" bestFit="1" customWidth="1"/>
    <col min="9" max="9" width="12.7109375" bestFit="1" customWidth="1"/>
    <col min="10" max="10" width="12.7109375" hidden="1" customWidth="1"/>
    <col min="11" max="12" width="25.140625" bestFit="1" customWidth="1"/>
    <col min="13" max="13" width="15.7109375" bestFit="1" customWidth="1"/>
    <col min="14" max="14" width="17.140625" bestFit="1" customWidth="1"/>
  </cols>
  <sheetData>
    <row r="1" spans="1:14" s="8" customFormat="1" x14ac:dyDescent="0.25">
      <c r="A1" s="8" t="s">
        <v>5</v>
      </c>
      <c r="B1" s="8" t="s">
        <v>0</v>
      </c>
      <c r="C1" s="8" t="s">
        <v>2</v>
      </c>
      <c r="D1" s="8" t="s">
        <v>3</v>
      </c>
      <c r="E1" s="8" t="s">
        <v>86</v>
      </c>
      <c r="F1" s="8" t="s">
        <v>4</v>
      </c>
      <c r="G1" s="8" t="s">
        <v>46</v>
      </c>
      <c r="H1" s="8" t="s">
        <v>47</v>
      </c>
      <c r="I1" s="8" t="s">
        <v>9</v>
      </c>
      <c r="J1" s="8" t="s">
        <v>10</v>
      </c>
      <c r="K1" s="8" t="s">
        <v>84</v>
      </c>
      <c r="L1" s="8" t="s">
        <v>85</v>
      </c>
      <c r="M1" s="8" t="s">
        <v>31</v>
      </c>
      <c r="N1" s="8" t="s">
        <v>69</v>
      </c>
    </row>
    <row r="2" spans="1:14" x14ac:dyDescent="0.25">
      <c r="A2" s="2" t="s">
        <v>76</v>
      </c>
      <c r="B2" s="2"/>
      <c r="C2" s="2"/>
      <c r="D2" s="6"/>
      <c r="E2" s="6"/>
      <c r="F2" s="3"/>
      <c r="G2" s="10">
        <v>0</v>
      </c>
      <c r="H2" s="10">
        <v>0</v>
      </c>
      <c r="I2" s="10">
        <v>28.8</v>
      </c>
      <c r="J2" s="10">
        <f>MAX(ComponentData[[#This Row],[Output Current Limit (A)]], ComponentData[[#This Row],[Discharge (for batteries)]]*ComponentData[[#This Row],[Battery (mAh)]]/1000)</f>
        <v>100</v>
      </c>
      <c r="K2" s="10"/>
      <c r="L2" s="30">
        <v>10</v>
      </c>
      <c r="M2" s="10">
        <v>10000</v>
      </c>
      <c r="N2" s="5">
        <v>0</v>
      </c>
    </row>
    <row r="3" spans="1:14" ht="30" x14ac:dyDescent="0.25">
      <c r="A3" s="2" t="s">
        <v>120</v>
      </c>
      <c r="B3" s="2" t="s">
        <v>98</v>
      </c>
      <c r="C3" s="2" t="s">
        <v>82</v>
      </c>
      <c r="D3" s="21" t="s">
        <v>83</v>
      </c>
      <c r="E3" s="6"/>
      <c r="F3" s="3">
        <v>254</v>
      </c>
      <c r="G3" s="10">
        <v>0</v>
      </c>
      <c r="H3" s="10">
        <v>0</v>
      </c>
      <c r="I3" s="10">
        <v>22.2</v>
      </c>
      <c r="J3" s="10">
        <f>MAX(ComponentData[[#This Row],[Output Current Limit (A)]], ComponentData[[#This Row],[Discharge (for batteries)]]*ComponentData[[#This Row],[Battery (mAh)]]/1000)</f>
        <v>180</v>
      </c>
      <c r="K3" s="10"/>
      <c r="L3" s="30">
        <v>15</v>
      </c>
      <c r="M3" s="10">
        <v>12000</v>
      </c>
      <c r="N3" s="5">
        <v>0</v>
      </c>
    </row>
    <row r="4" spans="1:14" x14ac:dyDescent="0.25">
      <c r="A4" s="2" t="s">
        <v>121</v>
      </c>
      <c r="B4" s="2" t="s">
        <v>98</v>
      </c>
      <c r="C4" s="2"/>
      <c r="D4" s="21"/>
      <c r="E4" s="6"/>
      <c r="F4" s="3"/>
      <c r="G4" s="10">
        <v>0</v>
      </c>
      <c r="H4" s="10">
        <v>0</v>
      </c>
      <c r="I4" s="10">
        <v>22.2</v>
      </c>
      <c r="J4" s="10">
        <f>MAX(ComponentData[[#This Row],[Output Current Limit (A)]], ComponentData[[#This Row],[Discharge (for batteries)]]*ComponentData[[#This Row],[Battery (mAh)]]/1000)</f>
        <v>78</v>
      </c>
      <c r="K4" s="10"/>
      <c r="L4" s="30">
        <v>15</v>
      </c>
      <c r="M4" s="10">
        <v>5200</v>
      </c>
      <c r="N4" s="5">
        <v>0</v>
      </c>
    </row>
    <row r="5" spans="1:14" ht="30" x14ac:dyDescent="0.25">
      <c r="A5" s="2" t="s">
        <v>97</v>
      </c>
      <c r="B5" s="2" t="s">
        <v>99</v>
      </c>
      <c r="C5" s="2"/>
      <c r="D5" s="21"/>
      <c r="E5" s="6" t="s">
        <v>100</v>
      </c>
      <c r="F5" s="3">
        <v>0</v>
      </c>
      <c r="G5" s="10"/>
      <c r="H5" s="10"/>
      <c r="I5" s="10">
        <v>21.6</v>
      </c>
      <c r="J5" s="10">
        <f>MAX(ComponentData[[#This Row],[Output Current Limit (A)]], ComponentData[[#This Row],[Discharge (for batteries)]]*ComponentData[[#This Row],[Battery (mAh)]]/1000)</f>
        <v>39</v>
      </c>
      <c r="K5" s="10"/>
      <c r="L5" s="30">
        <v>5</v>
      </c>
      <c r="M5" s="10">
        <v>7800</v>
      </c>
      <c r="N5" s="5">
        <v>0</v>
      </c>
    </row>
    <row r="6" spans="1:14" ht="45" x14ac:dyDescent="0.25">
      <c r="A6" s="2" t="s">
        <v>65</v>
      </c>
      <c r="B6" s="2" t="s">
        <v>67</v>
      </c>
      <c r="C6" s="2" t="s">
        <v>112</v>
      </c>
      <c r="D6" s="21" t="s">
        <v>68</v>
      </c>
      <c r="E6" s="6"/>
      <c r="F6" s="3">
        <v>8.48</v>
      </c>
      <c r="G6" s="10">
        <v>0</v>
      </c>
      <c r="H6" s="10">
        <v>0</v>
      </c>
      <c r="I6" s="10"/>
      <c r="J6" s="10">
        <f>MAX(ComponentData[[#This Row],[Output Current Limit (A)]], ComponentData[[#This Row],[Discharge (for batteries)]]*ComponentData[[#This Row],[Battery (mAh)]]/1000)</f>
        <v>12</v>
      </c>
      <c r="K6" s="10">
        <v>12</v>
      </c>
      <c r="L6" s="30"/>
      <c r="M6" s="10"/>
      <c r="N6" s="5">
        <v>0.1</v>
      </c>
    </row>
    <row r="7" spans="1:14" x14ac:dyDescent="0.25">
      <c r="A7" s="2" t="s">
        <v>28</v>
      </c>
      <c r="B7" s="2" t="s">
        <v>29</v>
      </c>
      <c r="C7" s="2"/>
      <c r="D7" s="6"/>
      <c r="E7" s="6"/>
      <c r="F7" s="3">
        <v>30</v>
      </c>
      <c r="G7" s="10">
        <v>7</v>
      </c>
      <c r="H7" s="10">
        <v>4</v>
      </c>
      <c r="I7" s="10">
        <v>3.3</v>
      </c>
      <c r="J7" s="10">
        <f>MAX(ComponentData[[#This Row],[Output Current Limit (A)]], ComponentData[[#This Row],[Discharge (for batteries)]]*ComponentData[[#This Row],[Battery (mAh)]]/1000)</f>
        <v>0.5</v>
      </c>
      <c r="K7" s="10">
        <v>0.5</v>
      </c>
      <c r="L7" s="30"/>
      <c r="M7" s="10"/>
      <c r="N7" s="5">
        <v>0</v>
      </c>
    </row>
    <row r="8" spans="1:14" ht="30" x14ac:dyDescent="0.25">
      <c r="A8" s="2" t="s">
        <v>78</v>
      </c>
      <c r="B8" s="2" t="s">
        <v>79</v>
      </c>
      <c r="C8" s="2" t="s">
        <v>34</v>
      </c>
      <c r="D8" s="6" t="s">
        <v>35</v>
      </c>
      <c r="E8" s="6"/>
      <c r="F8" s="3">
        <v>180</v>
      </c>
      <c r="G8" s="10">
        <v>8</v>
      </c>
      <c r="H8" s="10">
        <v>6</v>
      </c>
      <c r="I8" s="10"/>
      <c r="J8" s="10">
        <f>MAX(ComponentData[[#This Row],[Output Current Limit (A)]], ComponentData[[#This Row],[Discharge (for batteries)]]*ComponentData[[#This Row],[Battery (mAh)]]/1000)</f>
        <v>0</v>
      </c>
      <c r="K8" s="10"/>
      <c r="L8" s="30"/>
      <c r="M8" s="10"/>
      <c r="N8" s="5">
        <v>0</v>
      </c>
    </row>
    <row r="9" spans="1:14" x14ac:dyDescent="0.25">
      <c r="A9" s="2" t="s">
        <v>93</v>
      </c>
      <c r="B9" s="2" t="s">
        <v>6</v>
      </c>
      <c r="C9" s="2" t="s">
        <v>74</v>
      </c>
      <c r="D9" s="6" t="s">
        <v>7</v>
      </c>
      <c r="E9" s="6"/>
      <c r="F9" s="3">
        <v>60</v>
      </c>
      <c r="G9" s="10">
        <v>0</v>
      </c>
      <c r="H9" s="10">
        <v>0</v>
      </c>
      <c r="I9" s="10">
        <v>12</v>
      </c>
      <c r="J9" s="10">
        <f>MAX(ComponentData[[#This Row],[Output Current Limit (A)]], ComponentData[[#This Row],[Discharge (for batteries)]]*ComponentData[[#This Row],[Battery (mAh)]]/1000)</f>
        <v>60</v>
      </c>
      <c r="K9" s="10">
        <v>60</v>
      </c>
      <c r="L9" s="30"/>
      <c r="M9" s="10"/>
      <c r="N9" s="5">
        <v>0.1</v>
      </c>
    </row>
    <row r="10" spans="1:14" x14ac:dyDescent="0.25">
      <c r="A10" s="2" t="s">
        <v>92</v>
      </c>
      <c r="B10" s="2" t="s">
        <v>73</v>
      </c>
      <c r="C10" s="2" t="s">
        <v>74</v>
      </c>
      <c r="D10" s="6"/>
      <c r="E10" s="6"/>
      <c r="F10" s="3">
        <v>90</v>
      </c>
      <c r="G10" s="10">
        <v>0</v>
      </c>
      <c r="H10" s="10">
        <v>0</v>
      </c>
      <c r="I10" s="10" t="s">
        <v>77</v>
      </c>
      <c r="J10" s="10">
        <f>MAX(ComponentData[[#This Row],[Output Current Limit (A)]], ComponentData[[#This Row],[Discharge (for batteries)]]*ComponentData[[#This Row],[Battery (mAh)]]/1000)</f>
        <v>60</v>
      </c>
      <c r="K10" s="10">
        <v>60</v>
      </c>
      <c r="L10" s="30"/>
      <c r="M10" s="10"/>
      <c r="N10" s="5">
        <v>0.1</v>
      </c>
    </row>
    <row r="11" spans="1:14" x14ac:dyDescent="0.25">
      <c r="A11" s="2" t="s">
        <v>40</v>
      </c>
      <c r="B11" s="2" t="s">
        <v>11</v>
      </c>
      <c r="C11" s="2" t="s">
        <v>12</v>
      </c>
      <c r="D11" s="21" t="s">
        <v>13</v>
      </c>
      <c r="E11" s="6"/>
      <c r="F11" s="3">
        <v>7.25</v>
      </c>
      <c r="G11" s="14">
        <v>222</v>
      </c>
      <c r="H11" s="14">
        <v>37</v>
      </c>
      <c r="I11" s="10"/>
      <c r="J11" s="10">
        <f>MAX(ComponentData[[#This Row],[Output Current Limit (A)]], ComponentData[[#This Row],[Discharge (for batteries)]]*ComponentData[[#This Row],[Battery (mAh)]]/1000)</f>
        <v>0</v>
      </c>
      <c r="K11" s="10"/>
      <c r="L11" s="30"/>
      <c r="M11" s="10"/>
      <c r="N11" s="5">
        <v>0</v>
      </c>
    </row>
    <row r="12" spans="1:14" ht="30" x14ac:dyDescent="0.25">
      <c r="A12" s="2" t="s">
        <v>70</v>
      </c>
      <c r="B12" t="s">
        <v>72</v>
      </c>
      <c r="C12" s="2"/>
      <c r="D12" s="21" t="s">
        <v>71</v>
      </c>
      <c r="E12" s="6" t="s">
        <v>87</v>
      </c>
      <c r="F12" s="3">
        <v>16</v>
      </c>
      <c r="G12" s="10">
        <v>0</v>
      </c>
      <c r="H12" s="10">
        <v>0</v>
      </c>
      <c r="I12" s="10">
        <v>12</v>
      </c>
      <c r="J12" s="10">
        <f>MAX(ComponentData[[#This Row],[Output Current Limit (A)]], ComponentData[[#This Row],[Discharge (for batteries)]]*ComponentData[[#This Row],[Battery (mAh)]]/1000)</f>
        <v>20</v>
      </c>
      <c r="K12" s="10">
        <v>20</v>
      </c>
      <c r="L12" s="30"/>
      <c r="M12" s="10"/>
      <c r="N12" s="5">
        <v>0.1</v>
      </c>
    </row>
    <row r="13" spans="1:14" x14ac:dyDescent="0.25">
      <c r="A13" s="2" t="s">
        <v>81</v>
      </c>
      <c r="B13" s="6" t="s">
        <v>119</v>
      </c>
      <c r="C13" s="2"/>
      <c r="D13" s="6"/>
      <c r="E13" s="6"/>
      <c r="F13" s="3">
        <v>60</v>
      </c>
      <c r="G13" s="10">
        <v>24</v>
      </c>
      <c r="H13" s="10">
        <v>8</v>
      </c>
      <c r="I13" s="10"/>
      <c r="J13" s="10">
        <f>MAX(ComponentData[[#This Row],[Output Current Limit (A)]], ComponentData[[#This Row],[Discharge (for batteries)]]*ComponentData[[#This Row],[Battery (mAh)]]/1000)</f>
        <v>0</v>
      </c>
      <c r="K13" s="10"/>
      <c r="L13" s="30"/>
      <c r="M13" s="10"/>
      <c r="N13" s="5">
        <v>0</v>
      </c>
    </row>
    <row r="14" spans="1:14" x14ac:dyDescent="0.25">
      <c r="A14" s="2" t="s">
        <v>37</v>
      </c>
      <c r="B14" s="2" t="s">
        <v>89</v>
      </c>
      <c r="C14" s="2"/>
      <c r="D14" s="6"/>
      <c r="E14" s="6"/>
      <c r="F14" s="3">
        <v>0</v>
      </c>
      <c r="G14" s="10">
        <v>0</v>
      </c>
      <c r="H14" s="10">
        <v>0</v>
      </c>
      <c r="I14" s="10" t="s">
        <v>77</v>
      </c>
      <c r="J14" s="10">
        <f>MAX(ComponentData[[#This Row],[Output Current Limit (A)]], ComponentData[[#This Row],[Discharge (for batteries)]]*ComponentData[[#This Row],[Battery (mAh)]]/1000)</f>
        <v>0</v>
      </c>
      <c r="K14" s="10"/>
      <c r="L14" s="30"/>
      <c r="M14" s="10"/>
      <c r="N14" s="5">
        <v>0</v>
      </c>
    </row>
    <row r="15" spans="1:14" x14ac:dyDescent="0.25">
      <c r="A15" s="2" t="s">
        <v>94</v>
      </c>
      <c r="B15" s="2" t="s">
        <v>95</v>
      </c>
      <c r="C15" s="2"/>
      <c r="D15" s="6"/>
      <c r="E15" s="6" t="s">
        <v>96</v>
      </c>
      <c r="F15" s="3">
        <v>18</v>
      </c>
      <c r="G15" s="10">
        <v>12</v>
      </c>
      <c r="H15" s="10">
        <v>6.3</v>
      </c>
      <c r="I15" s="10"/>
      <c r="J15" s="10">
        <f>MAX(ComponentData[[#This Row],[Output Current Limit (A)]], ComponentData[[#This Row],[Discharge (for batteries)]]*ComponentData[[#This Row],[Battery (mAh)]]/1000)</f>
        <v>0</v>
      </c>
      <c r="K15" s="10"/>
      <c r="L15" s="30"/>
      <c r="M15" s="10"/>
      <c r="N15" s="5">
        <v>0</v>
      </c>
    </row>
    <row r="16" spans="1:14" ht="30" x14ac:dyDescent="0.25">
      <c r="A16" s="2" t="s">
        <v>113</v>
      </c>
      <c r="B16" s="2" t="s">
        <v>114</v>
      </c>
      <c r="C16" s="2"/>
      <c r="D16" s="21" t="s">
        <v>115</v>
      </c>
      <c r="E16" s="21"/>
      <c r="F16" s="3">
        <v>20</v>
      </c>
      <c r="G16" s="10">
        <v>12</v>
      </c>
      <c r="H16" s="10">
        <v>6</v>
      </c>
      <c r="I16" s="10"/>
      <c r="J16" s="10">
        <f>MAX(ComponentData[[#This Row],[Output Current Limit (A)]], ComponentData[[#This Row],[Discharge (for batteries)]]*ComponentData[[#This Row],[Battery (mAh)]]/1000)</f>
        <v>0</v>
      </c>
      <c r="K16" s="10"/>
      <c r="L16" s="30"/>
      <c r="M16" s="10"/>
      <c r="N16" s="5">
        <v>0</v>
      </c>
    </row>
  </sheetData>
  <hyperlinks>
    <hyperlink ref="D11" r:id="rId1" xr:uid="{00000000-0004-0000-0000-000000000000}"/>
    <hyperlink ref="D12" r:id="rId2" xr:uid="{7D768727-DEDA-40C8-9759-80357E423FFD}"/>
    <hyperlink ref="D6" r:id="rId3" xr:uid="{3AFCC2EA-FA64-44BD-8ABF-E11110400232}"/>
    <hyperlink ref="D16" r:id="rId4" xr:uid="{5BC0D8B4-1FD4-485B-B6D9-C32E008C0EE8}"/>
    <hyperlink ref="D3" r:id="rId5" xr:uid="{A33B6F7A-CB42-4ABF-8BE3-31FD248BBBB7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zoomScaleNormal="100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K24" sqref="K24"/>
    </sheetView>
  </sheetViews>
  <sheetFormatPr defaultRowHeight="15" x14ac:dyDescent="0.25"/>
  <cols>
    <col min="1" max="1" width="19.7109375" style="13" bestFit="1" customWidth="1"/>
    <col min="2" max="2" width="22.42578125" style="13" bestFit="1" customWidth="1"/>
    <col min="3" max="3" width="19.42578125" style="13" bestFit="1" customWidth="1"/>
    <col min="4" max="4" width="20.42578125" style="13" bestFit="1" customWidth="1"/>
    <col min="5" max="5" width="34.140625" style="13" customWidth="1"/>
    <col min="6" max="6" width="15.5703125" style="13" bestFit="1" customWidth="1"/>
    <col min="7" max="7" width="32.5703125" style="13" customWidth="1"/>
    <col min="8" max="8" width="24.5703125" style="13" customWidth="1"/>
    <col min="9" max="9" width="24.140625" style="13" bestFit="1" customWidth="1"/>
    <col min="10" max="10" width="27.85546875" style="13" bestFit="1" customWidth="1"/>
    <col min="11" max="12" width="12.7109375" style="13" bestFit="1" customWidth="1"/>
    <col min="13" max="13" width="15.85546875" style="13" bestFit="1" customWidth="1"/>
    <col min="14" max="14" width="17.140625" style="13" bestFit="1" customWidth="1"/>
    <col min="15" max="16384" width="9.140625" style="13"/>
  </cols>
  <sheetData>
    <row r="1" spans="1:14" x14ac:dyDescent="0.25">
      <c r="A1" s="13" t="s">
        <v>8</v>
      </c>
      <c r="B1" s="13" t="s">
        <v>1</v>
      </c>
      <c r="C1" s="13" t="s">
        <v>32</v>
      </c>
      <c r="D1" s="13" t="s">
        <v>26</v>
      </c>
      <c r="E1" s="19" t="s">
        <v>0</v>
      </c>
      <c r="F1" s="13" t="s">
        <v>2</v>
      </c>
      <c r="G1" s="13" t="s">
        <v>3</v>
      </c>
      <c r="H1" s="13" t="s">
        <v>4</v>
      </c>
      <c r="I1" s="13" t="s">
        <v>46</v>
      </c>
      <c r="J1" s="13" t="s">
        <v>47</v>
      </c>
      <c r="K1" s="13" t="s">
        <v>9</v>
      </c>
      <c r="L1" s="13" t="s">
        <v>10</v>
      </c>
      <c r="M1" s="13" t="s">
        <v>31</v>
      </c>
      <c r="N1" t="s">
        <v>69</v>
      </c>
    </row>
    <row r="2" spans="1:14" x14ac:dyDescent="0.25">
      <c r="A2" s="18"/>
      <c r="D2" s="13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" s="17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" s="17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" s="17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" s="31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" spans="1:14" x14ac:dyDescent="0.25">
      <c r="A3" s="13" t="s">
        <v>101</v>
      </c>
      <c r="B3" s="13" t="s">
        <v>120</v>
      </c>
      <c r="D3" s="13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22.2 V Lithuim Polymer Battery back</v>
      </c>
      <c r="F3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BatterySpace</v>
      </c>
      <c r="G3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http://www.batteryspace.com/lipo-battery-pack-tattu-22-2v-12ah-266wh-15c-6s1p.aspx</v>
      </c>
      <c r="H3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254</v>
      </c>
      <c r="I3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3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3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3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180</v>
      </c>
      <c r="M3" s="17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12000</v>
      </c>
      <c r="N3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4" spans="1:14" x14ac:dyDescent="0.25">
      <c r="A4" s="13" t="s">
        <v>102</v>
      </c>
      <c r="B4" s="13" t="s">
        <v>121</v>
      </c>
      <c r="D4" s="15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4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22.2 V Lithuim Polymer Battery back</v>
      </c>
      <c r="F4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4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4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4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4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4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4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78</v>
      </c>
      <c r="M4" s="17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5200</v>
      </c>
      <c r="N4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5" spans="1:14" x14ac:dyDescent="0.25">
      <c r="A5" s="13" t="s">
        <v>27</v>
      </c>
      <c r="B5" s="13" t="s">
        <v>65</v>
      </c>
      <c r="C5" s="13" t="s">
        <v>102</v>
      </c>
      <c r="D5" s="13" t="str">
        <f>IF(OR(ISBLANK(Items[[#This Row],[Supply Item]]), Items[[#This Row],[Supply Item]]="", Items[[#This Row],[Supply Item]]=0), "", VLOOKUP(Items[[#This Row],[Supply Item]], Items[], COLUMN(Items[Component])-COLUMN(Items[])+1, FALSE))</f>
        <v>Small LiPo</v>
      </c>
      <c r="E5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5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Aihasd</v>
      </c>
      <c r="G5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5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5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5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5" s="17">
        <v>5</v>
      </c>
      <c r="L5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5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5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6" spans="1:14" x14ac:dyDescent="0.25">
      <c r="A6" s="13" t="s">
        <v>80</v>
      </c>
      <c r="B6" s="13" t="s">
        <v>65</v>
      </c>
      <c r="C6" s="13" t="s">
        <v>102</v>
      </c>
      <c r="D6" s="13" t="str">
        <f>IF(OR(ISBLANK(Items[[#This Row],[Supply Item]]), Items[[#This Row],[Supply Item]]="", Items[[#This Row],[Supply Item]]=0), "", VLOOKUP(Items[[#This Row],[Supply Item]], Items[], COLUMN(Items[Component])-COLUMN(Items[])+1, FALSE))</f>
        <v>Small LiPo</v>
      </c>
      <c r="E6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6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Aihasd</v>
      </c>
      <c r="G6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6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6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6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6" s="17">
        <v>12</v>
      </c>
      <c r="L6" s="17">
        <v>12</v>
      </c>
      <c r="M6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6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7" spans="1:14" x14ac:dyDescent="0.25">
      <c r="A7" s="13" t="s">
        <v>36</v>
      </c>
      <c r="B7" s="13" t="s">
        <v>78</v>
      </c>
      <c r="C7" s="13" t="s">
        <v>80</v>
      </c>
      <c r="D7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7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Ubiquity Rocket M5</v>
      </c>
      <c r="F7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7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http://www.doubleradius.com/s.nl/sc.1/category./.f?search=rocket+m3</v>
      </c>
      <c r="H7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180</v>
      </c>
      <c r="I7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8</v>
      </c>
      <c r="J7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</v>
      </c>
      <c r="K7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7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7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7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8" spans="1:14" x14ac:dyDescent="0.25">
      <c r="A8" s="13" t="s">
        <v>81</v>
      </c>
      <c r="B8" s="13" t="s">
        <v>81</v>
      </c>
      <c r="C8" s="13" t="s">
        <v>80</v>
      </c>
      <c r="D8" s="15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8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16-Port network switch</v>
      </c>
      <c r="F8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8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8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8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</v>
      </c>
      <c r="J8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8</v>
      </c>
      <c r="K8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8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8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8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9" spans="1:14" x14ac:dyDescent="0.25">
      <c r="A9" s="13" t="s">
        <v>122</v>
      </c>
      <c r="B9" s="13" t="s">
        <v>70</v>
      </c>
      <c r="C9" s="13" t="s">
        <v>101</v>
      </c>
      <c r="D9" s="15" t="str">
        <f>IF(OR(ISBLANK(Items[[#This Row],[Supply Item]]), Items[[#This Row],[Supply Item]]="", Items[[#This Row],[Supply Item]]=0), "", VLOOKUP(Items[[#This Row],[Supply Item]], Items[], COLUMN(Items[Component])-COLUMN(Items[])+1, FALSE))</f>
        <v>Large LiPo</v>
      </c>
      <c r="E9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9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9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9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9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9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9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12</v>
      </c>
      <c r="L9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20</v>
      </c>
      <c r="M9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9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0" spans="1:14" x14ac:dyDescent="0.25">
      <c r="A10" s="13" t="s">
        <v>90</v>
      </c>
      <c r="B10" s="13" t="s">
        <v>37</v>
      </c>
      <c r="C10" s="13" t="s">
        <v>101</v>
      </c>
      <c r="D10" s="15" t="str">
        <f>IF(OR(ISBLANK(Items[[#This Row],[Supply Item]]), Items[[#This Row],[Supply Item]]="", Items[[#This Row],[Supply Item]]=0), "", VLOOKUP(Items[[#This Row],[Supply Item]], Items[], COLUMN(Items[Component])-COLUMN(Items[])+1, FALSE))</f>
        <v>Large LiPo</v>
      </c>
      <c r="E10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Virtual Node for system isolation</v>
      </c>
      <c r="F10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10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0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0</v>
      </c>
      <c r="I10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0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0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0" s="17">
        <v>400</v>
      </c>
      <c r="M10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0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1" spans="1:14" x14ac:dyDescent="0.25">
      <c r="A11" s="13" t="s">
        <v>14</v>
      </c>
      <c r="B11" s="13" t="s">
        <v>92</v>
      </c>
      <c r="C11" s="13" t="s">
        <v>90</v>
      </c>
      <c r="D11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1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1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1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1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1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1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1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1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1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1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2" spans="1:14" x14ac:dyDescent="0.25">
      <c r="A12" s="13" t="s">
        <v>20</v>
      </c>
      <c r="B12" s="13" t="s">
        <v>40</v>
      </c>
      <c r="C12" s="13" t="s">
        <v>14</v>
      </c>
      <c r="D12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12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2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2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2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2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12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12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12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2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2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3" spans="1:14" x14ac:dyDescent="0.25">
      <c r="A13" s="13" t="s">
        <v>15</v>
      </c>
      <c r="B13" s="13" t="s">
        <v>92</v>
      </c>
      <c r="C13" s="13" t="s">
        <v>90</v>
      </c>
      <c r="D13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3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3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3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3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3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3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3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3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3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3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4" spans="1:14" x14ac:dyDescent="0.25">
      <c r="A14" s="13" t="s">
        <v>25</v>
      </c>
      <c r="B14" s="13" t="s">
        <v>40</v>
      </c>
      <c r="C14" s="13" t="s">
        <v>15</v>
      </c>
      <c r="D14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14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4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4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4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4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14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14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14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4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4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5" spans="1:14" x14ac:dyDescent="0.25">
      <c r="A15" s="13" t="s">
        <v>16</v>
      </c>
      <c r="B15" s="13" t="s">
        <v>92</v>
      </c>
      <c r="C15" s="13" t="s">
        <v>90</v>
      </c>
      <c r="D15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5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5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5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5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5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5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5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5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5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5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6" spans="1:14" x14ac:dyDescent="0.25">
      <c r="A16" s="13" t="s">
        <v>21</v>
      </c>
      <c r="B16" s="13" t="s">
        <v>40</v>
      </c>
      <c r="C16" s="13" t="s">
        <v>16</v>
      </c>
      <c r="D16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16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6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6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6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6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16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16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16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6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6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7" spans="1:14" x14ac:dyDescent="0.25">
      <c r="A17" s="13" t="s">
        <v>17</v>
      </c>
      <c r="B17" s="13" t="s">
        <v>92</v>
      </c>
      <c r="C17" s="13" t="s">
        <v>90</v>
      </c>
      <c r="D17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7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7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7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7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7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7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7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7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7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7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8" spans="1:14" x14ac:dyDescent="0.25">
      <c r="A18" s="13" t="s">
        <v>22</v>
      </c>
      <c r="B18" s="13" t="s">
        <v>40</v>
      </c>
      <c r="C18" s="13" t="s">
        <v>17</v>
      </c>
      <c r="D18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18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8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8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8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8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18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18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18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8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8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9" spans="1:14" x14ac:dyDescent="0.25">
      <c r="A19" s="13" t="s">
        <v>18</v>
      </c>
      <c r="B19" s="13" t="s">
        <v>92</v>
      </c>
      <c r="C19" s="13" t="s">
        <v>90</v>
      </c>
      <c r="D19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9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9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9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9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9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9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9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9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9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9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20" spans="1:14" x14ac:dyDescent="0.25">
      <c r="A20" s="13" t="s">
        <v>23</v>
      </c>
      <c r="B20" s="13" t="s">
        <v>40</v>
      </c>
      <c r="C20" s="13" t="s">
        <v>18</v>
      </c>
      <c r="D20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20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0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0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0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0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20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20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0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0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0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1" spans="1:14" x14ac:dyDescent="0.25">
      <c r="A21" s="13" t="s">
        <v>19</v>
      </c>
      <c r="B21" s="13" t="s">
        <v>92</v>
      </c>
      <c r="C21" s="13" t="s">
        <v>90</v>
      </c>
      <c r="D21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21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21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1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1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21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1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1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21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1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1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22" spans="1:14" x14ac:dyDescent="0.25">
      <c r="A22" s="13" t="s">
        <v>24</v>
      </c>
      <c r="B22" s="13" t="s">
        <v>40</v>
      </c>
      <c r="C22" s="13" t="s">
        <v>19</v>
      </c>
      <c r="D22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22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2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2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2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2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22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22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2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2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2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3" spans="1:14" x14ac:dyDescent="0.25">
      <c r="A23" s="13" t="s">
        <v>103</v>
      </c>
      <c r="B23" s="13" t="s">
        <v>65</v>
      </c>
      <c r="C23" s="13" t="s">
        <v>102</v>
      </c>
      <c r="D23" s="15" t="str">
        <f>IF(OR(ISBLANK(Items[[#This Row],[Supply Item]]), Items[[#This Row],[Supply Item]]="", Items[[#This Row],[Supply Item]]=0), "", VLOOKUP(Items[[#This Row],[Supply Item]], Items[], COLUMN(Items[Component])-COLUMN(Items[])+1, FALSE))</f>
        <v>Small LiPo</v>
      </c>
      <c r="E23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23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Aihasd</v>
      </c>
      <c r="G23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23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23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3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3" s="17">
        <v>12</v>
      </c>
      <c r="L23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23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3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24" spans="1:14" x14ac:dyDescent="0.25">
      <c r="A24" s="13" t="s">
        <v>104</v>
      </c>
      <c r="B24" s="13" t="s">
        <v>94</v>
      </c>
      <c r="C24" s="13" t="s">
        <v>103</v>
      </c>
      <c r="D24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24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4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4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4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24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4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4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4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4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4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5" spans="1:14" x14ac:dyDescent="0.25">
      <c r="A25" s="13" t="s">
        <v>105</v>
      </c>
      <c r="B25" s="13" t="s">
        <v>94</v>
      </c>
      <c r="C25" s="13" t="s">
        <v>103</v>
      </c>
      <c r="D25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25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5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5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5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25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5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5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5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5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5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6" spans="1:14" x14ac:dyDescent="0.25">
      <c r="A26" s="13" t="s">
        <v>106</v>
      </c>
      <c r="B26" s="13" t="s">
        <v>94</v>
      </c>
      <c r="C26" s="13" t="s">
        <v>103</v>
      </c>
      <c r="D26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26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6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6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6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26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6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6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6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6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6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7" spans="1:14" x14ac:dyDescent="0.25">
      <c r="A27" s="13" t="s">
        <v>107</v>
      </c>
      <c r="B27" s="13" t="s">
        <v>94</v>
      </c>
      <c r="C27" s="13" t="s">
        <v>103</v>
      </c>
      <c r="D27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27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7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7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7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27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7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7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7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7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7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8" spans="1:14" x14ac:dyDescent="0.25">
      <c r="A28" s="13" t="s">
        <v>108</v>
      </c>
      <c r="B28" s="13" t="s">
        <v>94</v>
      </c>
      <c r="C28" s="13" t="s">
        <v>103</v>
      </c>
      <c r="D28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28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8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8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8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28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8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8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8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8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8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9" spans="1:14" x14ac:dyDescent="0.25">
      <c r="A29" s="13" t="s">
        <v>109</v>
      </c>
      <c r="B29" s="13" t="s">
        <v>94</v>
      </c>
      <c r="C29" s="13" t="s">
        <v>103</v>
      </c>
      <c r="D29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29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9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9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9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29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9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9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9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9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9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0" spans="1:14" x14ac:dyDescent="0.25">
      <c r="A30" s="13" t="s">
        <v>110</v>
      </c>
      <c r="B30" s="13" t="s">
        <v>94</v>
      </c>
      <c r="C30" s="13" t="s">
        <v>103</v>
      </c>
      <c r="D30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30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30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0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0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30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30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30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0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0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0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1" spans="1:14" x14ac:dyDescent="0.25">
      <c r="A31" s="13" t="s">
        <v>111</v>
      </c>
      <c r="B31" s="13" t="s">
        <v>94</v>
      </c>
      <c r="C31" s="13" t="s">
        <v>103</v>
      </c>
      <c r="D31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31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31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1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1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31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31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31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1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1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1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2" spans="1:14" x14ac:dyDescent="0.25">
      <c r="A32" s="13" t="s">
        <v>116</v>
      </c>
      <c r="B32" s="13" t="s">
        <v>113</v>
      </c>
      <c r="C32" s="13" t="s">
        <v>80</v>
      </c>
      <c r="D32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32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ELP 1280720p 1MP Camera</v>
      </c>
      <c r="F32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2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https://www.amazon.com/ELP-1280720p-Megapixel-Camera-Network/dp/B00KA4M4WS</v>
      </c>
      <c r="H32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20</v>
      </c>
      <c r="I32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32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</v>
      </c>
      <c r="K32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2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2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2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3" spans="1:14" x14ac:dyDescent="0.25">
      <c r="A33" s="13" t="s">
        <v>117</v>
      </c>
      <c r="B33" s="13" t="s">
        <v>113</v>
      </c>
      <c r="C33" s="13" t="s">
        <v>80</v>
      </c>
      <c r="D33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33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ELP 1280720p 1MP Camera</v>
      </c>
      <c r="F33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3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https://www.amazon.com/ELP-1280720p-Megapixel-Camera-Network/dp/B00KA4M4WS</v>
      </c>
      <c r="H33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20</v>
      </c>
      <c r="I33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33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</v>
      </c>
      <c r="K33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3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3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3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4" spans="1:14" x14ac:dyDescent="0.25">
      <c r="A34" s="13" t="s">
        <v>118</v>
      </c>
      <c r="B34" s="13" t="s">
        <v>113</v>
      </c>
      <c r="C34" s="13" t="s">
        <v>80</v>
      </c>
      <c r="D34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34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ELP 1280720p 1MP Camera</v>
      </c>
      <c r="F34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4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https://www.amazon.com/ELP-1280720p-Megapixel-Camera-Network/dp/B00KA4M4WS</v>
      </c>
      <c r="H34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20</v>
      </c>
      <c r="I34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34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</v>
      </c>
      <c r="K34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4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4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4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5" spans="1:14" x14ac:dyDescent="0.25">
      <c r="D35" s="13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5" s="1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5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5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5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5" s="17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5" s="17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5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5" s="17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5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5" s="22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</sheetData>
  <dataValidations count="1">
    <dataValidation type="list" allowBlank="1" showInputMessage="1" showErrorMessage="1" sqref="B2:B35" xr:uid="{00000000-0002-0000-0100-000000000000}">
      <formula1>ComponentIDs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C24" sqref="C24"/>
    </sheetView>
  </sheetViews>
  <sheetFormatPr defaultRowHeight="15" x14ac:dyDescent="0.25"/>
  <cols>
    <col min="1" max="1" width="17.28515625" style="25" bestFit="1" customWidth="1"/>
    <col min="2" max="2" width="14" style="25" bestFit="1" customWidth="1"/>
    <col min="3" max="3" width="11.140625" style="25" bestFit="1" customWidth="1"/>
    <col min="4" max="4" width="12.7109375" style="25" bestFit="1" customWidth="1"/>
    <col min="5" max="5" width="17.5703125" style="25" bestFit="1" customWidth="1"/>
    <col min="6" max="6" width="21.28515625" style="25" bestFit="1" customWidth="1"/>
    <col min="7" max="7" width="16" style="25" bestFit="1" customWidth="1"/>
    <col min="8" max="8" width="19.7109375" style="25" bestFit="1" customWidth="1"/>
    <col min="9" max="9" width="17.140625" style="25" bestFit="1" customWidth="1"/>
    <col min="10" max="10" width="32.42578125" style="25" bestFit="1" customWidth="1"/>
    <col min="11" max="11" width="29.140625" style="25" bestFit="1" customWidth="1"/>
    <col min="12" max="12" width="31.7109375" style="25" bestFit="1" customWidth="1"/>
    <col min="13" max="13" width="36.140625" style="25" bestFit="1" customWidth="1"/>
    <col min="14" max="14" width="32.85546875" style="25" bestFit="1" customWidth="1"/>
    <col min="15" max="15" width="36.140625" style="25" bestFit="1" customWidth="1"/>
    <col min="16" max="16" width="32.85546875" style="25" bestFit="1" customWidth="1"/>
    <col min="17" max="16384" width="9.140625" style="25"/>
  </cols>
  <sheetData>
    <row r="1" spans="1:15" x14ac:dyDescent="0.25">
      <c r="A1" s="23" t="s">
        <v>8</v>
      </c>
      <c r="B1" s="24" t="s">
        <v>32</v>
      </c>
      <c r="C1" s="25" t="s">
        <v>45</v>
      </c>
      <c r="D1" s="25" t="s">
        <v>9</v>
      </c>
      <c r="E1" s="25" t="s">
        <v>55</v>
      </c>
      <c r="F1" s="25" t="s">
        <v>57</v>
      </c>
      <c r="G1" s="25" t="s">
        <v>54</v>
      </c>
      <c r="H1" s="25" t="s">
        <v>56</v>
      </c>
      <c r="I1" t="s">
        <v>69</v>
      </c>
      <c r="J1" s="25" t="s">
        <v>48</v>
      </c>
      <c r="K1" s="25" t="s">
        <v>49</v>
      </c>
      <c r="L1" s="25" t="s">
        <v>50</v>
      </c>
      <c r="M1" s="25" t="s">
        <v>51</v>
      </c>
      <c r="N1" s="25" t="s">
        <v>52</v>
      </c>
      <c r="O1" s="25" t="s">
        <v>53</v>
      </c>
    </row>
    <row r="2" spans="1:15" x14ac:dyDescent="0.25">
      <c r="A2" s="26" t="str">
        <f>IF(IFERROR(Items[[#This Row],[ItemID]], 0)=0, "", Items[[#This Row],[ItemID]])</f>
        <v/>
      </c>
      <c r="B2" s="26"/>
      <c r="C2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2" s="25" t="str">
        <f>IF(OR(ISBLANK(Analysis[[#This Row],[ItemID]]), Analysis[[#This Row],[ItemID]]=""), "", VLOOKUP(Analysis[[#This Row],[ItemID]], Items[], COLUMN(Items[Output (V)])-COLUMN(Items[])+1, FALSE))</f>
        <v/>
      </c>
      <c r="E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" s="29" t="str">
        <f>IF(OR(ISBLANK(Analysis[[#This Row],[ItemID]]), Analysis[[#This Row],[ItemID]]=""), "", VLOOKUP(Analysis[[#This Row],[ItemID]], Items[], COLUMN(Items[Thoughput Loss])-COLUMN(Items[])+1, FALSE))</f>
        <v/>
      </c>
      <c r="J2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" s="28" t="str">
        <f>IF(OR(ISBLANK(Analysis[[#This Row],[ItemID]]), Analysis[[#This Row],[ItemID]]=""), "", SUMIFS(Analysis[Total Peak Consumption (W)], Analysis[Supply Item], Analysis[[#This Row],[ItemID]]))</f>
        <v/>
      </c>
      <c r="L2" s="28" t="str">
        <f>IF(OR(ISBLANK(Analysis[[#This Row],[ItemID]]), Analysis[[#This Row],[ItemID]]=""), "", Analysis[[#This Row],[Self Peak Consumption (W)]]+Analysis[[#This Row],[Children Peak Consumption (W)]])</f>
        <v/>
      </c>
      <c r="M2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" s="28" t="str">
        <f>IF(OR(ISBLANK(Analysis[[#This Row],[ItemID]]), Analysis[[#This Row],[ItemID]]=""), "", SUMIFS(Analysis[Total Constant Consumption (W)], Analysis[Supply Item], Analysis[[#This Row],[ItemID]]))</f>
        <v/>
      </c>
      <c r="O2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" spans="1:15" x14ac:dyDescent="0.25">
      <c r="A3" s="26" t="str">
        <f>IF(IFERROR(Items[[#This Row],[ItemID]], 0)=0, "", Items[[#This Row],[ItemID]])</f>
        <v>Primary Battery Pack</v>
      </c>
      <c r="B3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" s="25">
        <f>IF(OR(ISBLANK(Analysis[[#This Row],[ItemID]]), Analysis[[#This Row],[ItemID]]=""), "", VLOOKUP(Analysis[[#This Row],[ItemID]], Items[], COLUMN(Items[Output (V)])-COLUMN(Items[])+1, FALSE))</f>
        <v>22.2</v>
      </c>
      <c r="E3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66</v>
      </c>
      <c r="F3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11</v>
      </c>
      <c r="G3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" s="29">
        <f>IF(OR(ISBLANK(Analysis[[#This Row],[ItemID]]), Analysis[[#This Row],[ItemID]]=""), "", VLOOKUP(Analysis[[#This Row],[ItemID]], Items[], COLUMN(Items[Thoughput Loss])-COLUMN(Items[])+1, FALSE))</f>
        <v>0</v>
      </c>
      <c r="J3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3" s="28">
        <f>IF(OR(ISBLANK(Analysis[[#This Row],[ItemID]]), Analysis[[#This Row],[ItemID]]=""), "", SUMIFS(Analysis[Total Peak Consumption (W)], Analysis[Supply Item], Analysis[[#This Row],[ItemID]]))</f>
        <v>1465.2</v>
      </c>
      <c r="L3" s="28">
        <f>IF(OR(ISBLANK(Analysis[[#This Row],[ItemID]]), Analysis[[#This Row],[ItemID]]=""), "", Analysis[[#This Row],[Self Peak Consumption (W)]]+Analysis[[#This Row],[Children Peak Consumption (W)]])</f>
        <v>1465.2</v>
      </c>
      <c r="M3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3" s="28">
        <f>IF(OR(ISBLANK(Analysis[[#This Row],[ItemID]]), Analysis[[#This Row],[ItemID]]=""), "", SUMIFS(Analysis[Total Constant Consumption (W)], Analysis[Supply Item], Analysis[[#This Row],[ItemID]]))</f>
        <v>244.2</v>
      </c>
      <c r="O3" s="28">
        <f>IF(OR(ISBLANK(Analysis[[#This Row],[ItemID]]), Analysis[[#This Row],[ItemID]]=""), "", Analysis[[#This Row],[Self Constant Consumption (W)]]+Analysis[[#This Row],[Children Constant Consumption (W)]])</f>
        <v>244.2</v>
      </c>
    </row>
    <row r="4" spans="1:15" x14ac:dyDescent="0.25">
      <c r="A4" s="26" t="str">
        <f>IF(IFERROR(Items[[#This Row],[ItemID]], 0)=0, "", Items[[#This Row],[ItemID]])</f>
        <v>E-Box Battery</v>
      </c>
      <c r="B4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4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4" s="25">
        <f>IF(OR(ISBLANK(Analysis[[#This Row],[ItemID]]), Analysis[[#This Row],[ItemID]]=""), "", VLOOKUP(Analysis[[#This Row],[ItemID]], Items[], COLUMN(Items[Output (V)])-COLUMN(Items[])+1, FALSE))</f>
        <v>22.2</v>
      </c>
      <c r="E4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8.1261261261261257</v>
      </c>
      <c r="F4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4.082882882882882</v>
      </c>
      <c r="G4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4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4" s="29">
        <f>IF(OR(ISBLANK(Analysis[[#This Row],[ItemID]]), Analysis[[#This Row],[ItemID]]=""), "", VLOOKUP(Analysis[[#This Row],[ItemID]], Items[], COLUMN(Items[Thoughput Loss])-COLUMN(Items[])+1, FALSE))</f>
        <v>0</v>
      </c>
      <c r="J4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4" s="28">
        <f>IF(OR(ISBLANK(Analysis[[#This Row],[ItemID]]), Analysis[[#This Row],[ItemID]]=""), "", SUMIFS(Analysis[Total Peak Consumption (W)], Analysis[Supply Item], Analysis[[#This Row],[ItemID]]))</f>
        <v>180.39999999999998</v>
      </c>
      <c r="L4" s="28">
        <f>IF(OR(ISBLANK(Analysis[[#This Row],[ItemID]]), Analysis[[#This Row],[ItemID]]=""), "", Analysis[[#This Row],[Self Peak Consumption (W)]]+Analysis[[#This Row],[Children Peak Consumption (W)]])</f>
        <v>180.39999999999998</v>
      </c>
      <c r="M4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4" s="28">
        <f>IF(OR(ISBLANK(Analysis[[#This Row],[ItemID]]), Analysis[[#This Row],[ItemID]]=""), "", SUMIFS(Analysis[Total Constant Consumption (W)], Analysis[Supply Item], Analysis[[#This Row],[ItemID]]))</f>
        <v>90.639999999999986</v>
      </c>
      <c r="O4" s="28">
        <f>IF(OR(ISBLANK(Analysis[[#This Row],[ItemID]]), Analysis[[#This Row],[ItemID]]=""), "", Analysis[[#This Row],[Self Constant Consumption (W)]]+Analysis[[#This Row],[Children Constant Consumption (W)]])</f>
        <v>90.639999999999986</v>
      </c>
    </row>
    <row r="5" spans="1:15" x14ac:dyDescent="0.25">
      <c r="A5" s="26" t="str">
        <f>IF(IFERROR(Items[[#This Row],[ItemID]], 0)=0, "", Items[[#This Row],[ItemID]])</f>
        <v>Logic Supply</v>
      </c>
      <c r="B5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E-Box Battery</v>
      </c>
      <c r="C5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5" s="25">
        <f>IF(OR(ISBLANK(Analysis[[#This Row],[ItemID]]), Analysis[[#This Row],[ItemID]]=""), "", VLOOKUP(Analysis[[#This Row],[ItemID]], Items[], COLUMN(Items[Output (V)])-COLUMN(Items[])+1, FALSE))</f>
        <v>5</v>
      </c>
      <c r="E5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5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5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</v>
      </c>
      <c r="H5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</v>
      </c>
      <c r="I5" s="29">
        <f>IF(OR(ISBLANK(Analysis[[#This Row],[ItemID]]), Analysis[[#This Row],[ItemID]]=""), "", VLOOKUP(Analysis[[#This Row],[ItemID]], Items[], COLUMN(Items[Thoughput Loss])-COLUMN(Items[])+1, FALSE))</f>
        <v>0.1</v>
      </c>
      <c r="J5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5" s="28">
        <f>IF(OR(ISBLANK(Analysis[[#This Row],[ItemID]]), Analysis[[#This Row],[ItemID]]=""), "", SUMIFS(Analysis[Total Peak Consumption (W)], Analysis[Supply Item], Analysis[[#This Row],[ItemID]]))</f>
        <v>0</v>
      </c>
      <c r="L5" s="28">
        <f>IF(OR(ISBLANK(Analysis[[#This Row],[ItemID]]), Analysis[[#This Row],[ItemID]]=""), "", Analysis[[#This Row],[Self Peak Consumption (W)]]+Analysis[[#This Row],[Children Peak Consumption (W)]])</f>
        <v>0</v>
      </c>
      <c r="M5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5" s="28">
        <f>IF(OR(ISBLANK(Analysis[[#This Row],[ItemID]]), Analysis[[#This Row],[ItemID]]=""), "", SUMIFS(Analysis[Total Constant Consumption (W)], Analysis[Supply Item], Analysis[[#This Row],[ItemID]]))</f>
        <v>0</v>
      </c>
      <c r="O5" s="28">
        <f>IF(OR(ISBLANK(Analysis[[#This Row],[ItemID]]), Analysis[[#This Row],[ItemID]]=""), "", Analysis[[#This Row],[Self Constant Consumption (W)]]+Analysis[[#This Row],[Children Constant Consumption (W)]])</f>
        <v>0</v>
      </c>
    </row>
    <row r="6" spans="1:15" x14ac:dyDescent="0.25">
      <c r="A6" s="26" t="str">
        <f>IF(IFERROR(Items[[#This Row],[ItemID]], 0)=0, "", Items[[#This Row],[ItemID]])</f>
        <v>Network Power</v>
      </c>
      <c r="B6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E-Box Battery</v>
      </c>
      <c r="C6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6" s="25">
        <f>IF(OR(ISBLANK(Analysis[[#This Row],[ItemID]]), Analysis[[#This Row],[ItemID]]=""), "", VLOOKUP(Analysis[[#This Row],[ItemID]], Items[], COLUMN(Items[Output (V)])-COLUMN(Items[])+1, FALSE))</f>
        <v>12</v>
      </c>
      <c r="E6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5.666666666666667</v>
      </c>
      <c r="F6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2.6666666666666665</v>
      </c>
      <c r="G6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3.3693693693693691</v>
      </c>
      <c r="H6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1.5855855855855858</v>
      </c>
      <c r="I6" s="29">
        <f>IF(OR(ISBLANK(Analysis[[#This Row],[ItemID]]), Analysis[[#This Row],[ItemID]]=""), "", VLOOKUP(Analysis[[#This Row],[ItemID]], Items[], COLUMN(Items[Thoughput Loss])-COLUMN(Items[])+1, FALSE))</f>
        <v>0.1</v>
      </c>
      <c r="J6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6.8000000000000007</v>
      </c>
      <c r="K6" s="28">
        <f>IF(OR(ISBLANK(Analysis[[#This Row],[ItemID]]), Analysis[[#This Row],[ItemID]]=""), "", SUMIFS(Analysis[Total Peak Consumption (W)], Analysis[Supply Item], Analysis[[#This Row],[ItemID]]))</f>
        <v>68</v>
      </c>
      <c r="L6" s="28">
        <f>IF(OR(ISBLANK(Analysis[[#This Row],[ItemID]]), Analysis[[#This Row],[ItemID]]=""), "", Analysis[[#This Row],[Self Peak Consumption (W)]]+Analysis[[#This Row],[Children Peak Consumption (W)]])</f>
        <v>74.8</v>
      </c>
      <c r="M6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3.2</v>
      </c>
      <c r="N6" s="28">
        <f>IF(OR(ISBLANK(Analysis[[#This Row],[ItemID]]), Analysis[[#This Row],[ItemID]]=""), "", SUMIFS(Analysis[Total Constant Consumption (W)], Analysis[Supply Item], Analysis[[#This Row],[ItemID]]))</f>
        <v>32</v>
      </c>
      <c r="O6" s="28">
        <f>IF(OR(ISBLANK(Analysis[[#This Row],[ItemID]]), Analysis[[#This Row],[ItemID]]=""), "", Analysis[[#This Row],[Self Constant Consumption (W)]]+Analysis[[#This Row],[Children Constant Consumption (W)]])</f>
        <v>35.200000000000003</v>
      </c>
    </row>
    <row r="7" spans="1:15" x14ac:dyDescent="0.25">
      <c r="A7" s="26" t="str">
        <f>IF(IFERROR(Items[[#This Row],[ItemID]], 0)=0, "", Items[[#This Row],[ItemID]])</f>
        <v>Transceiver</v>
      </c>
      <c r="B7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7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7" s="25" t="str">
        <f>IF(OR(ISBLANK(Analysis[[#This Row],[ItemID]]), Analysis[[#This Row],[ItemID]]=""), "", VLOOKUP(Analysis[[#This Row],[ItemID]], Items[], COLUMN(Items[Output (V)])-COLUMN(Items[])+1, FALSE))</f>
        <v/>
      </c>
      <c r="E7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7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7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0.66666666666666663</v>
      </c>
      <c r="H7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</v>
      </c>
      <c r="I7" s="29">
        <f>IF(OR(ISBLANK(Analysis[[#This Row],[ItemID]]), Analysis[[#This Row],[ItemID]]=""), "", VLOOKUP(Analysis[[#This Row],[ItemID]], Items[], COLUMN(Items[Thoughput Loss])-COLUMN(Items[])+1, FALSE))</f>
        <v>0</v>
      </c>
      <c r="J7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8</v>
      </c>
      <c r="K7" s="28">
        <f>IF(OR(ISBLANK(Analysis[[#This Row],[ItemID]]), Analysis[[#This Row],[ItemID]]=""), "", SUMIFS(Analysis[Total Peak Consumption (W)], Analysis[Supply Item], Analysis[[#This Row],[ItemID]]))</f>
        <v>0</v>
      </c>
      <c r="L7" s="28">
        <f>IF(OR(ISBLANK(Analysis[[#This Row],[ItemID]]), Analysis[[#This Row],[ItemID]]=""), "", Analysis[[#This Row],[Self Peak Consumption (W)]]+Analysis[[#This Row],[Children Peak Consumption (W)]])</f>
        <v>8</v>
      </c>
      <c r="M7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</v>
      </c>
      <c r="N7" s="28">
        <f>IF(OR(ISBLANK(Analysis[[#This Row],[ItemID]]), Analysis[[#This Row],[ItemID]]=""), "", SUMIFS(Analysis[Total Constant Consumption (W)], Analysis[Supply Item], Analysis[[#This Row],[ItemID]]))</f>
        <v>0</v>
      </c>
      <c r="O7" s="28">
        <f>IF(OR(ISBLANK(Analysis[[#This Row],[ItemID]]), Analysis[[#This Row],[ItemID]]=""), "", Analysis[[#This Row],[Self Constant Consumption (W)]]+Analysis[[#This Row],[Children Constant Consumption (W)]])</f>
        <v>6</v>
      </c>
    </row>
    <row r="8" spans="1:15" x14ac:dyDescent="0.25">
      <c r="A8" s="26" t="str">
        <f>IF(IFERROR(Items[[#This Row],[ItemID]], 0)=0, "", Items[[#This Row],[ItemID]])</f>
        <v>Network Switch</v>
      </c>
      <c r="B8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8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8" s="25" t="str">
        <f>IF(OR(ISBLANK(Analysis[[#This Row],[ItemID]]), Analysis[[#This Row],[ItemID]]=""), "", VLOOKUP(Analysis[[#This Row],[ItemID]], Items[], COLUMN(Items[Output (V)])-COLUMN(Items[])+1, FALSE))</f>
        <v/>
      </c>
      <c r="E8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8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8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</v>
      </c>
      <c r="H8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0.66666666666666663</v>
      </c>
      <c r="I8" s="29">
        <f>IF(OR(ISBLANK(Analysis[[#This Row],[ItemID]]), Analysis[[#This Row],[ItemID]]=""), "", VLOOKUP(Analysis[[#This Row],[ItemID]], Items[], COLUMN(Items[Thoughput Loss])-COLUMN(Items[])+1, FALSE))</f>
        <v>0</v>
      </c>
      <c r="J8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</v>
      </c>
      <c r="K8" s="28">
        <f>IF(OR(ISBLANK(Analysis[[#This Row],[ItemID]]), Analysis[[#This Row],[ItemID]]=""), "", SUMIFS(Analysis[Total Peak Consumption (W)], Analysis[Supply Item], Analysis[[#This Row],[ItemID]]))</f>
        <v>0</v>
      </c>
      <c r="L8" s="28">
        <f>IF(OR(ISBLANK(Analysis[[#This Row],[ItemID]]), Analysis[[#This Row],[ItemID]]=""), "", Analysis[[#This Row],[Self Peak Consumption (W)]]+Analysis[[#This Row],[Children Peak Consumption (W)]])</f>
        <v>24</v>
      </c>
      <c r="M8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8</v>
      </c>
      <c r="N8" s="28">
        <f>IF(OR(ISBLANK(Analysis[[#This Row],[ItemID]]), Analysis[[#This Row],[ItemID]]=""), "", SUMIFS(Analysis[Total Constant Consumption (W)], Analysis[Supply Item], Analysis[[#This Row],[ItemID]]))</f>
        <v>0</v>
      </c>
      <c r="O8" s="28">
        <f>IF(OR(ISBLANK(Analysis[[#This Row],[ItemID]]), Analysis[[#This Row],[ItemID]]=""), "", Analysis[[#This Row],[Self Constant Consumption (W)]]+Analysis[[#This Row],[Children Constant Consumption (W)]])</f>
        <v>8</v>
      </c>
    </row>
    <row r="9" spans="1:15" x14ac:dyDescent="0.25">
      <c r="A9" s="26" t="str">
        <f>IF(IFERROR(Items[[#This Row],[ItemID]], 0)=0, "", Items[[#This Row],[ItemID]])</f>
        <v>Arm Power</v>
      </c>
      <c r="B9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Primary Battery Pack</v>
      </c>
      <c r="C9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9" s="25">
        <f>IF(OR(ISBLANK(Analysis[[#This Row],[ItemID]]), Analysis[[#This Row],[ItemID]]=""), "", VLOOKUP(Analysis[[#This Row],[ItemID]], Items[], COLUMN(Items[Output (V)])-COLUMN(Items[])+1, FALSE))</f>
        <v>12</v>
      </c>
      <c r="E9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9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9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</v>
      </c>
      <c r="H9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</v>
      </c>
      <c r="I9" s="29">
        <f>IF(OR(ISBLANK(Analysis[[#This Row],[ItemID]]), Analysis[[#This Row],[ItemID]]=""), "", VLOOKUP(Analysis[[#This Row],[ItemID]], Items[], COLUMN(Items[Thoughput Loss])-COLUMN(Items[])+1, FALSE))</f>
        <v>0.1</v>
      </c>
      <c r="J9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9" s="28">
        <f>IF(OR(ISBLANK(Analysis[[#This Row],[ItemID]]), Analysis[[#This Row],[ItemID]]=""), "", SUMIFS(Analysis[Total Peak Consumption (W)], Analysis[Supply Item], Analysis[[#This Row],[ItemID]]))</f>
        <v>0</v>
      </c>
      <c r="L9" s="28">
        <f>IF(OR(ISBLANK(Analysis[[#This Row],[ItemID]]), Analysis[[#This Row],[ItemID]]=""), "", Analysis[[#This Row],[Self Peak Consumption (W)]]+Analysis[[#This Row],[Children Peak Consumption (W)]])</f>
        <v>0</v>
      </c>
      <c r="M9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9" s="28">
        <f>IF(OR(ISBLANK(Analysis[[#This Row],[ItemID]]), Analysis[[#This Row],[ItemID]]=""), "", SUMIFS(Analysis[Total Constant Consumption (W)], Analysis[Supply Item], Analysis[[#This Row],[ItemID]]))</f>
        <v>0</v>
      </c>
      <c r="O9" s="28">
        <f>IF(OR(ISBLANK(Analysis[[#This Row],[ItemID]]), Analysis[[#This Row],[ItemID]]=""), "", Analysis[[#This Row],[Self Constant Consumption (W)]]+Analysis[[#This Row],[Children Constant Consumption (W)]])</f>
        <v>0</v>
      </c>
    </row>
    <row r="10" spans="1:15" x14ac:dyDescent="0.25">
      <c r="A10" s="26" t="str">
        <f>IF(IFERROR(Items[[#This Row],[ItemID]], 0)=0, "", Items[[#This Row],[ItemID]])</f>
        <v>Drivetrain Power</v>
      </c>
      <c r="B10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Primary Battery Pack</v>
      </c>
      <c r="C10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0" s="25">
        <f>IF(OR(ISBLANK(Analysis[[#This Row],[ItemID]]), Analysis[[#This Row],[ItemID]]=""), "", VLOOKUP(Analysis[[#This Row],[ItemID]], Items[], COLUMN(Items[Output (V)])-COLUMN(Items[])+1, FALSE))</f>
        <v>22.2</v>
      </c>
      <c r="E10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66</v>
      </c>
      <c r="F10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11</v>
      </c>
      <c r="G10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66</v>
      </c>
      <c r="H10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11</v>
      </c>
      <c r="I10" s="29">
        <f>IF(OR(ISBLANK(Analysis[[#This Row],[ItemID]]), Analysis[[#This Row],[ItemID]]=""), "", VLOOKUP(Analysis[[#This Row],[ItemID]], Items[], COLUMN(Items[Thoughput Loss])-COLUMN(Items[])+1, FALSE))</f>
        <v>0</v>
      </c>
      <c r="J10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0" s="28">
        <f>IF(OR(ISBLANK(Analysis[[#This Row],[ItemID]]), Analysis[[#This Row],[ItemID]]=""), "", SUMIFS(Analysis[Total Peak Consumption (W)], Analysis[Supply Item], Analysis[[#This Row],[ItemID]]))</f>
        <v>1465.2</v>
      </c>
      <c r="L10" s="28">
        <f>IF(OR(ISBLANK(Analysis[[#This Row],[ItemID]]), Analysis[[#This Row],[ItemID]]=""), "", Analysis[[#This Row],[Self Peak Consumption (W)]]+Analysis[[#This Row],[Children Peak Consumption (W)]])</f>
        <v>1465.2</v>
      </c>
      <c r="M10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0" s="28">
        <f>IF(OR(ISBLANK(Analysis[[#This Row],[ItemID]]), Analysis[[#This Row],[ItemID]]=""), "", SUMIFS(Analysis[Total Constant Consumption (W)], Analysis[Supply Item], Analysis[[#This Row],[ItemID]]))</f>
        <v>244.2</v>
      </c>
      <c r="O10" s="28">
        <f>IF(OR(ISBLANK(Analysis[[#This Row],[ItemID]]), Analysis[[#This Row],[ItemID]]=""), "", Analysis[[#This Row],[Self Constant Consumption (W)]]+Analysis[[#This Row],[Children Constant Consumption (W)]])</f>
        <v>244.2</v>
      </c>
    </row>
    <row r="11" spans="1:15" x14ac:dyDescent="0.25">
      <c r="A11" s="26" t="str">
        <f>IF(IFERROR(Items[[#This Row],[ItemID]], 0)=0, "", Items[[#This Row],[ItemID]])</f>
        <v>FrontRight ESC</v>
      </c>
      <c r="B11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1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1" s="25">
        <f>IF(OR(ISBLANK(Analysis[[#This Row],[ItemID]]), Analysis[[#This Row],[ItemID]]=""), "", VLOOKUP(Analysis[[#This Row],[ItemID]], Items[], COLUMN(Items[Output (V)])-COLUMN(Items[])+1, FALSE))</f>
        <v>22.2</v>
      </c>
      <c r="E11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1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1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1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1" s="29">
        <f>IF(OR(ISBLANK(Analysis[[#This Row],[ItemID]]), Analysis[[#This Row],[ItemID]]=""), "", VLOOKUP(Analysis[[#This Row],[ItemID]], Items[], COLUMN(Items[Thoughput Loss])-COLUMN(Items[])+1, FALSE))</f>
        <v>0.1</v>
      </c>
      <c r="J11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1" s="28">
        <f>IF(OR(ISBLANK(Analysis[[#This Row],[ItemID]]), Analysis[[#This Row],[ItemID]]=""), "", SUMIFS(Analysis[Total Peak Consumption (W)], Analysis[Supply Item], Analysis[[#This Row],[ItemID]]))</f>
        <v>222</v>
      </c>
      <c r="L11" s="28">
        <f>IF(OR(ISBLANK(Analysis[[#This Row],[ItemID]]), Analysis[[#This Row],[ItemID]]=""), "", Analysis[[#This Row],[Self Peak Consumption (W)]]+Analysis[[#This Row],[Children Peak Consumption (W)]])</f>
        <v>244.2</v>
      </c>
      <c r="M11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1" s="28">
        <f>IF(OR(ISBLANK(Analysis[[#This Row],[ItemID]]), Analysis[[#This Row],[ItemID]]=""), "", SUMIFS(Analysis[Total Constant Consumption (W)], Analysis[Supply Item], Analysis[[#This Row],[ItemID]]))</f>
        <v>37</v>
      </c>
      <c r="O11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12" spans="1:15" x14ac:dyDescent="0.25">
      <c r="A12" s="26" t="str">
        <f>IF(IFERROR(Items[[#This Row],[ItemID]], 0)=0, "", Items[[#This Row],[ItemID]])</f>
        <v>FrontRight Motor</v>
      </c>
      <c r="B12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FrontRight ESC</v>
      </c>
      <c r="C12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2" s="25" t="str">
        <f>IF(OR(ISBLANK(Analysis[[#This Row],[ItemID]]), Analysis[[#This Row],[ItemID]]=""), "", VLOOKUP(Analysis[[#This Row],[ItemID]], Items[], COLUMN(Items[Output (V)])-COLUMN(Items[])+1, FALSE))</f>
        <v/>
      </c>
      <c r="E1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2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12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12" s="29">
        <f>IF(OR(ISBLANK(Analysis[[#This Row],[ItemID]]), Analysis[[#This Row],[ItemID]]=""), "", VLOOKUP(Analysis[[#This Row],[ItemID]], Items[], COLUMN(Items[Thoughput Loss])-COLUMN(Items[])+1, FALSE))</f>
        <v>0</v>
      </c>
      <c r="J12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12" s="28">
        <f>IF(OR(ISBLANK(Analysis[[#This Row],[ItemID]]), Analysis[[#This Row],[ItemID]]=""), "", SUMIFS(Analysis[Total Peak Consumption (W)], Analysis[Supply Item], Analysis[[#This Row],[ItemID]]))</f>
        <v>0</v>
      </c>
      <c r="L12" s="28">
        <f>IF(OR(ISBLANK(Analysis[[#This Row],[ItemID]]), Analysis[[#This Row],[ItemID]]=""), "", Analysis[[#This Row],[Self Peak Consumption (W)]]+Analysis[[#This Row],[Children Peak Consumption (W)]])</f>
        <v>222</v>
      </c>
      <c r="M12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12" s="28">
        <f>IF(OR(ISBLANK(Analysis[[#This Row],[ItemID]]), Analysis[[#This Row],[ItemID]]=""), "", SUMIFS(Analysis[Total Constant Consumption (W)], Analysis[Supply Item], Analysis[[#This Row],[ItemID]]))</f>
        <v>0</v>
      </c>
      <c r="O12" s="28">
        <f>IF(OR(ISBLANK(Analysis[[#This Row],[ItemID]]), Analysis[[#This Row],[ItemID]]=""), "", Analysis[[#This Row],[Self Constant Consumption (W)]]+Analysis[[#This Row],[Children Constant Consumption (W)]])</f>
        <v>37</v>
      </c>
    </row>
    <row r="13" spans="1:15" x14ac:dyDescent="0.25">
      <c r="A13" s="26" t="str">
        <f>IF(IFERROR(Items[[#This Row],[ItemID]], 0)=0, "", Items[[#This Row],[ItemID]])</f>
        <v>MidRight ESC</v>
      </c>
      <c r="B13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3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3" s="25">
        <f>IF(OR(ISBLANK(Analysis[[#This Row],[ItemID]]), Analysis[[#This Row],[ItemID]]=""), "", VLOOKUP(Analysis[[#This Row],[ItemID]], Items[], COLUMN(Items[Output (V)])-COLUMN(Items[])+1, FALSE))</f>
        <v>22.2</v>
      </c>
      <c r="E13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3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3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3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3" s="29">
        <f>IF(OR(ISBLANK(Analysis[[#This Row],[ItemID]]), Analysis[[#This Row],[ItemID]]=""), "", VLOOKUP(Analysis[[#This Row],[ItemID]], Items[], COLUMN(Items[Thoughput Loss])-COLUMN(Items[])+1, FALSE))</f>
        <v>0.1</v>
      </c>
      <c r="J13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3" s="28">
        <f>IF(OR(ISBLANK(Analysis[[#This Row],[ItemID]]), Analysis[[#This Row],[ItemID]]=""), "", SUMIFS(Analysis[Total Peak Consumption (W)], Analysis[Supply Item], Analysis[[#This Row],[ItemID]]))</f>
        <v>222</v>
      </c>
      <c r="L13" s="28">
        <f>IF(OR(ISBLANK(Analysis[[#This Row],[ItemID]]), Analysis[[#This Row],[ItemID]]=""), "", Analysis[[#This Row],[Self Peak Consumption (W)]]+Analysis[[#This Row],[Children Peak Consumption (W)]])</f>
        <v>244.2</v>
      </c>
      <c r="M13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3" s="28">
        <f>IF(OR(ISBLANK(Analysis[[#This Row],[ItemID]]), Analysis[[#This Row],[ItemID]]=""), "", SUMIFS(Analysis[Total Constant Consumption (W)], Analysis[Supply Item], Analysis[[#This Row],[ItemID]]))</f>
        <v>37</v>
      </c>
      <c r="O13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14" spans="1:15" x14ac:dyDescent="0.25">
      <c r="A14" s="26" t="str">
        <f>IF(IFERROR(Items[[#This Row],[ItemID]], 0)=0, "", Items[[#This Row],[ItemID]])</f>
        <v>MidRight Motor</v>
      </c>
      <c r="B14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MidRight ESC</v>
      </c>
      <c r="C14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4" s="25" t="str">
        <f>IF(OR(ISBLANK(Analysis[[#This Row],[ItemID]]), Analysis[[#This Row],[ItemID]]=""), "", VLOOKUP(Analysis[[#This Row],[ItemID]], Items[], COLUMN(Items[Output (V)])-COLUMN(Items[])+1, FALSE))</f>
        <v/>
      </c>
      <c r="E14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4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4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14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14" s="29">
        <f>IF(OR(ISBLANK(Analysis[[#This Row],[ItemID]]), Analysis[[#This Row],[ItemID]]=""), "", VLOOKUP(Analysis[[#This Row],[ItemID]], Items[], COLUMN(Items[Thoughput Loss])-COLUMN(Items[])+1, FALSE))</f>
        <v>0</v>
      </c>
      <c r="J14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14" s="28">
        <f>IF(OR(ISBLANK(Analysis[[#This Row],[ItemID]]), Analysis[[#This Row],[ItemID]]=""), "", SUMIFS(Analysis[Total Peak Consumption (W)], Analysis[Supply Item], Analysis[[#This Row],[ItemID]]))</f>
        <v>0</v>
      </c>
      <c r="L14" s="28">
        <f>IF(OR(ISBLANK(Analysis[[#This Row],[ItemID]]), Analysis[[#This Row],[ItemID]]=""), "", Analysis[[#This Row],[Self Peak Consumption (W)]]+Analysis[[#This Row],[Children Peak Consumption (W)]])</f>
        <v>222</v>
      </c>
      <c r="M14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14" s="28">
        <f>IF(OR(ISBLANK(Analysis[[#This Row],[ItemID]]), Analysis[[#This Row],[ItemID]]=""), "", SUMIFS(Analysis[Total Constant Consumption (W)], Analysis[Supply Item], Analysis[[#This Row],[ItemID]]))</f>
        <v>0</v>
      </c>
      <c r="O14" s="28">
        <f>IF(OR(ISBLANK(Analysis[[#This Row],[ItemID]]), Analysis[[#This Row],[ItemID]]=""), "", Analysis[[#This Row],[Self Constant Consumption (W)]]+Analysis[[#This Row],[Children Constant Consumption (W)]])</f>
        <v>37</v>
      </c>
    </row>
    <row r="15" spans="1:15" x14ac:dyDescent="0.25">
      <c r="A15" s="26" t="str">
        <f>IF(IFERROR(Items[[#This Row],[ItemID]], 0)=0, "", Items[[#This Row],[ItemID]])</f>
        <v>BackRight ESC</v>
      </c>
      <c r="B15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5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5" s="25">
        <f>IF(OR(ISBLANK(Analysis[[#This Row],[ItemID]]), Analysis[[#This Row],[ItemID]]=""), "", VLOOKUP(Analysis[[#This Row],[ItemID]], Items[], COLUMN(Items[Output (V)])-COLUMN(Items[])+1, FALSE))</f>
        <v>22.2</v>
      </c>
      <c r="E15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5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5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5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5" s="29">
        <f>IF(OR(ISBLANK(Analysis[[#This Row],[ItemID]]), Analysis[[#This Row],[ItemID]]=""), "", VLOOKUP(Analysis[[#This Row],[ItemID]], Items[], COLUMN(Items[Thoughput Loss])-COLUMN(Items[])+1, FALSE))</f>
        <v>0.1</v>
      </c>
      <c r="J15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5" s="28">
        <f>IF(OR(ISBLANK(Analysis[[#This Row],[ItemID]]), Analysis[[#This Row],[ItemID]]=""), "", SUMIFS(Analysis[Total Peak Consumption (W)], Analysis[Supply Item], Analysis[[#This Row],[ItemID]]))</f>
        <v>222</v>
      </c>
      <c r="L15" s="28">
        <f>IF(OR(ISBLANK(Analysis[[#This Row],[ItemID]]), Analysis[[#This Row],[ItemID]]=""), "", Analysis[[#This Row],[Self Peak Consumption (W)]]+Analysis[[#This Row],[Children Peak Consumption (W)]])</f>
        <v>244.2</v>
      </c>
      <c r="M15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5" s="28">
        <f>IF(OR(ISBLANK(Analysis[[#This Row],[ItemID]]), Analysis[[#This Row],[ItemID]]=""), "", SUMIFS(Analysis[Total Constant Consumption (W)], Analysis[Supply Item], Analysis[[#This Row],[ItemID]]))</f>
        <v>37</v>
      </c>
      <c r="O15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16" spans="1:15" x14ac:dyDescent="0.25">
      <c r="A16" s="26" t="str">
        <f>IF(IFERROR(Items[[#This Row],[ItemID]], 0)=0, "", Items[[#This Row],[ItemID]])</f>
        <v>BackRight Motor</v>
      </c>
      <c r="B16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BackRight ESC</v>
      </c>
      <c r="C16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6" s="25" t="str">
        <f>IF(OR(ISBLANK(Analysis[[#This Row],[ItemID]]), Analysis[[#This Row],[ItemID]]=""), "", VLOOKUP(Analysis[[#This Row],[ItemID]], Items[], COLUMN(Items[Output (V)])-COLUMN(Items[])+1, FALSE))</f>
        <v/>
      </c>
      <c r="E16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6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6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16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16" s="29">
        <f>IF(OR(ISBLANK(Analysis[[#This Row],[ItemID]]), Analysis[[#This Row],[ItemID]]=""), "", VLOOKUP(Analysis[[#This Row],[ItemID]], Items[], COLUMN(Items[Thoughput Loss])-COLUMN(Items[])+1, FALSE))</f>
        <v>0</v>
      </c>
      <c r="J16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16" s="28">
        <f>IF(OR(ISBLANK(Analysis[[#This Row],[ItemID]]), Analysis[[#This Row],[ItemID]]=""), "", SUMIFS(Analysis[Total Peak Consumption (W)], Analysis[Supply Item], Analysis[[#This Row],[ItemID]]))</f>
        <v>0</v>
      </c>
      <c r="L16" s="28">
        <f>IF(OR(ISBLANK(Analysis[[#This Row],[ItemID]]), Analysis[[#This Row],[ItemID]]=""), "", Analysis[[#This Row],[Self Peak Consumption (W)]]+Analysis[[#This Row],[Children Peak Consumption (W)]])</f>
        <v>222</v>
      </c>
      <c r="M16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16" s="28">
        <f>IF(OR(ISBLANK(Analysis[[#This Row],[ItemID]]), Analysis[[#This Row],[ItemID]]=""), "", SUMIFS(Analysis[Total Constant Consumption (W)], Analysis[Supply Item], Analysis[[#This Row],[ItemID]]))</f>
        <v>0</v>
      </c>
      <c r="O16" s="28">
        <f>IF(OR(ISBLANK(Analysis[[#This Row],[ItemID]]), Analysis[[#This Row],[ItemID]]=""), "", Analysis[[#This Row],[Self Constant Consumption (W)]]+Analysis[[#This Row],[Children Constant Consumption (W)]])</f>
        <v>37</v>
      </c>
    </row>
    <row r="17" spans="1:15" x14ac:dyDescent="0.25">
      <c r="A17" s="26" t="str">
        <f>IF(IFERROR(Items[[#This Row],[ItemID]], 0)=0, "", Items[[#This Row],[ItemID]])</f>
        <v>FrontLeft ESC</v>
      </c>
      <c r="B17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7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7" s="25">
        <f>IF(OR(ISBLANK(Analysis[[#This Row],[ItemID]]), Analysis[[#This Row],[ItemID]]=""), "", VLOOKUP(Analysis[[#This Row],[ItemID]], Items[], COLUMN(Items[Output (V)])-COLUMN(Items[])+1, FALSE))</f>
        <v>22.2</v>
      </c>
      <c r="E17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7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7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7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7" s="29">
        <f>IF(OR(ISBLANK(Analysis[[#This Row],[ItemID]]), Analysis[[#This Row],[ItemID]]=""), "", VLOOKUP(Analysis[[#This Row],[ItemID]], Items[], COLUMN(Items[Thoughput Loss])-COLUMN(Items[])+1, FALSE))</f>
        <v>0.1</v>
      </c>
      <c r="J17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7" s="28">
        <f>IF(OR(ISBLANK(Analysis[[#This Row],[ItemID]]), Analysis[[#This Row],[ItemID]]=""), "", SUMIFS(Analysis[Total Peak Consumption (W)], Analysis[Supply Item], Analysis[[#This Row],[ItemID]]))</f>
        <v>222</v>
      </c>
      <c r="L17" s="28">
        <f>IF(OR(ISBLANK(Analysis[[#This Row],[ItemID]]), Analysis[[#This Row],[ItemID]]=""), "", Analysis[[#This Row],[Self Peak Consumption (W)]]+Analysis[[#This Row],[Children Peak Consumption (W)]])</f>
        <v>244.2</v>
      </c>
      <c r="M17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7" s="28">
        <f>IF(OR(ISBLANK(Analysis[[#This Row],[ItemID]]), Analysis[[#This Row],[ItemID]]=""), "", SUMIFS(Analysis[Total Constant Consumption (W)], Analysis[Supply Item], Analysis[[#This Row],[ItemID]]))</f>
        <v>37</v>
      </c>
      <c r="O17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18" spans="1:15" x14ac:dyDescent="0.25">
      <c r="A18" s="26" t="str">
        <f>IF(IFERROR(Items[[#This Row],[ItemID]], 0)=0, "", Items[[#This Row],[ItemID]])</f>
        <v>FrontLeft Motor</v>
      </c>
      <c r="B18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FrontLeft ESC</v>
      </c>
      <c r="C18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8" s="25" t="str">
        <f>IF(OR(ISBLANK(Analysis[[#This Row],[ItemID]]), Analysis[[#This Row],[ItemID]]=""), "", VLOOKUP(Analysis[[#This Row],[ItemID]], Items[], COLUMN(Items[Output (V)])-COLUMN(Items[])+1, FALSE))</f>
        <v/>
      </c>
      <c r="E18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8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8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18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18" s="29">
        <f>IF(OR(ISBLANK(Analysis[[#This Row],[ItemID]]), Analysis[[#This Row],[ItemID]]=""), "", VLOOKUP(Analysis[[#This Row],[ItemID]], Items[], COLUMN(Items[Thoughput Loss])-COLUMN(Items[])+1, FALSE))</f>
        <v>0</v>
      </c>
      <c r="J18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18" s="28">
        <f>IF(OR(ISBLANK(Analysis[[#This Row],[ItemID]]), Analysis[[#This Row],[ItemID]]=""), "", SUMIFS(Analysis[Total Peak Consumption (W)], Analysis[Supply Item], Analysis[[#This Row],[ItemID]]))</f>
        <v>0</v>
      </c>
      <c r="L18" s="28">
        <f>IF(OR(ISBLANK(Analysis[[#This Row],[ItemID]]), Analysis[[#This Row],[ItemID]]=""), "", Analysis[[#This Row],[Self Peak Consumption (W)]]+Analysis[[#This Row],[Children Peak Consumption (W)]])</f>
        <v>222</v>
      </c>
      <c r="M18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18" s="28">
        <f>IF(OR(ISBLANK(Analysis[[#This Row],[ItemID]]), Analysis[[#This Row],[ItemID]]=""), "", SUMIFS(Analysis[Total Constant Consumption (W)], Analysis[Supply Item], Analysis[[#This Row],[ItemID]]))</f>
        <v>0</v>
      </c>
      <c r="O18" s="28">
        <f>IF(OR(ISBLANK(Analysis[[#This Row],[ItemID]]), Analysis[[#This Row],[ItemID]]=""), "", Analysis[[#This Row],[Self Constant Consumption (W)]]+Analysis[[#This Row],[Children Constant Consumption (W)]])</f>
        <v>37</v>
      </c>
    </row>
    <row r="19" spans="1:15" x14ac:dyDescent="0.25">
      <c r="A19" s="26" t="str">
        <f>IF(IFERROR(Items[[#This Row],[ItemID]], 0)=0, "", Items[[#This Row],[ItemID]])</f>
        <v>MidLeft ESC</v>
      </c>
      <c r="B19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9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9" s="25">
        <f>IF(OR(ISBLANK(Analysis[[#This Row],[ItemID]]), Analysis[[#This Row],[ItemID]]=""), "", VLOOKUP(Analysis[[#This Row],[ItemID]], Items[], COLUMN(Items[Output (V)])-COLUMN(Items[])+1, FALSE))</f>
        <v>22.2</v>
      </c>
      <c r="E19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9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9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9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9" s="29">
        <f>IF(OR(ISBLANK(Analysis[[#This Row],[ItemID]]), Analysis[[#This Row],[ItemID]]=""), "", VLOOKUP(Analysis[[#This Row],[ItemID]], Items[], COLUMN(Items[Thoughput Loss])-COLUMN(Items[])+1, FALSE))</f>
        <v>0.1</v>
      </c>
      <c r="J19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9" s="28">
        <f>IF(OR(ISBLANK(Analysis[[#This Row],[ItemID]]), Analysis[[#This Row],[ItemID]]=""), "", SUMIFS(Analysis[Total Peak Consumption (W)], Analysis[Supply Item], Analysis[[#This Row],[ItemID]]))</f>
        <v>222</v>
      </c>
      <c r="L19" s="28">
        <f>IF(OR(ISBLANK(Analysis[[#This Row],[ItemID]]), Analysis[[#This Row],[ItemID]]=""), "", Analysis[[#This Row],[Self Peak Consumption (W)]]+Analysis[[#This Row],[Children Peak Consumption (W)]])</f>
        <v>244.2</v>
      </c>
      <c r="M19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9" s="28">
        <f>IF(OR(ISBLANK(Analysis[[#This Row],[ItemID]]), Analysis[[#This Row],[ItemID]]=""), "", SUMIFS(Analysis[Total Constant Consumption (W)], Analysis[Supply Item], Analysis[[#This Row],[ItemID]]))</f>
        <v>37</v>
      </c>
      <c r="O19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20" spans="1:15" x14ac:dyDescent="0.25">
      <c r="A20" s="26" t="str">
        <f>IF(IFERROR(Items[[#This Row],[ItemID]], 0)=0, "", Items[[#This Row],[ItemID]])</f>
        <v>MidLeft Motor</v>
      </c>
      <c r="B20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MidLeft ESC</v>
      </c>
      <c r="C20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0" s="25" t="str">
        <f>IF(OR(ISBLANK(Analysis[[#This Row],[ItemID]]), Analysis[[#This Row],[ItemID]]=""), "", VLOOKUP(Analysis[[#This Row],[ItemID]], Items[], COLUMN(Items[Output (V)])-COLUMN(Items[])+1, FALSE))</f>
        <v/>
      </c>
      <c r="E20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0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0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20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20" s="29">
        <f>IF(OR(ISBLANK(Analysis[[#This Row],[ItemID]]), Analysis[[#This Row],[ItemID]]=""), "", VLOOKUP(Analysis[[#This Row],[ItemID]], Items[], COLUMN(Items[Thoughput Loss])-COLUMN(Items[])+1, FALSE))</f>
        <v>0</v>
      </c>
      <c r="J20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20" s="28">
        <f>IF(OR(ISBLANK(Analysis[[#This Row],[ItemID]]), Analysis[[#This Row],[ItemID]]=""), "", SUMIFS(Analysis[Total Peak Consumption (W)], Analysis[Supply Item], Analysis[[#This Row],[ItemID]]))</f>
        <v>0</v>
      </c>
      <c r="L20" s="28">
        <f>IF(OR(ISBLANK(Analysis[[#This Row],[ItemID]]), Analysis[[#This Row],[ItemID]]=""), "", Analysis[[#This Row],[Self Peak Consumption (W)]]+Analysis[[#This Row],[Children Peak Consumption (W)]])</f>
        <v>222</v>
      </c>
      <c r="M20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20" s="28">
        <f>IF(OR(ISBLANK(Analysis[[#This Row],[ItemID]]), Analysis[[#This Row],[ItemID]]=""), "", SUMIFS(Analysis[Total Constant Consumption (W)], Analysis[Supply Item], Analysis[[#This Row],[ItemID]]))</f>
        <v>0</v>
      </c>
      <c r="O20" s="28">
        <f>IF(OR(ISBLANK(Analysis[[#This Row],[ItemID]]), Analysis[[#This Row],[ItemID]]=""), "", Analysis[[#This Row],[Self Constant Consumption (W)]]+Analysis[[#This Row],[Children Constant Consumption (W)]])</f>
        <v>37</v>
      </c>
    </row>
    <row r="21" spans="1:15" x14ac:dyDescent="0.25">
      <c r="A21" s="26" t="str">
        <f>IF(IFERROR(Items[[#This Row],[ItemID]], 0)=0, "", Items[[#This Row],[ItemID]])</f>
        <v>BackLeft ESC</v>
      </c>
      <c r="B21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21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1" s="25">
        <f>IF(OR(ISBLANK(Analysis[[#This Row],[ItemID]]), Analysis[[#This Row],[ItemID]]=""), "", VLOOKUP(Analysis[[#This Row],[ItemID]], Items[], COLUMN(Items[Output (V)])-COLUMN(Items[])+1, FALSE))</f>
        <v>22.2</v>
      </c>
      <c r="E21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21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21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21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21" s="29">
        <f>IF(OR(ISBLANK(Analysis[[#This Row],[ItemID]]), Analysis[[#This Row],[ItemID]]=""), "", VLOOKUP(Analysis[[#This Row],[ItemID]], Items[], COLUMN(Items[Thoughput Loss])-COLUMN(Items[])+1, FALSE))</f>
        <v>0.1</v>
      </c>
      <c r="J21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21" s="28">
        <f>IF(OR(ISBLANK(Analysis[[#This Row],[ItemID]]), Analysis[[#This Row],[ItemID]]=""), "", SUMIFS(Analysis[Total Peak Consumption (W)], Analysis[Supply Item], Analysis[[#This Row],[ItemID]]))</f>
        <v>222</v>
      </c>
      <c r="L21" s="28">
        <f>IF(OR(ISBLANK(Analysis[[#This Row],[ItemID]]), Analysis[[#This Row],[ItemID]]=""), "", Analysis[[#This Row],[Self Peak Consumption (W)]]+Analysis[[#This Row],[Children Peak Consumption (W)]])</f>
        <v>244.2</v>
      </c>
      <c r="M21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21" s="28">
        <f>IF(OR(ISBLANK(Analysis[[#This Row],[ItemID]]), Analysis[[#This Row],[ItemID]]=""), "", SUMIFS(Analysis[Total Constant Consumption (W)], Analysis[Supply Item], Analysis[[#This Row],[ItemID]]))</f>
        <v>37</v>
      </c>
      <c r="O21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22" spans="1:15" x14ac:dyDescent="0.25">
      <c r="A22" s="26" t="str">
        <f>IF(IFERROR(Items[[#This Row],[ItemID]], 0)=0, "", Items[[#This Row],[ItemID]])</f>
        <v>BackLeft Motor</v>
      </c>
      <c r="B22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BackLeft ESC</v>
      </c>
      <c r="C22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2" s="25" t="str">
        <f>IF(OR(ISBLANK(Analysis[[#This Row],[ItemID]]), Analysis[[#This Row],[ItemID]]=""), "", VLOOKUP(Analysis[[#This Row],[ItemID]], Items[], COLUMN(Items[Output (V)])-COLUMN(Items[])+1, FALSE))</f>
        <v/>
      </c>
      <c r="E2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2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22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22" s="29">
        <f>IF(OR(ISBLANK(Analysis[[#This Row],[ItemID]]), Analysis[[#This Row],[ItemID]]=""), "", VLOOKUP(Analysis[[#This Row],[ItemID]], Items[], COLUMN(Items[Thoughput Loss])-COLUMN(Items[])+1, FALSE))</f>
        <v>0</v>
      </c>
      <c r="J22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22" s="28">
        <f>IF(OR(ISBLANK(Analysis[[#This Row],[ItemID]]), Analysis[[#This Row],[ItemID]]=""), "", SUMIFS(Analysis[Total Peak Consumption (W)], Analysis[Supply Item], Analysis[[#This Row],[ItemID]]))</f>
        <v>0</v>
      </c>
      <c r="L22" s="28">
        <f>IF(OR(ISBLANK(Analysis[[#This Row],[ItemID]]), Analysis[[#This Row],[ItemID]]=""), "", Analysis[[#This Row],[Self Peak Consumption (W)]]+Analysis[[#This Row],[Children Peak Consumption (W)]])</f>
        <v>222</v>
      </c>
      <c r="M22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22" s="28">
        <f>IF(OR(ISBLANK(Analysis[[#This Row],[ItemID]]), Analysis[[#This Row],[ItemID]]=""), "", SUMIFS(Analysis[Total Constant Consumption (W)], Analysis[Supply Item], Analysis[[#This Row],[ItemID]]))</f>
        <v>0</v>
      </c>
      <c r="O22" s="28">
        <f>IF(OR(ISBLANK(Analysis[[#This Row],[ItemID]]), Analysis[[#This Row],[ItemID]]=""), "", Analysis[[#This Row],[Self Constant Consumption (W)]]+Analysis[[#This Row],[Children Constant Consumption (W)]])</f>
        <v>37</v>
      </c>
    </row>
    <row r="23" spans="1:15" x14ac:dyDescent="0.25">
      <c r="A23" s="26" t="str">
        <f>IF(IFERROR(Items[[#This Row],[ItemID]], 0)=0, "", Items[[#This Row],[ItemID]])</f>
        <v>Cooling Fans Power</v>
      </c>
      <c r="B23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E-Box Battery</v>
      </c>
      <c r="C23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3" s="25">
        <f>IF(OR(ISBLANK(Analysis[[#This Row],[ItemID]]), Analysis[[#This Row],[ItemID]]=""), "", VLOOKUP(Analysis[[#This Row],[ItemID]], Items[], COLUMN(Items[Output (V)])-COLUMN(Items[])+1, FALSE))</f>
        <v>12</v>
      </c>
      <c r="E23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</v>
      </c>
      <c r="F23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4.1999999999999993</v>
      </c>
      <c r="G23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4.756756756756757</v>
      </c>
      <c r="H23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2.4972972972972971</v>
      </c>
      <c r="I23" s="29">
        <f>IF(OR(ISBLANK(Analysis[[#This Row],[ItemID]]), Analysis[[#This Row],[ItemID]]=""), "", VLOOKUP(Analysis[[#This Row],[ItemID]], Items[], COLUMN(Items[Thoughput Loss])-COLUMN(Items[])+1, FALSE))</f>
        <v>0.1</v>
      </c>
      <c r="J23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9.6000000000000014</v>
      </c>
      <c r="K23" s="28">
        <f>IF(OR(ISBLANK(Analysis[[#This Row],[ItemID]]), Analysis[[#This Row],[ItemID]]=""), "", SUMIFS(Analysis[Total Peak Consumption (W)], Analysis[Supply Item], Analysis[[#This Row],[ItemID]]))</f>
        <v>96</v>
      </c>
      <c r="L23" s="28">
        <f>IF(OR(ISBLANK(Analysis[[#This Row],[ItemID]]), Analysis[[#This Row],[ItemID]]=""), "", Analysis[[#This Row],[Self Peak Consumption (W)]]+Analysis[[#This Row],[Children Peak Consumption (W)]])</f>
        <v>105.6</v>
      </c>
      <c r="M23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5.0399999999999991</v>
      </c>
      <c r="N23" s="28">
        <f>IF(OR(ISBLANK(Analysis[[#This Row],[ItemID]]), Analysis[[#This Row],[ItemID]]=""), "", SUMIFS(Analysis[Total Constant Consumption (W)], Analysis[Supply Item], Analysis[[#This Row],[ItemID]]))</f>
        <v>50.399999999999991</v>
      </c>
      <c r="O23" s="28">
        <f>IF(OR(ISBLANK(Analysis[[#This Row],[ItemID]]), Analysis[[#This Row],[ItemID]]=""), "", Analysis[[#This Row],[Self Constant Consumption (W)]]+Analysis[[#This Row],[Children Constant Consumption (W)]])</f>
        <v>55.439999999999991</v>
      </c>
    </row>
    <row r="24" spans="1:15" x14ac:dyDescent="0.25">
      <c r="A24" s="26" t="str">
        <f>IF(IFERROR(Items[[#This Row],[ItemID]], 0)=0, "", Items[[#This Row],[ItemID]])</f>
        <v>Colling Fan 1</v>
      </c>
      <c r="B24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4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4" s="25" t="str">
        <f>IF(OR(ISBLANK(Analysis[[#This Row],[ItemID]]), Analysis[[#This Row],[ItemID]]=""), "", VLOOKUP(Analysis[[#This Row],[ItemID]], Items[], COLUMN(Items[Output (V)])-COLUMN(Items[])+1, FALSE))</f>
        <v/>
      </c>
      <c r="E24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4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4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4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4" s="29">
        <f>IF(OR(ISBLANK(Analysis[[#This Row],[ItemID]]), Analysis[[#This Row],[ItemID]]=""), "", VLOOKUP(Analysis[[#This Row],[ItemID]], Items[], COLUMN(Items[Thoughput Loss])-COLUMN(Items[])+1, FALSE))</f>
        <v>0</v>
      </c>
      <c r="J24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4" s="28">
        <f>IF(OR(ISBLANK(Analysis[[#This Row],[ItemID]]), Analysis[[#This Row],[ItemID]]=""), "", SUMIFS(Analysis[Total Peak Consumption (W)], Analysis[Supply Item], Analysis[[#This Row],[ItemID]]))</f>
        <v>0</v>
      </c>
      <c r="L24" s="28">
        <f>IF(OR(ISBLANK(Analysis[[#This Row],[ItemID]]), Analysis[[#This Row],[ItemID]]=""), "", Analysis[[#This Row],[Self Peak Consumption (W)]]+Analysis[[#This Row],[Children Peak Consumption (W)]])</f>
        <v>12</v>
      </c>
      <c r="M24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4" s="28">
        <f>IF(OR(ISBLANK(Analysis[[#This Row],[ItemID]]), Analysis[[#This Row],[ItemID]]=""), "", SUMIFS(Analysis[Total Constant Consumption (W)], Analysis[Supply Item], Analysis[[#This Row],[ItemID]]))</f>
        <v>0</v>
      </c>
      <c r="O24" s="28">
        <f>IF(OR(ISBLANK(Analysis[[#This Row],[ItemID]]), Analysis[[#This Row],[ItemID]]=""), "", Analysis[[#This Row],[Self Constant Consumption (W)]]+Analysis[[#This Row],[Children Constant Consumption (W)]])</f>
        <v>6.3</v>
      </c>
    </row>
    <row r="25" spans="1:15" x14ac:dyDescent="0.25">
      <c r="A25" s="26" t="str">
        <f>IF(IFERROR(Items[[#This Row],[ItemID]], 0)=0, "", Items[[#This Row],[ItemID]])</f>
        <v>Colling Fan 2</v>
      </c>
      <c r="B25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5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5" s="25" t="str">
        <f>IF(OR(ISBLANK(Analysis[[#This Row],[ItemID]]), Analysis[[#This Row],[ItemID]]=""), "", VLOOKUP(Analysis[[#This Row],[ItemID]], Items[], COLUMN(Items[Output (V)])-COLUMN(Items[])+1, FALSE))</f>
        <v/>
      </c>
      <c r="E25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5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5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5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5" s="29">
        <f>IF(OR(ISBLANK(Analysis[[#This Row],[ItemID]]), Analysis[[#This Row],[ItemID]]=""), "", VLOOKUP(Analysis[[#This Row],[ItemID]], Items[], COLUMN(Items[Thoughput Loss])-COLUMN(Items[])+1, FALSE))</f>
        <v>0</v>
      </c>
      <c r="J25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5" s="28">
        <f>IF(OR(ISBLANK(Analysis[[#This Row],[ItemID]]), Analysis[[#This Row],[ItemID]]=""), "", SUMIFS(Analysis[Total Peak Consumption (W)], Analysis[Supply Item], Analysis[[#This Row],[ItemID]]))</f>
        <v>0</v>
      </c>
      <c r="L25" s="28">
        <f>IF(OR(ISBLANK(Analysis[[#This Row],[ItemID]]), Analysis[[#This Row],[ItemID]]=""), "", Analysis[[#This Row],[Self Peak Consumption (W)]]+Analysis[[#This Row],[Children Peak Consumption (W)]])</f>
        <v>12</v>
      </c>
      <c r="M25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5" s="28">
        <f>IF(OR(ISBLANK(Analysis[[#This Row],[ItemID]]), Analysis[[#This Row],[ItemID]]=""), "", SUMIFS(Analysis[Total Constant Consumption (W)], Analysis[Supply Item], Analysis[[#This Row],[ItemID]]))</f>
        <v>0</v>
      </c>
      <c r="O25" s="28">
        <f>IF(OR(ISBLANK(Analysis[[#This Row],[ItemID]]), Analysis[[#This Row],[ItemID]]=""), "", Analysis[[#This Row],[Self Constant Consumption (W)]]+Analysis[[#This Row],[Children Constant Consumption (W)]])</f>
        <v>6.3</v>
      </c>
    </row>
    <row r="26" spans="1:15" x14ac:dyDescent="0.25">
      <c r="A26" s="26" t="str">
        <f>IF(IFERROR(Items[[#This Row],[ItemID]], 0)=0, "", Items[[#This Row],[ItemID]])</f>
        <v>Colling Fan 3</v>
      </c>
      <c r="B26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6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6" s="25" t="str">
        <f>IF(OR(ISBLANK(Analysis[[#This Row],[ItemID]]), Analysis[[#This Row],[ItemID]]=""), "", VLOOKUP(Analysis[[#This Row],[ItemID]], Items[], COLUMN(Items[Output (V)])-COLUMN(Items[])+1, FALSE))</f>
        <v/>
      </c>
      <c r="E26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6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6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6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6" s="29">
        <f>IF(OR(ISBLANK(Analysis[[#This Row],[ItemID]]), Analysis[[#This Row],[ItemID]]=""), "", VLOOKUP(Analysis[[#This Row],[ItemID]], Items[], COLUMN(Items[Thoughput Loss])-COLUMN(Items[])+1, FALSE))</f>
        <v>0</v>
      </c>
      <c r="J26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6" s="28">
        <f>IF(OR(ISBLANK(Analysis[[#This Row],[ItemID]]), Analysis[[#This Row],[ItemID]]=""), "", SUMIFS(Analysis[Total Peak Consumption (W)], Analysis[Supply Item], Analysis[[#This Row],[ItemID]]))</f>
        <v>0</v>
      </c>
      <c r="L26" s="28">
        <f>IF(OR(ISBLANK(Analysis[[#This Row],[ItemID]]), Analysis[[#This Row],[ItemID]]=""), "", Analysis[[#This Row],[Self Peak Consumption (W)]]+Analysis[[#This Row],[Children Peak Consumption (W)]])</f>
        <v>12</v>
      </c>
      <c r="M26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6" s="28">
        <f>IF(OR(ISBLANK(Analysis[[#This Row],[ItemID]]), Analysis[[#This Row],[ItemID]]=""), "", SUMIFS(Analysis[Total Constant Consumption (W)], Analysis[Supply Item], Analysis[[#This Row],[ItemID]]))</f>
        <v>0</v>
      </c>
      <c r="O26" s="28">
        <f>IF(OR(ISBLANK(Analysis[[#This Row],[ItemID]]), Analysis[[#This Row],[ItemID]]=""), "", Analysis[[#This Row],[Self Constant Consumption (W)]]+Analysis[[#This Row],[Children Constant Consumption (W)]])</f>
        <v>6.3</v>
      </c>
    </row>
    <row r="27" spans="1:15" x14ac:dyDescent="0.25">
      <c r="A27" s="26" t="str">
        <f>IF(IFERROR(Items[[#This Row],[ItemID]], 0)=0, "", Items[[#This Row],[ItemID]])</f>
        <v>Colling Fan 4</v>
      </c>
      <c r="B27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7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7" s="25" t="str">
        <f>IF(OR(ISBLANK(Analysis[[#This Row],[ItemID]]), Analysis[[#This Row],[ItemID]]=""), "", VLOOKUP(Analysis[[#This Row],[ItemID]], Items[], COLUMN(Items[Output (V)])-COLUMN(Items[])+1, FALSE))</f>
        <v/>
      </c>
      <c r="E27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7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7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7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7" s="29">
        <f>IF(OR(ISBLANK(Analysis[[#This Row],[ItemID]]), Analysis[[#This Row],[ItemID]]=""), "", VLOOKUP(Analysis[[#This Row],[ItemID]], Items[], COLUMN(Items[Thoughput Loss])-COLUMN(Items[])+1, FALSE))</f>
        <v>0</v>
      </c>
      <c r="J27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7" s="28">
        <f>IF(OR(ISBLANK(Analysis[[#This Row],[ItemID]]), Analysis[[#This Row],[ItemID]]=""), "", SUMIFS(Analysis[Total Peak Consumption (W)], Analysis[Supply Item], Analysis[[#This Row],[ItemID]]))</f>
        <v>0</v>
      </c>
      <c r="L27" s="28">
        <f>IF(OR(ISBLANK(Analysis[[#This Row],[ItemID]]), Analysis[[#This Row],[ItemID]]=""), "", Analysis[[#This Row],[Self Peak Consumption (W)]]+Analysis[[#This Row],[Children Peak Consumption (W)]])</f>
        <v>12</v>
      </c>
      <c r="M27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7" s="28">
        <f>IF(OR(ISBLANK(Analysis[[#This Row],[ItemID]]), Analysis[[#This Row],[ItemID]]=""), "", SUMIFS(Analysis[Total Constant Consumption (W)], Analysis[Supply Item], Analysis[[#This Row],[ItemID]]))</f>
        <v>0</v>
      </c>
      <c r="O27" s="28">
        <f>IF(OR(ISBLANK(Analysis[[#This Row],[ItemID]]), Analysis[[#This Row],[ItemID]]=""), "", Analysis[[#This Row],[Self Constant Consumption (W)]]+Analysis[[#This Row],[Children Constant Consumption (W)]])</f>
        <v>6.3</v>
      </c>
    </row>
    <row r="28" spans="1:15" x14ac:dyDescent="0.25">
      <c r="A28" s="26" t="str">
        <f>IF(IFERROR(Items[[#This Row],[ItemID]], 0)=0, "", Items[[#This Row],[ItemID]])</f>
        <v>Colling Fan 5</v>
      </c>
      <c r="B28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8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8" s="25" t="str">
        <f>IF(OR(ISBLANK(Analysis[[#This Row],[ItemID]]), Analysis[[#This Row],[ItemID]]=""), "", VLOOKUP(Analysis[[#This Row],[ItemID]], Items[], COLUMN(Items[Output (V)])-COLUMN(Items[])+1, FALSE))</f>
        <v/>
      </c>
      <c r="E28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8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8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8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8" s="29">
        <f>IF(OR(ISBLANK(Analysis[[#This Row],[ItemID]]), Analysis[[#This Row],[ItemID]]=""), "", VLOOKUP(Analysis[[#This Row],[ItemID]], Items[], COLUMN(Items[Thoughput Loss])-COLUMN(Items[])+1, FALSE))</f>
        <v>0</v>
      </c>
      <c r="J28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8" s="28">
        <f>IF(OR(ISBLANK(Analysis[[#This Row],[ItemID]]), Analysis[[#This Row],[ItemID]]=""), "", SUMIFS(Analysis[Total Peak Consumption (W)], Analysis[Supply Item], Analysis[[#This Row],[ItemID]]))</f>
        <v>0</v>
      </c>
      <c r="L28" s="28">
        <f>IF(OR(ISBLANK(Analysis[[#This Row],[ItemID]]), Analysis[[#This Row],[ItemID]]=""), "", Analysis[[#This Row],[Self Peak Consumption (W)]]+Analysis[[#This Row],[Children Peak Consumption (W)]])</f>
        <v>12</v>
      </c>
      <c r="M28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8" s="28">
        <f>IF(OR(ISBLANK(Analysis[[#This Row],[ItemID]]), Analysis[[#This Row],[ItemID]]=""), "", SUMIFS(Analysis[Total Constant Consumption (W)], Analysis[Supply Item], Analysis[[#This Row],[ItemID]]))</f>
        <v>0</v>
      </c>
      <c r="O28" s="28">
        <f>IF(OR(ISBLANK(Analysis[[#This Row],[ItemID]]), Analysis[[#This Row],[ItemID]]=""), "", Analysis[[#This Row],[Self Constant Consumption (W)]]+Analysis[[#This Row],[Children Constant Consumption (W)]])</f>
        <v>6.3</v>
      </c>
    </row>
    <row r="29" spans="1:15" x14ac:dyDescent="0.25">
      <c r="A29" s="26" t="str">
        <f>IF(IFERROR(Items[[#This Row],[ItemID]], 0)=0, "", Items[[#This Row],[ItemID]])</f>
        <v>Colling Fan 6</v>
      </c>
      <c r="B29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9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9" s="25" t="str">
        <f>IF(OR(ISBLANK(Analysis[[#This Row],[ItemID]]), Analysis[[#This Row],[ItemID]]=""), "", VLOOKUP(Analysis[[#This Row],[ItemID]], Items[], COLUMN(Items[Output (V)])-COLUMN(Items[])+1, FALSE))</f>
        <v/>
      </c>
      <c r="E29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9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9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9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9" s="29">
        <f>IF(OR(ISBLANK(Analysis[[#This Row],[ItemID]]), Analysis[[#This Row],[ItemID]]=""), "", VLOOKUP(Analysis[[#This Row],[ItemID]], Items[], COLUMN(Items[Thoughput Loss])-COLUMN(Items[])+1, FALSE))</f>
        <v>0</v>
      </c>
      <c r="J29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9" s="28">
        <f>IF(OR(ISBLANK(Analysis[[#This Row],[ItemID]]), Analysis[[#This Row],[ItemID]]=""), "", SUMIFS(Analysis[Total Peak Consumption (W)], Analysis[Supply Item], Analysis[[#This Row],[ItemID]]))</f>
        <v>0</v>
      </c>
      <c r="L29" s="28">
        <f>IF(OR(ISBLANK(Analysis[[#This Row],[ItemID]]), Analysis[[#This Row],[ItemID]]=""), "", Analysis[[#This Row],[Self Peak Consumption (W)]]+Analysis[[#This Row],[Children Peak Consumption (W)]])</f>
        <v>12</v>
      </c>
      <c r="M29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9" s="28">
        <f>IF(OR(ISBLANK(Analysis[[#This Row],[ItemID]]), Analysis[[#This Row],[ItemID]]=""), "", SUMIFS(Analysis[Total Constant Consumption (W)], Analysis[Supply Item], Analysis[[#This Row],[ItemID]]))</f>
        <v>0</v>
      </c>
      <c r="O29" s="28">
        <f>IF(OR(ISBLANK(Analysis[[#This Row],[ItemID]]), Analysis[[#This Row],[ItemID]]=""), "", Analysis[[#This Row],[Self Constant Consumption (W)]]+Analysis[[#This Row],[Children Constant Consumption (W)]])</f>
        <v>6.3</v>
      </c>
    </row>
    <row r="30" spans="1:15" x14ac:dyDescent="0.25">
      <c r="A30" s="26" t="str">
        <f>IF(IFERROR(Items[[#This Row],[ItemID]], 0)=0, "", Items[[#This Row],[ItemID]])</f>
        <v>Colling Fan 7</v>
      </c>
      <c r="B30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30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0" s="25" t="str">
        <f>IF(OR(ISBLANK(Analysis[[#This Row],[ItemID]]), Analysis[[#This Row],[ItemID]]=""), "", VLOOKUP(Analysis[[#This Row],[ItemID]], Items[], COLUMN(Items[Output (V)])-COLUMN(Items[])+1, FALSE))</f>
        <v/>
      </c>
      <c r="E30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0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0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30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30" s="29">
        <f>IF(OR(ISBLANK(Analysis[[#This Row],[ItemID]]), Analysis[[#This Row],[ItemID]]=""), "", VLOOKUP(Analysis[[#This Row],[ItemID]], Items[], COLUMN(Items[Thoughput Loss])-COLUMN(Items[])+1, FALSE))</f>
        <v>0</v>
      </c>
      <c r="J30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30" s="28">
        <f>IF(OR(ISBLANK(Analysis[[#This Row],[ItemID]]), Analysis[[#This Row],[ItemID]]=""), "", SUMIFS(Analysis[Total Peak Consumption (W)], Analysis[Supply Item], Analysis[[#This Row],[ItemID]]))</f>
        <v>0</v>
      </c>
      <c r="L30" s="28">
        <f>IF(OR(ISBLANK(Analysis[[#This Row],[ItemID]]), Analysis[[#This Row],[ItemID]]=""), "", Analysis[[#This Row],[Self Peak Consumption (W)]]+Analysis[[#This Row],[Children Peak Consumption (W)]])</f>
        <v>12</v>
      </c>
      <c r="M30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30" s="28">
        <f>IF(OR(ISBLANK(Analysis[[#This Row],[ItemID]]), Analysis[[#This Row],[ItemID]]=""), "", SUMIFS(Analysis[Total Constant Consumption (W)], Analysis[Supply Item], Analysis[[#This Row],[ItemID]]))</f>
        <v>0</v>
      </c>
      <c r="O30" s="28">
        <f>IF(OR(ISBLANK(Analysis[[#This Row],[ItemID]]), Analysis[[#This Row],[ItemID]]=""), "", Analysis[[#This Row],[Self Constant Consumption (W)]]+Analysis[[#This Row],[Children Constant Consumption (W)]])</f>
        <v>6.3</v>
      </c>
    </row>
    <row r="31" spans="1:15" x14ac:dyDescent="0.25">
      <c r="A31" s="27" t="str">
        <f>IF(IFERROR(Items[[#This Row],[ItemID]], 0)=0, "", Items[[#This Row],[ItemID]])</f>
        <v>Colling Fan 8</v>
      </c>
      <c r="B31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31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1" s="27" t="str">
        <f>IF(OR(ISBLANK(Analysis[[#This Row],[ItemID]]), Analysis[[#This Row],[ItemID]]=""), "", VLOOKUP(Analysis[[#This Row],[ItemID]], Items[], COLUMN(Items[Output (V)])-COLUMN(Items[])+1, FALSE))</f>
        <v/>
      </c>
      <c r="E31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1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1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31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31" s="29">
        <f>IF(OR(ISBLANK(Analysis[[#This Row],[ItemID]]), Analysis[[#This Row],[ItemID]]=""), "", VLOOKUP(Analysis[[#This Row],[ItemID]], Items[], COLUMN(Items[Thoughput Loss])-COLUMN(Items[])+1, FALSE))</f>
        <v>0</v>
      </c>
      <c r="J31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31" s="28">
        <f>IF(OR(ISBLANK(Analysis[[#This Row],[ItemID]]), Analysis[[#This Row],[ItemID]]=""), "", SUMIFS(Analysis[Total Peak Consumption (W)], Analysis[Supply Item], Analysis[[#This Row],[ItemID]]))</f>
        <v>0</v>
      </c>
      <c r="L31" s="28">
        <f>IF(OR(ISBLANK(Analysis[[#This Row],[ItemID]]), Analysis[[#This Row],[ItemID]]=""), "", Analysis[[#This Row],[Self Peak Consumption (W)]]+Analysis[[#This Row],[Children Peak Consumption (W)]])</f>
        <v>12</v>
      </c>
      <c r="M31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31" s="28">
        <f>IF(OR(ISBLANK(Analysis[[#This Row],[ItemID]]), Analysis[[#This Row],[ItemID]]=""), "", SUMIFS(Analysis[Total Constant Consumption (W)], Analysis[Supply Item], Analysis[[#This Row],[ItemID]]))</f>
        <v>0</v>
      </c>
      <c r="O31" s="28">
        <f>IF(OR(ISBLANK(Analysis[[#This Row],[ItemID]]), Analysis[[#This Row],[ItemID]]=""), "", Analysis[[#This Row],[Self Constant Consumption (W)]]+Analysis[[#This Row],[Children Constant Consumption (W)]])</f>
        <v>6.3</v>
      </c>
    </row>
    <row r="32" spans="1:15" x14ac:dyDescent="0.25">
      <c r="A32" s="27" t="str">
        <f>IF(IFERROR(Items[[#This Row],[ItemID]], 0)=0, "", Items[[#This Row],[ItemID]])</f>
        <v>Hazard Camera 1</v>
      </c>
      <c r="B32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32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2" s="27" t="str">
        <f>IF(OR(ISBLANK(Analysis[[#This Row],[ItemID]]), Analysis[[#This Row],[ItemID]]=""), "", VLOOKUP(Analysis[[#This Row],[ItemID]], Items[], COLUMN(Items[Output (V)])-COLUMN(Items[])+1, FALSE))</f>
        <v/>
      </c>
      <c r="E3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2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32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</v>
      </c>
      <c r="I32" s="29">
        <f>IF(OR(ISBLANK(Analysis[[#This Row],[ItemID]]), Analysis[[#This Row],[ItemID]]=""), "", VLOOKUP(Analysis[[#This Row],[ItemID]], Items[], COLUMN(Items[Thoughput Loss])-COLUMN(Items[])+1, FALSE))</f>
        <v>0</v>
      </c>
      <c r="J32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32" s="28">
        <f>IF(OR(ISBLANK(Analysis[[#This Row],[ItemID]]), Analysis[[#This Row],[ItemID]]=""), "", SUMIFS(Analysis[Total Peak Consumption (W)], Analysis[Supply Item], Analysis[[#This Row],[ItemID]]))</f>
        <v>0</v>
      </c>
      <c r="L32" s="28">
        <f>IF(OR(ISBLANK(Analysis[[#This Row],[ItemID]]), Analysis[[#This Row],[ItemID]]=""), "", Analysis[[#This Row],[Self Peak Consumption (W)]]+Analysis[[#This Row],[Children Peak Consumption (W)]])</f>
        <v>12</v>
      </c>
      <c r="M32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</v>
      </c>
      <c r="N32" s="28">
        <f>IF(OR(ISBLANK(Analysis[[#This Row],[ItemID]]), Analysis[[#This Row],[ItemID]]=""), "", SUMIFS(Analysis[Total Constant Consumption (W)], Analysis[Supply Item], Analysis[[#This Row],[ItemID]]))</f>
        <v>0</v>
      </c>
      <c r="O32" s="28">
        <f>IF(OR(ISBLANK(Analysis[[#This Row],[ItemID]]), Analysis[[#This Row],[ItemID]]=""), "", Analysis[[#This Row],[Self Constant Consumption (W)]]+Analysis[[#This Row],[Children Constant Consumption (W)]])</f>
        <v>6</v>
      </c>
    </row>
    <row r="33" spans="1:15" x14ac:dyDescent="0.25">
      <c r="A33" s="27" t="str">
        <f>IF(IFERROR(Items[[#This Row],[ItemID]], 0)=0, "", Items[[#This Row],[ItemID]])</f>
        <v>Hazard Camera 2</v>
      </c>
      <c r="B33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33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3" s="27" t="str">
        <f>IF(OR(ISBLANK(Analysis[[#This Row],[ItemID]]), Analysis[[#This Row],[ItemID]]=""), "", VLOOKUP(Analysis[[#This Row],[ItemID]], Items[], COLUMN(Items[Output (V)])-COLUMN(Items[])+1, FALSE))</f>
        <v/>
      </c>
      <c r="E33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3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3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33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</v>
      </c>
      <c r="I33" s="29">
        <f>IF(OR(ISBLANK(Analysis[[#This Row],[ItemID]]), Analysis[[#This Row],[ItemID]]=""), "", VLOOKUP(Analysis[[#This Row],[ItemID]], Items[], COLUMN(Items[Thoughput Loss])-COLUMN(Items[])+1, FALSE))</f>
        <v>0</v>
      </c>
      <c r="J33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33" s="28">
        <f>IF(OR(ISBLANK(Analysis[[#This Row],[ItemID]]), Analysis[[#This Row],[ItemID]]=""), "", SUMIFS(Analysis[Total Peak Consumption (W)], Analysis[Supply Item], Analysis[[#This Row],[ItemID]]))</f>
        <v>0</v>
      </c>
      <c r="L33" s="28">
        <f>IF(OR(ISBLANK(Analysis[[#This Row],[ItemID]]), Analysis[[#This Row],[ItemID]]=""), "", Analysis[[#This Row],[Self Peak Consumption (W)]]+Analysis[[#This Row],[Children Peak Consumption (W)]])</f>
        <v>12</v>
      </c>
      <c r="M33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</v>
      </c>
      <c r="N33" s="28">
        <f>IF(OR(ISBLANK(Analysis[[#This Row],[ItemID]]), Analysis[[#This Row],[ItemID]]=""), "", SUMIFS(Analysis[Total Constant Consumption (W)], Analysis[Supply Item], Analysis[[#This Row],[ItemID]]))</f>
        <v>0</v>
      </c>
      <c r="O33" s="28">
        <f>IF(OR(ISBLANK(Analysis[[#This Row],[ItemID]]), Analysis[[#This Row],[ItemID]]=""), "", Analysis[[#This Row],[Self Constant Consumption (W)]]+Analysis[[#This Row],[Children Constant Consumption (W)]])</f>
        <v>6</v>
      </c>
    </row>
    <row r="34" spans="1:15" x14ac:dyDescent="0.25">
      <c r="A34" s="27" t="str">
        <f>IF(IFERROR(Items[[#This Row],[ItemID]], 0)=0, "", Items[[#This Row],[ItemID]])</f>
        <v>Hazard Camera 3</v>
      </c>
      <c r="B34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34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4" s="27" t="str">
        <f>IF(OR(ISBLANK(Analysis[[#This Row],[ItemID]]), Analysis[[#This Row],[ItemID]]=""), "", VLOOKUP(Analysis[[#This Row],[ItemID]], Items[], COLUMN(Items[Output (V)])-COLUMN(Items[])+1, FALSE))</f>
        <v/>
      </c>
      <c r="E34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4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4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34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</v>
      </c>
      <c r="I34" s="29">
        <f>IF(OR(ISBLANK(Analysis[[#This Row],[ItemID]]), Analysis[[#This Row],[ItemID]]=""), "", VLOOKUP(Analysis[[#This Row],[ItemID]], Items[], COLUMN(Items[Thoughput Loss])-COLUMN(Items[])+1, FALSE))</f>
        <v>0</v>
      </c>
      <c r="J34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34" s="28">
        <f>IF(OR(ISBLANK(Analysis[[#This Row],[ItemID]]), Analysis[[#This Row],[ItemID]]=""), "", SUMIFS(Analysis[Total Peak Consumption (W)], Analysis[Supply Item], Analysis[[#This Row],[ItemID]]))</f>
        <v>0</v>
      </c>
      <c r="L34" s="28">
        <f>IF(OR(ISBLANK(Analysis[[#This Row],[ItemID]]), Analysis[[#This Row],[ItemID]]=""), "", Analysis[[#This Row],[Self Peak Consumption (W)]]+Analysis[[#This Row],[Children Peak Consumption (W)]])</f>
        <v>12</v>
      </c>
      <c r="M34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</v>
      </c>
      <c r="N34" s="28">
        <f>IF(OR(ISBLANK(Analysis[[#This Row],[ItemID]]), Analysis[[#This Row],[ItemID]]=""), "", SUMIFS(Analysis[Total Constant Consumption (W)], Analysis[Supply Item], Analysis[[#This Row],[ItemID]]))</f>
        <v>0</v>
      </c>
      <c r="O34" s="28">
        <f>IF(OR(ISBLANK(Analysis[[#This Row],[ItemID]]), Analysis[[#This Row],[ItemID]]=""), "", Analysis[[#This Row],[Self Constant Consumption (W)]]+Analysis[[#This Row],[Children Constant Consumption (W)]])</f>
        <v>6</v>
      </c>
    </row>
    <row r="35" spans="1:15" x14ac:dyDescent="0.25">
      <c r="A35" s="27" t="str">
        <f>IF(IFERROR(Items[[#This Row],[ItemID]], 0)=0, "", Items[[#This Row],[ItemID]])</f>
        <v/>
      </c>
      <c r="B35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5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5" s="27" t="str">
        <f>IF(OR(ISBLANK(Analysis[[#This Row],[ItemID]]), Analysis[[#This Row],[ItemID]]=""), "", VLOOKUP(Analysis[[#This Row],[ItemID]], Items[], COLUMN(Items[Output (V)])-COLUMN(Items[])+1, FALSE))</f>
        <v/>
      </c>
      <c r="E35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5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5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5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5" s="29" t="str">
        <f>IF(OR(ISBLANK(Analysis[[#This Row],[ItemID]]), Analysis[[#This Row],[ItemID]]=""), "", VLOOKUP(Analysis[[#This Row],[ItemID]], Items[], COLUMN(Items[Thoughput Loss])-COLUMN(Items[])+1, FALSE))</f>
        <v/>
      </c>
      <c r="J35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5" s="28" t="str">
        <f>IF(OR(ISBLANK(Analysis[[#This Row],[ItemID]]), Analysis[[#This Row],[ItemID]]=""), "", SUMIFS(Analysis[Total Peak Consumption (W)], Analysis[Supply Item], Analysis[[#This Row],[ItemID]]))</f>
        <v/>
      </c>
      <c r="L35" s="28" t="str">
        <f>IF(OR(ISBLANK(Analysis[[#This Row],[ItemID]]), Analysis[[#This Row],[ItemID]]=""), "", Analysis[[#This Row],[Self Peak Consumption (W)]]+Analysis[[#This Row],[Children Peak Consumption (W)]])</f>
        <v/>
      </c>
      <c r="M35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5" s="28" t="str">
        <f>IF(OR(ISBLANK(Analysis[[#This Row],[ItemID]]), Analysis[[#This Row],[ItemID]]=""), "", SUMIFS(Analysis[Total Constant Consumption (W)], Analysis[Supply Item], Analysis[[#This Row],[ItemID]]))</f>
        <v/>
      </c>
      <c r="O35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6" spans="1:15" x14ac:dyDescent="0.25">
      <c r="A36" s="27" t="str">
        <f>IF(IFERROR(Items[[#This Row],[ItemID]], 0)=0, "", Items[[#This Row],[ItemID]])</f>
        <v/>
      </c>
      <c r="B36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6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6" s="27" t="str">
        <f>IF(OR(ISBLANK(Analysis[[#This Row],[ItemID]]), Analysis[[#This Row],[ItemID]]=""), "", VLOOKUP(Analysis[[#This Row],[ItemID]], Items[], COLUMN(Items[Output (V)])-COLUMN(Items[])+1, FALSE))</f>
        <v/>
      </c>
      <c r="E36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6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6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6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6" s="29" t="str">
        <f>IF(OR(ISBLANK(Analysis[[#This Row],[ItemID]]), Analysis[[#This Row],[ItemID]]=""), "", VLOOKUP(Analysis[[#This Row],[ItemID]], Items[], COLUMN(Items[Thoughput Loss])-COLUMN(Items[])+1, FALSE))</f>
        <v/>
      </c>
      <c r="J36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6" s="28" t="str">
        <f>IF(OR(ISBLANK(Analysis[[#This Row],[ItemID]]), Analysis[[#This Row],[ItemID]]=""), "", SUMIFS(Analysis[Total Peak Consumption (W)], Analysis[Supply Item], Analysis[[#This Row],[ItemID]]))</f>
        <v/>
      </c>
      <c r="L36" s="28" t="str">
        <f>IF(OR(ISBLANK(Analysis[[#This Row],[ItemID]]), Analysis[[#This Row],[ItemID]]=""), "", Analysis[[#This Row],[Self Peak Consumption (W)]]+Analysis[[#This Row],[Children Peak Consumption (W)]])</f>
        <v/>
      </c>
      <c r="M36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6" s="28" t="str">
        <f>IF(OR(ISBLANK(Analysis[[#This Row],[ItemID]]), Analysis[[#This Row],[ItemID]]=""), "", SUMIFS(Analysis[Total Constant Consumption (W)], Analysis[Supply Item], Analysis[[#This Row],[ItemID]]))</f>
        <v/>
      </c>
      <c r="O36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7" spans="1:15" x14ac:dyDescent="0.25">
      <c r="A37" s="27" t="str">
        <f>IF(IFERROR(Items[[#This Row],[ItemID]], 0)=0, "", Items[[#This Row],[ItemID]])</f>
        <v/>
      </c>
      <c r="B37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7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7" s="27" t="str">
        <f>IF(OR(ISBLANK(Analysis[[#This Row],[ItemID]]), Analysis[[#This Row],[ItemID]]=""), "", VLOOKUP(Analysis[[#This Row],[ItemID]], Items[], COLUMN(Items[Output (V)])-COLUMN(Items[])+1, FALSE))</f>
        <v/>
      </c>
      <c r="E37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7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7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7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7" s="29" t="str">
        <f>IF(OR(ISBLANK(Analysis[[#This Row],[ItemID]]), Analysis[[#This Row],[ItemID]]=""), "", VLOOKUP(Analysis[[#This Row],[ItemID]], Items[], COLUMN(Items[Thoughput Loss])-COLUMN(Items[])+1, FALSE))</f>
        <v/>
      </c>
      <c r="J37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7" s="28" t="str">
        <f>IF(OR(ISBLANK(Analysis[[#This Row],[ItemID]]), Analysis[[#This Row],[ItemID]]=""), "", SUMIFS(Analysis[Total Peak Consumption (W)], Analysis[Supply Item], Analysis[[#This Row],[ItemID]]))</f>
        <v/>
      </c>
      <c r="L37" s="28" t="str">
        <f>IF(OR(ISBLANK(Analysis[[#This Row],[ItemID]]), Analysis[[#This Row],[ItemID]]=""), "", Analysis[[#This Row],[Self Peak Consumption (W)]]+Analysis[[#This Row],[Children Peak Consumption (W)]])</f>
        <v/>
      </c>
      <c r="M37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7" s="28" t="str">
        <f>IF(OR(ISBLANK(Analysis[[#This Row],[ItemID]]), Analysis[[#This Row],[ItemID]]=""), "", SUMIFS(Analysis[Total Constant Consumption (W)], Analysis[Supply Item], Analysis[[#This Row],[ItemID]]))</f>
        <v/>
      </c>
      <c r="O37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8" spans="1:15" x14ac:dyDescent="0.25">
      <c r="A38" s="27" t="str">
        <f>IF(IFERROR(Items[[#This Row],[ItemID]], 0)=0, "", Items[[#This Row],[ItemID]])</f>
        <v/>
      </c>
      <c r="B38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8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8" s="27" t="str">
        <f>IF(OR(ISBLANK(Analysis[[#This Row],[ItemID]]), Analysis[[#This Row],[ItemID]]=""), "", VLOOKUP(Analysis[[#This Row],[ItemID]], Items[], COLUMN(Items[Output (V)])-COLUMN(Items[])+1, FALSE))</f>
        <v/>
      </c>
      <c r="E38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8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8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8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8" s="29" t="str">
        <f>IF(OR(ISBLANK(Analysis[[#This Row],[ItemID]]), Analysis[[#This Row],[ItemID]]=""), "", VLOOKUP(Analysis[[#This Row],[ItemID]], Items[], COLUMN(Items[Thoughput Loss])-COLUMN(Items[])+1, FALSE))</f>
        <v/>
      </c>
      <c r="J38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8" s="28" t="str">
        <f>IF(OR(ISBLANK(Analysis[[#This Row],[ItemID]]), Analysis[[#This Row],[ItemID]]=""), "", SUMIFS(Analysis[Total Peak Consumption (W)], Analysis[Supply Item], Analysis[[#This Row],[ItemID]]))</f>
        <v/>
      </c>
      <c r="L38" s="28" t="str">
        <f>IF(OR(ISBLANK(Analysis[[#This Row],[ItemID]]), Analysis[[#This Row],[ItemID]]=""), "", Analysis[[#This Row],[Self Peak Consumption (W)]]+Analysis[[#This Row],[Children Peak Consumption (W)]])</f>
        <v/>
      </c>
      <c r="M38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8" s="28" t="str">
        <f>IF(OR(ISBLANK(Analysis[[#This Row],[ItemID]]), Analysis[[#This Row],[ItemID]]=""), "", SUMIFS(Analysis[Total Constant Consumption (W)], Analysis[Supply Item], Analysis[[#This Row],[ItemID]]))</f>
        <v/>
      </c>
      <c r="O38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9" spans="1:15" x14ac:dyDescent="0.25">
      <c r="A39" s="27" t="str">
        <f>IF(IFERROR(Items[[#This Row],[ItemID]], 0)=0, "", Items[[#This Row],[ItemID]])</f>
        <v/>
      </c>
      <c r="B39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9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9" s="27" t="str">
        <f>IF(OR(ISBLANK(Analysis[[#This Row],[ItemID]]), Analysis[[#This Row],[ItemID]]=""), "", VLOOKUP(Analysis[[#This Row],[ItemID]], Items[], COLUMN(Items[Output (V)])-COLUMN(Items[])+1, FALSE))</f>
        <v/>
      </c>
      <c r="E39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9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9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9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9" s="29" t="str">
        <f>IF(OR(ISBLANK(Analysis[[#This Row],[ItemID]]), Analysis[[#This Row],[ItemID]]=""), "", VLOOKUP(Analysis[[#This Row],[ItemID]], Items[], COLUMN(Items[Thoughput Loss])-COLUMN(Items[])+1, FALSE))</f>
        <v/>
      </c>
      <c r="J39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9" s="28" t="str">
        <f>IF(OR(ISBLANK(Analysis[[#This Row],[ItemID]]), Analysis[[#This Row],[ItemID]]=""), "", SUMIFS(Analysis[Total Peak Consumption (W)], Analysis[Supply Item], Analysis[[#This Row],[ItemID]]))</f>
        <v/>
      </c>
      <c r="L39" s="28" t="str">
        <f>IF(OR(ISBLANK(Analysis[[#This Row],[ItemID]]), Analysis[[#This Row],[ItemID]]=""), "", Analysis[[#This Row],[Self Peak Consumption (W)]]+Analysis[[#This Row],[Children Peak Consumption (W)]])</f>
        <v/>
      </c>
      <c r="M39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9" s="28" t="str">
        <f>IF(OR(ISBLANK(Analysis[[#This Row],[ItemID]]), Analysis[[#This Row],[ItemID]]=""), "", SUMIFS(Analysis[Total Constant Consumption (W)], Analysis[Supply Item], Analysis[[#This Row],[ItemID]]))</f>
        <v/>
      </c>
      <c r="O39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40" spans="1:15" x14ac:dyDescent="0.25">
      <c r="A40" s="27" t="str">
        <f>IF(IFERROR(Items[[#This Row],[ItemID]], 0)=0, "", Items[[#This Row],[ItemID]])</f>
        <v/>
      </c>
      <c r="B40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40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40" s="27" t="str">
        <f>IF(OR(ISBLANK(Analysis[[#This Row],[ItemID]]), Analysis[[#This Row],[ItemID]]=""), "", VLOOKUP(Analysis[[#This Row],[ItemID]], Items[], COLUMN(Items[Output (V)])-COLUMN(Items[])+1, FALSE))</f>
        <v/>
      </c>
      <c r="E40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40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40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40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40" s="29" t="str">
        <f>IF(OR(ISBLANK(Analysis[[#This Row],[ItemID]]), Analysis[[#This Row],[ItemID]]=""), "", VLOOKUP(Analysis[[#This Row],[ItemID]], Items[], COLUMN(Items[Thoughput Loss])-COLUMN(Items[])+1, FALSE))</f>
        <v/>
      </c>
      <c r="J40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40" s="28" t="str">
        <f>IF(OR(ISBLANK(Analysis[[#This Row],[ItemID]]), Analysis[[#This Row],[ItemID]]=""), "", SUMIFS(Analysis[Total Peak Consumption (W)], Analysis[Supply Item], Analysis[[#This Row],[ItemID]]))</f>
        <v/>
      </c>
      <c r="L40" s="28" t="str">
        <f>IF(OR(ISBLANK(Analysis[[#This Row],[ItemID]]), Analysis[[#This Row],[ItemID]]=""), "", Analysis[[#This Row],[Self Peak Consumption (W)]]+Analysis[[#This Row],[Children Peak Consumption (W)]])</f>
        <v/>
      </c>
      <c r="M40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40" s="28" t="str">
        <f>IF(OR(ISBLANK(Analysis[[#This Row],[ItemID]]), Analysis[[#This Row],[ItemID]]=""), "", SUMIFS(Analysis[Total Constant Consumption (W)], Analysis[Supply Item], Analysis[[#This Row],[ItemID]]))</f>
        <v/>
      </c>
      <c r="O40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41" spans="1:15" x14ac:dyDescent="0.25">
      <c r="A41" s="27" t="str">
        <f>IF(IFERROR(Items[[#This Row],[ItemID]], 0)=0, "", Items[[#This Row],[ItemID]])</f>
        <v/>
      </c>
      <c r="B41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41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41" s="27" t="str">
        <f>IF(OR(ISBLANK(Analysis[[#This Row],[ItemID]]), Analysis[[#This Row],[ItemID]]=""), "", VLOOKUP(Analysis[[#This Row],[ItemID]], Items[], COLUMN(Items[Output (V)])-COLUMN(Items[])+1, FALSE))</f>
        <v/>
      </c>
      <c r="E41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41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41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41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41" s="29" t="str">
        <f>IF(OR(ISBLANK(Analysis[[#This Row],[ItemID]]), Analysis[[#This Row],[ItemID]]=""), "", VLOOKUP(Analysis[[#This Row],[ItemID]], Items[], COLUMN(Items[Thoughput Loss])-COLUMN(Items[])+1, FALSE))</f>
        <v/>
      </c>
      <c r="J41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41" s="28" t="str">
        <f>IF(OR(ISBLANK(Analysis[[#This Row],[ItemID]]), Analysis[[#This Row],[ItemID]]=""), "", SUMIFS(Analysis[Total Peak Consumption (W)], Analysis[Supply Item], Analysis[[#This Row],[ItemID]]))</f>
        <v/>
      </c>
      <c r="L41" s="28" t="str">
        <f>IF(OR(ISBLANK(Analysis[[#This Row],[ItemID]]), Analysis[[#This Row],[ItemID]]=""), "", Analysis[[#This Row],[Self Peak Consumption (W)]]+Analysis[[#This Row],[Children Peak Consumption (W)]])</f>
        <v/>
      </c>
      <c r="M41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41" s="28" t="str">
        <f>IF(OR(ISBLANK(Analysis[[#This Row],[ItemID]]), Analysis[[#This Row],[ItemID]]=""), "", SUMIFS(Analysis[Total Constant Consumption (W)], Analysis[Supply Item], Analysis[[#This Row],[ItemID]]))</f>
        <v/>
      </c>
      <c r="O41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42" spans="1:15" x14ac:dyDescent="0.25">
      <c r="A42" s="27" t="str">
        <f>IF(IFERROR(Items[[#This Row],[ItemID]], 0)=0, "", Items[[#This Row],[ItemID]])</f>
        <v/>
      </c>
      <c r="B42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42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42" s="27" t="str">
        <f>IF(OR(ISBLANK(Analysis[[#This Row],[ItemID]]), Analysis[[#This Row],[ItemID]]=""), "", VLOOKUP(Analysis[[#This Row],[ItemID]], Items[], COLUMN(Items[Output (V)])-COLUMN(Items[])+1, FALSE))</f>
        <v/>
      </c>
      <c r="E4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4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42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42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42" s="29" t="str">
        <f>IF(OR(ISBLANK(Analysis[[#This Row],[ItemID]]), Analysis[[#This Row],[ItemID]]=""), "", VLOOKUP(Analysis[[#This Row],[ItemID]], Items[], COLUMN(Items[Thoughput Loss])-COLUMN(Items[])+1, FALSE))</f>
        <v/>
      </c>
      <c r="J42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42" s="28" t="str">
        <f>IF(OR(ISBLANK(Analysis[[#This Row],[ItemID]]), Analysis[[#This Row],[ItemID]]=""), "", SUMIFS(Analysis[Total Peak Consumption (W)], Analysis[Supply Item], Analysis[[#This Row],[ItemID]]))</f>
        <v/>
      </c>
      <c r="L42" s="28" t="str">
        <f>IF(OR(ISBLANK(Analysis[[#This Row],[ItemID]]), Analysis[[#This Row],[ItemID]]=""), "", Analysis[[#This Row],[Self Peak Consumption (W)]]+Analysis[[#This Row],[Children Peak Consumption (W)]])</f>
        <v/>
      </c>
      <c r="M42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42" s="28" t="str">
        <f>IF(OR(ISBLANK(Analysis[[#This Row],[ItemID]]), Analysis[[#This Row],[ItemID]]=""), "", SUMIFS(Analysis[Total Constant Consumption (W)], Analysis[Supply Item], Analysis[[#This Row],[ItemID]]))</f>
        <v/>
      </c>
      <c r="O42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43" spans="1:15" x14ac:dyDescent="0.25">
      <c r="A43" s="32"/>
      <c r="B43" s="33"/>
      <c r="C43" s="32"/>
      <c r="D43" s="32"/>
      <c r="E43" s="34"/>
      <c r="F43" s="34"/>
      <c r="G43" s="34"/>
      <c r="H43" s="34"/>
      <c r="I43" s="35"/>
      <c r="J43" s="34"/>
      <c r="K43" s="34"/>
      <c r="L43" s="34"/>
      <c r="M43" s="34"/>
      <c r="N43" s="34"/>
      <c r="O43" s="34"/>
    </row>
  </sheetData>
  <dataValidations count="1">
    <dataValidation type="list" allowBlank="1" showInputMessage="1" showErrorMessage="1" sqref="B2:B42" xr:uid="{00000000-0002-0000-0200-000000000000}">
      <formula1>ItemIDs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7"/>
  <sheetViews>
    <sheetView workbookViewId="0">
      <selection activeCell="N16" sqref="N16"/>
    </sheetView>
  </sheetViews>
  <sheetFormatPr defaultRowHeight="15" x14ac:dyDescent="0.25"/>
  <cols>
    <col min="1" max="1" width="17.28515625" bestFit="1" customWidth="1"/>
    <col min="2" max="2" width="18" hidden="1" customWidth="1"/>
    <col min="3" max="3" width="20" hidden="1" customWidth="1"/>
    <col min="4" max="4" width="23.7109375" hidden="1" customWidth="1"/>
    <col min="5" max="5" width="17.5703125" bestFit="1" customWidth="1"/>
    <col min="6" max="6" width="21.28515625" bestFit="1" customWidth="1"/>
    <col min="7" max="7" width="15.85546875" hidden="1" customWidth="1"/>
    <col min="8" max="8" width="18.140625" bestFit="1" customWidth="1"/>
    <col min="9" max="9" width="2.42578125" customWidth="1"/>
    <col min="10" max="10" width="11.7109375" bestFit="1" customWidth="1"/>
    <col min="11" max="11" width="9.140625" customWidth="1"/>
    <col min="12" max="12" width="2.42578125" customWidth="1"/>
    <col min="13" max="13" width="19.42578125" bestFit="1" customWidth="1"/>
    <col min="14" max="14" width="13.28515625" bestFit="1" customWidth="1"/>
    <col min="15" max="15" width="13.28515625" customWidth="1"/>
    <col min="16" max="16" width="18" bestFit="1" customWidth="1"/>
    <col min="17" max="17" width="12.85546875" bestFit="1" customWidth="1"/>
  </cols>
  <sheetData>
    <row r="1" spans="1:17" x14ac:dyDescent="0.25">
      <c r="A1" t="s">
        <v>8</v>
      </c>
      <c r="B1" t="s">
        <v>61</v>
      </c>
      <c r="C1" t="s">
        <v>62</v>
      </c>
      <c r="D1" t="s">
        <v>63</v>
      </c>
      <c r="E1" t="s">
        <v>59</v>
      </c>
      <c r="F1" t="s">
        <v>58</v>
      </c>
      <c r="G1" t="s">
        <v>31</v>
      </c>
      <c r="H1" t="s">
        <v>30</v>
      </c>
      <c r="M1" t="s">
        <v>37</v>
      </c>
      <c r="N1" t="s">
        <v>38</v>
      </c>
      <c r="O1" t="s">
        <v>75</v>
      </c>
      <c r="P1" t="s">
        <v>88</v>
      </c>
      <c r="Q1" t="s">
        <v>39</v>
      </c>
    </row>
    <row r="2" spans="1:17" x14ac:dyDescent="0.25">
      <c r="A2" t="str">
        <f>IF(IFERROR(Analysis[[#This Row],[ItemID]], 0)=0, "", Analysis[[#This Row],[ItemID]])</f>
        <v/>
      </c>
      <c r="B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2" s="4" t="s">
        <v>101</v>
      </c>
      <c r="N2" s="4">
        <f>IF(ISBLANK(RailSummary[[#This Row],[Power Rail]]), "", VLOOKUP(RailSummary[[#This Row],[Power Rail]], Analysis[], COLUMN(Analysis[Output (V)])-COLUMN(Analysis[])+1, FALSE))</f>
        <v>22.2</v>
      </c>
      <c r="O2" s="4">
        <f>IF(ISBLANK(RailSummary[[#This Row],[Power Rail]]), "", VLOOKUP(RailSummary[[#This Row],[Power Rail]], Analysis[], COLUMN(Analysis[Constant Output (A)])-COLUMN(Analysis[])+1, FALSE))</f>
        <v>11</v>
      </c>
      <c r="P2" s="4">
        <f>IF(ISBLANK(RailSummary[[#This Row],[Power Rail]]), "", VLOOKUP(RailSummary[[#This Row],[Power Rail]], Analysis[], COLUMN(Analysis[Peak Output (A)])-COLUMN(Analysis[])+1, FALSE))</f>
        <v>66</v>
      </c>
      <c r="Q2" s="4">
        <f>IF(ISBLANK(RailSummary[[#This Row],[Power Rail]]), "", RailSummary[[#This Row],[Voltage (V)]]*RailSummary[[#This Row],[Peak Current (A)]])</f>
        <v>1465.2</v>
      </c>
    </row>
    <row r="3" spans="1:17" x14ac:dyDescent="0.25">
      <c r="A3" t="str">
        <f>IF(IFERROR(Analysis[[#This Row],[ItemID]], 0)=0, "", Analysis[[#This Row],[ItemID]])</f>
        <v>Primary Battery Pack</v>
      </c>
      <c r="B3">
        <f>IF(OR(ISBLANK(Results[[#This Row],[ItemID]]), Results[[#This Row],[ItemID]]=0, Results[[#This Row],[ItemID]]=""), "", VLOOKUP(Results[[#This Row],[ItemID]], Items[], COLUMN(Items[Output (A)])-COLUMN(Items[])+1, FALSE))</f>
        <v>180</v>
      </c>
      <c r="C3" s="10">
        <f>IF(OR(ISBLANK(Results[[#This Row],[ItemID]]), Results[[#This Row],[ItemID]]=0, Results[[#This Row],[ItemID]]=""), "", VLOOKUP(Results[[#This Row],[ItemID]], Analysis[], COLUMN(Analysis[Peak Output (A)])-COLUMN(Analysis[])+1, FALSE))</f>
        <v>66</v>
      </c>
      <c r="D3" s="10">
        <f>IF(OR(ISBLANK(Results[[#This Row],[ItemID]]), Results[[#This Row],[ItemID]]=0, Results[[#This Row],[ItemID]]=""), "", VLOOKUP(Results[[#This Row],[ItemID]], Analysis[], COLUMN(Analysis[Constant Output (A)])-COLUMN(Analysis[])+1, FALSE))</f>
        <v>11</v>
      </c>
      <c r="E3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0.36666666666666664</v>
      </c>
      <c r="F3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6.1111111111111109E-2</v>
      </c>
      <c r="G3" s="9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12000</v>
      </c>
      <c r="H3" s="4">
        <f>IF(OR(ISBLANK(Results[[#This Row],[ItemID]]), Results[[#This Row],[Constant Current Used]]="", Results[[#This Row],[Battery (mAh)]]=""), "", (Results[[#This Row],[Battery (mAh)]]/1000)/Results[[#This Row],[Constant Current Used]])</f>
        <v>1.0909090909090908</v>
      </c>
      <c r="J3" t="s">
        <v>33</v>
      </c>
      <c r="K3" s="11" t="str">
        <f>IF(COUNTIF(Results[Constant % Capacity], "&gt;1")=0, IF(COUNTIF(Results[Peak % Capacity], "&gt;1")=0, "GO", "MAYBE"), "HOLD")</f>
        <v>GO</v>
      </c>
      <c r="M3" s="4" t="s">
        <v>102</v>
      </c>
      <c r="N3" s="4">
        <f>IF(ISBLANK(RailSummary[[#This Row],[Power Rail]]), "", VLOOKUP(RailSummary[[#This Row],[Power Rail]], Analysis[], COLUMN(Analysis[Output (V)])-COLUMN(Analysis[])+1, FALSE))</f>
        <v>22.2</v>
      </c>
      <c r="O3" s="4">
        <f>IF(ISBLANK(RailSummary[[#This Row],[Power Rail]]), "", VLOOKUP(RailSummary[[#This Row],[Power Rail]], Analysis[], COLUMN(Analysis[Constant Output (A)])-COLUMN(Analysis[])+1, FALSE))</f>
        <v>4.082882882882882</v>
      </c>
      <c r="P3" s="4">
        <f>IF(ISBLANK(RailSummary[[#This Row],[Power Rail]]), "", VLOOKUP(RailSummary[[#This Row],[Power Rail]], Analysis[], COLUMN(Analysis[Peak Output (A)])-COLUMN(Analysis[])+1, FALSE))</f>
        <v>8.1261261261261257</v>
      </c>
      <c r="Q3" s="4">
        <f>IF(ISBLANK(RailSummary[[#This Row],[Power Rail]]), "", RailSummary[[#This Row],[Voltage (V)]]*RailSummary[[#This Row],[Peak Current (A)]])</f>
        <v>180.39999999999998</v>
      </c>
    </row>
    <row r="4" spans="1:17" x14ac:dyDescent="0.25">
      <c r="A4" t="str">
        <f>IF(IFERROR(Analysis[[#This Row],[ItemID]], 0)=0, "", Analysis[[#This Row],[ItemID]])</f>
        <v>E-Box Battery</v>
      </c>
      <c r="B4">
        <f>IF(OR(ISBLANK(Results[[#This Row],[ItemID]]), Results[[#This Row],[ItemID]]=0, Results[[#This Row],[ItemID]]=""), "", VLOOKUP(Results[[#This Row],[ItemID]], Items[], COLUMN(Items[Output (A)])-COLUMN(Items[])+1, FALSE))</f>
        <v>78</v>
      </c>
      <c r="C4" s="10">
        <f>IF(OR(ISBLANK(Results[[#This Row],[ItemID]]), Results[[#This Row],[ItemID]]=0, Results[[#This Row],[ItemID]]=""), "", VLOOKUP(Results[[#This Row],[ItemID]], Analysis[], COLUMN(Analysis[Peak Output (A)])-COLUMN(Analysis[])+1, FALSE))</f>
        <v>8.1261261261261257</v>
      </c>
      <c r="D4" s="10">
        <f>IF(OR(ISBLANK(Results[[#This Row],[ItemID]]), Results[[#This Row],[ItemID]]=0, Results[[#This Row],[ItemID]]=""), "", VLOOKUP(Results[[#This Row],[ItemID]], Analysis[], COLUMN(Analysis[Constant Output (A)])-COLUMN(Analysis[])+1, FALSE))</f>
        <v>4.082882882882882</v>
      </c>
      <c r="E4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0.10418110418110417</v>
      </c>
      <c r="F4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5.2344652344652333E-2</v>
      </c>
      <c r="G4" s="9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5200</v>
      </c>
      <c r="H4" s="4">
        <f>IF(OR(ISBLANK(Results[[#This Row],[ItemID]]), Results[[#This Row],[Constant Current Used]]="", Results[[#This Row],[Battery (mAh)]]=""), "", (Results[[#This Row],[Battery (mAh)]]/1000)/Results[[#This Row],[Constant Current Used]])</f>
        <v>1.273609885260371</v>
      </c>
      <c r="J4" t="s">
        <v>60</v>
      </c>
      <c r="K4" s="12" t="str">
        <f>IF(MIN(Results[Battery Life (hrs)]) &lt; 1, CONCATENATE(TEXT(MIN(Results[Battery Life (hrs)])*60, "#.#"), " min"), CONCATENATE(TEXT(INT(MIN(Results[Battery Life (hrs)])), "0#"),":",TEXT(MOD(MIN(Results[Battery Life (hrs)]), 1)*60, "00")))</f>
        <v>01:05</v>
      </c>
      <c r="M4" s="4"/>
      <c r="N4" s="4"/>
      <c r="O4" s="4"/>
      <c r="P4" s="4"/>
      <c r="Q4" s="4"/>
    </row>
    <row r="5" spans="1:17" x14ac:dyDescent="0.25">
      <c r="A5" t="str">
        <f>IF(IFERROR(Analysis[[#This Row],[ItemID]], 0)=0, "", Analysis[[#This Row],[ItemID]])</f>
        <v>Logic Supply</v>
      </c>
      <c r="B5">
        <f>IF(OR(ISBLANK(Results[[#This Row],[ItemID]]), Results[[#This Row],[ItemID]]=0, Results[[#This Row],[ItemID]]=""), "", VLOOKUP(Results[[#This Row],[ItemID]], Items[], COLUMN(Items[Output (A)])-COLUMN(Items[])+1, FALSE))</f>
        <v>12</v>
      </c>
      <c r="C5" s="10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5" s="10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5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5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5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5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5" s="4"/>
      <c r="N5" s="4"/>
      <c r="O5" s="4"/>
      <c r="P5" s="4"/>
      <c r="Q5" s="4"/>
    </row>
    <row r="6" spans="1:17" x14ac:dyDescent="0.25">
      <c r="A6" t="str">
        <f>IF(IFERROR(Analysis[[#This Row],[ItemID]], 0)=0, "", Analysis[[#This Row],[ItemID]])</f>
        <v>Network Power</v>
      </c>
      <c r="B6">
        <f>IF(OR(ISBLANK(Results[[#This Row],[ItemID]]), Results[[#This Row],[ItemID]]=0, Results[[#This Row],[ItemID]]=""), "", VLOOKUP(Results[[#This Row],[ItemID]], Items[], COLUMN(Items[Output (A)])-COLUMN(Items[])+1, FALSE))</f>
        <v>12</v>
      </c>
      <c r="C6" s="10">
        <f>IF(OR(ISBLANK(Results[[#This Row],[ItemID]]), Results[[#This Row],[ItemID]]=0, Results[[#This Row],[ItemID]]=""), "", VLOOKUP(Results[[#This Row],[ItemID]], Analysis[], COLUMN(Analysis[Peak Output (A)])-COLUMN(Analysis[])+1, FALSE))</f>
        <v>5.666666666666667</v>
      </c>
      <c r="D6" s="10">
        <f>IF(OR(ISBLANK(Results[[#This Row],[ItemID]]), Results[[#This Row],[ItemID]]=0, Results[[#This Row],[ItemID]]=""), "", VLOOKUP(Results[[#This Row],[ItemID]], Analysis[], COLUMN(Analysis[Constant Output (A)])-COLUMN(Analysis[])+1, FALSE))</f>
        <v>2.6666666666666665</v>
      </c>
      <c r="E6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0.47222222222222227</v>
      </c>
      <c r="F6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0.22222222222222221</v>
      </c>
      <c r="G6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6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6" s="4"/>
      <c r="N6" s="4"/>
      <c r="O6" s="4"/>
      <c r="P6" s="4"/>
      <c r="Q6" s="4"/>
    </row>
    <row r="7" spans="1:17" x14ac:dyDescent="0.25">
      <c r="A7" t="str">
        <f>IF(IFERROR(Analysis[[#This Row],[ItemID]], 0)=0, "", Analysis[[#This Row],[ItemID]])</f>
        <v>Transceiver</v>
      </c>
      <c r="B7">
        <f>IF(OR(ISBLANK(Results[[#This Row],[ItemID]]), Results[[#This Row],[ItemID]]=0, Results[[#This Row],[ItemID]]=""), "", VLOOKUP(Results[[#This Row],[ItemID]], Items[], COLUMN(Items[Output (A)])-COLUMN(Items[])+1, FALSE))</f>
        <v>0</v>
      </c>
      <c r="C7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7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7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7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7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7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7" s="13"/>
      <c r="J7" s="13"/>
      <c r="M7" s="4"/>
      <c r="N7" s="4"/>
      <c r="O7" s="4"/>
      <c r="P7" s="4"/>
      <c r="Q7" s="4"/>
    </row>
    <row r="8" spans="1:17" x14ac:dyDescent="0.25">
      <c r="A8" t="str">
        <f>IF(IFERROR(Analysis[[#This Row],[ItemID]], 0)=0, "", Analysis[[#This Row],[ItemID]])</f>
        <v>Network Switch</v>
      </c>
      <c r="B8">
        <f>IF(OR(ISBLANK(Results[[#This Row],[ItemID]]), Results[[#This Row],[ItemID]]=0, Results[[#This Row],[ItemID]]=""), "", VLOOKUP(Results[[#This Row],[ItemID]], Items[], COLUMN(Items[Output (A)])-COLUMN(Items[])+1, FALSE))</f>
        <v>0</v>
      </c>
      <c r="C8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8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8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8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8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8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8" s="4"/>
      <c r="N8" s="4"/>
      <c r="O8" s="4"/>
      <c r="P8" s="4"/>
      <c r="Q8" s="4"/>
    </row>
    <row r="9" spans="1:17" x14ac:dyDescent="0.25">
      <c r="A9" t="str">
        <f>IF(IFERROR(Analysis[[#This Row],[ItemID]], 0)=0, "", Analysis[[#This Row],[ItemID]])</f>
        <v>Arm Power</v>
      </c>
      <c r="B9">
        <f>IF(OR(ISBLANK(Results[[#This Row],[ItemID]]), Results[[#This Row],[ItemID]]=0, Results[[#This Row],[ItemID]]=""), "", VLOOKUP(Results[[#This Row],[ItemID]], Items[], COLUMN(Items[Output (A)])-COLUMN(Items[])+1, FALSE))</f>
        <v>20</v>
      </c>
      <c r="C9" s="10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9" s="10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9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9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9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9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0" spans="1:17" x14ac:dyDescent="0.25">
      <c r="A10" t="str">
        <f>IF(IFERROR(Analysis[[#This Row],[ItemID]], 0)=0, "", Analysis[[#This Row],[ItemID]])</f>
        <v>Drivetrain Power</v>
      </c>
      <c r="B10">
        <f>IF(OR(ISBLANK(Results[[#This Row],[ItemID]]), Results[[#This Row],[ItemID]]=0, Results[[#This Row],[ItemID]]=""), "", VLOOKUP(Results[[#This Row],[ItemID]], Items[], COLUMN(Items[Output (A)])-COLUMN(Items[])+1, FALSE))</f>
        <v>400</v>
      </c>
      <c r="C10" s="10">
        <f>IF(OR(ISBLANK(Results[[#This Row],[ItemID]]), Results[[#This Row],[ItemID]]=0, Results[[#This Row],[ItemID]]=""), "", VLOOKUP(Results[[#This Row],[ItemID]], Analysis[], COLUMN(Analysis[Peak Output (A)])-COLUMN(Analysis[])+1, FALSE))</f>
        <v>66</v>
      </c>
      <c r="D10" s="10">
        <f>IF(OR(ISBLANK(Results[[#This Row],[ItemID]]), Results[[#This Row],[ItemID]]=0, Results[[#This Row],[ItemID]]=""), "", VLOOKUP(Results[[#This Row],[ItemID]], Analysis[], COLUMN(Analysis[Constant Output (A)])-COLUMN(Analysis[])+1, FALSE))</f>
        <v>11</v>
      </c>
      <c r="E10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0.16500000000000001</v>
      </c>
      <c r="F10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2.75E-2</v>
      </c>
      <c r="G10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0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1" spans="1:17" x14ac:dyDescent="0.25">
      <c r="A11" t="str">
        <f>IF(IFERROR(Analysis[[#This Row],[ItemID]], 0)=0, "", Analysis[[#This Row],[ItemID]])</f>
        <v>FrontRight ESC</v>
      </c>
      <c r="B1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1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1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1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1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1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1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2" spans="1:17" x14ac:dyDescent="0.25">
      <c r="A12" t="str">
        <f>IF(IFERROR(Analysis[[#This Row],[ItemID]], 0)=0, "", Analysis[[#This Row],[ItemID]])</f>
        <v>FrontRight Motor</v>
      </c>
      <c r="B12">
        <f>IF(OR(ISBLANK(Results[[#This Row],[ItemID]]), Results[[#This Row],[ItemID]]=0, Results[[#This Row],[ItemID]]=""), "", VLOOKUP(Results[[#This Row],[ItemID]], Items[], COLUMN(Items[Output (A)])-COLUMN(Items[])+1, FALSE))</f>
        <v>0</v>
      </c>
      <c r="C12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2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2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2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2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2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3" spans="1:17" x14ac:dyDescent="0.25">
      <c r="A13" t="str">
        <f>IF(IFERROR(Analysis[[#This Row],[ItemID]], 0)=0, "", Analysis[[#This Row],[ItemID]])</f>
        <v>MidRight ESC</v>
      </c>
      <c r="B13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3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3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3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3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3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3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4" spans="1:17" x14ac:dyDescent="0.25">
      <c r="A14" t="str">
        <f>IF(IFERROR(Analysis[[#This Row],[ItemID]], 0)=0, "", Analysis[[#This Row],[ItemID]])</f>
        <v>MidRight Motor</v>
      </c>
      <c r="B14">
        <f>IF(OR(ISBLANK(Results[[#This Row],[ItemID]]), Results[[#This Row],[ItemID]]=0, Results[[#This Row],[ItemID]]=""), "", VLOOKUP(Results[[#This Row],[ItemID]], Items[], COLUMN(Items[Output (A)])-COLUMN(Items[])+1, FALSE))</f>
        <v>0</v>
      </c>
      <c r="C14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4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4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4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4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4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5" spans="1:17" x14ac:dyDescent="0.25">
      <c r="A15" t="str">
        <f>IF(IFERROR(Analysis[[#This Row],[ItemID]], 0)=0, "", Analysis[[#This Row],[ItemID]])</f>
        <v>BackRight ESC</v>
      </c>
      <c r="B15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5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5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5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5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5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5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6" spans="1:17" x14ac:dyDescent="0.25">
      <c r="A16" t="str">
        <f>IF(IFERROR(Analysis[[#This Row],[ItemID]], 0)=0, "", Analysis[[#This Row],[ItemID]])</f>
        <v>BackRight Motor</v>
      </c>
      <c r="B16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16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6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6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6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6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6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7" spans="1:8" x14ac:dyDescent="0.25">
      <c r="A17" t="str">
        <f>IF(IFERROR(Analysis[[#This Row],[ItemID]], 0)=0, "", Analysis[[#This Row],[ItemID]])</f>
        <v>FrontLeft ESC</v>
      </c>
      <c r="B17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7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7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7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7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7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7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8" spans="1:8" x14ac:dyDescent="0.25">
      <c r="A18" t="str">
        <f>IF(IFERROR(Analysis[[#This Row],[ItemID]], 0)=0, "", Analysis[[#This Row],[ItemID]])</f>
        <v>FrontLeft Motor</v>
      </c>
      <c r="B18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18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8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8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8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8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8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9" spans="1:8" x14ac:dyDescent="0.25">
      <c r="A19" t="str">
        <f>IF(IFERROR(Analysis[[#This Row],[ItemID]], 0)=0, "", Analysis[[#This Row],[ItemID]])</f>
        <v>MidLeft ESC</v>
      </c>
      <c r="B19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9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9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9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9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9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9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0" spans="1:8" x14ac:dyDescent="0.25">
      <c r="A20" t="str">
        <f>IF(IFERROR(Analysis[[#This Row],[ItemID]], 0)=0, "", Analysis[[#This Row],[ItemID]])</f>
        <v>MidLeft Motor</v>
      </c>
      <c r="B20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0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0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0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0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0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0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1" spans="1:8" x14ac:dyDescent="0.25">
      <c r="A21" t="str">
        <f>IF(IFERROR(Analysis[[#This Row],[ItemID]], 0)=0, "", Analysis[[#This Row],[ItemID]])</f>
        <v>BackLeft ESC</v>
      </c>
      <c r="B21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1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21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21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21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21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1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2" spans="1:8" x14ac:dyDescent="0.25">
      <c r="A22" t="str">
        <f>IF(IFERROR(Analysis[[#This Row],[ItemID]], 0)=0, "", Analysis[[#This Row],[ItemID]])</f>
        <v>BackLeft Motor</v>
      </c>
      <c r="B22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2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2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2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2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2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2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3" spans="1:8" x14ac:dyDescent="0.25">
      <c r="A23" t="str">
        <f>IF(IFERROR(Analysis[[#This Row],[ItemID]], 0)=0, "", Analysis[[#This Row],[ItemID]])</f>
        <v>Cooling Fans Power</v>
      </c>
      <c r="B23" s="1">
        <f>IF(OR(ISBLANK(Results[[#This Row],[ItemID]]), Results[[#This Row],[ItemID]]=0, Results[[#This Row],[ItemID]]=""), "", VLOOKUP(Results[[#This Row],[ItemID]], Items[], COLUMN(Items[Output (A)])-COLUMN(Items[])+1, FALSE))</f>
        <v>12</v>
      </c>
      <c r="C23" s="10">
        <f>IF(OR(ISBLANK(Results[[#This Row],[ItemID]]), Results[[#This Row],[ItemID]]=0, Results[[#This Row],[ItemID]]=""), "", VLOOKUP(Results[[#This Row],[ItemID]], Analysis[], COLUMN(Analysis[Peak Output (A)])-COLUMN(Analysis[])+1, FALSE))</f>
        <v>8</v>
      </c>
      <c r="D23" s="10">
        <f>IF(OR(ISBLANK(Results[[#This Row],[ItemID]]), Results[[#This Row],[ItemID]]=0, Results[[#This Row],[ItemID]]=""), "", VLOOKUP(Results[[#This Row],[ItemID]], Analysis[], COLUMN(Analysis[Constant Output (A)])-COLUMN(Analysis[])+1, FALSE))</f>
        <v>4.1999999999999993</v>
      </c>
      <c r="E23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0.66666666666666663</v>
      </c>
      <c r="F23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0.34999999999999992</v>
      </c>
      <c r="G23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3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4" spans="1:8" x14ac:dyDescent="0.25">
      <c r="A24" t="str">
        <f>IF(IFERROR(Analysis[[#This Row],[ItemID]], 0)=0, "", Analysis[[#This Row],[ItemID]])</f>
        <v>Colling Fan 1</v>
      </c>
      <c r="B24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4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4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4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4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4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4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5" spans="1:8" x14ac:dyDescent="0.25">
      <c r="A25" t="str">
        <f>IF(IFERROR(Analysis[[#This Row],[ItemID]], 0)=0, "", Analysis[[#This Row],[ItemID]])</f>
        <v>Colling Fan 2</v>
      </c>
      <c r="B25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5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5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5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5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5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5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6" spans="1:8" x14ac:dyDescent="0.25">
      <c r="A26" t="str">
        <f>IF(IFERROR(Analysis[[#This Row],[ItemID]], 0)=0, "", Analysis[[#This Row],[ItemID]])</f>
        <v>Colling Fan 3</v>
      </c>
      <c r="B26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6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6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6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6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6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6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7" spans="1:8" x14ac:dyDescent="0.25">
      <c r="A27" t="str">
        <f>IF(IFERROR(Analysis[[#This Row],[ItemID]], 0)=0, "", Analysis[[#This Row],[ItemID]])</f>
        <v>Colling Fan 4</v>
      </c>
      <c r="B27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7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7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7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7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7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7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8" spans="1:8" x14ac:dyDescent="0.25">
      <c r="A28" t="str">
        <f>IF(IFERROR(Analysis[[#This Row],[ItemID]], 0)=0, "", Analysis[[#This Row],[ItemID]])</f>
        <v>Colling Fan 5</v>
      </c>
      <c r="B28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8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8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8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8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8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8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9" spans="1:8" x14ac:dyDescent="0.25">
      <c r="A29" t="str">
        <f>IF(IFERROR(Analysis[[#This Row],[ItemID]], 0)=0, "", Analysis[[#This Row],[ItemID]])</f>
        <v>Colling Fan 6</v>
      </c>
      <c r="B29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9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9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9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9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9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9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0" spans="1:8" x14ac:dyDescent="0.25">
      <c r="A30" t="str">
        <f>IF(IFERROR(Analysis[[#This Row],[ItemID]], 0)=0, "", Analysis[[#This Row],[ItemID]])</f>
        <v>Colling Fan 7</v>
      </c>
      <c r="B30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0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0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0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0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0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0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1" spans="1:8" x14ac:dyDescent="0.25">
      <c r="A31" t="str">
        <f>IF(IFERROR(Analysis[[#This Row],[ItemID]], 0)=0, "", Analysis[[#This Row],[ItemID]])</f>
        <v>Colling Fan 8</v>
      </c>
      <c r="B31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1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1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1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1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1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1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2" spans="1:8" x14ac:dyDescent="0.25">
      <c r="A32" t="str">
        <f>IF(IFERROR(Analysis[[#This Row],[ItemID]], 0)=0, "", Analysis[[#This Row],[ItemID]])</f>
        <v>Hazard Camera 1</v>
      </c>
      <c r="B32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2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2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2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2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2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2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3" spans="1:8" x14ac:dyDescent="0.25">
      <c r="A33" t="str">
        <f>IF(IFERROR(Analysis[[#This Row],[ItemID]], 0)=0, "", Analysis[[#This Row],[ItemID]])</f>
        <v>Hazard Camera 2</v>
      </c>
      <c r="B33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3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3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3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3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3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3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4" spans="1:8" x14ac:dyDescent="0.25">
      <c r="A34" t="str">
        <f>IF(IFERROR(Analysis[[#This Row],[ItemID]], 0)=0, "", Analysis[[#This Row],[ItemID]])</f>
        <v>Hazard Camera 3</v>
      </c>
      <c r="B34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4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4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4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4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4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4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5" spans="1:8" x14ac:dyDescent="0.25">
      <c r="A35" t="str">
        <f>IF(IFERROR(Analysis[[#This Row],[ItemID]], 0)=0, "", Analysis[[#This Row],[ItemID]])</f>
        <v/>
      </c>
      <c r="B35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5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5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5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5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5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5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6" spans="1:8" x14ac:dyDescent="0.25">
      <c r="A36" t="str">
        <f>IF(IFERROR(Analysis[[#This Row],[ItemID]], 0)=0, "", Analysis[[#This Row],[ItemID]])</f>
        <v/>
      </c>
      <c r="B36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6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6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6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6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6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6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7" spans="1:8" x14ac:dyDescent="0.25">
      <c r="A37" t="str">
        <f>IF(IFERROR(Analysis[[#This Row],[ItemID]], 0)=0, "", Analysis[[#This Row],[ItemID]])</f>
        <v/>
      </c>
      <c r="B37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7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7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7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7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7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7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</sheetData>
  <conditionalFormatting sqref="K3">
    <cfRule type="expression" dxfId="2" priority="2">
      <formula>INDIRECT(ADDRESS(ROW(), COLUMN()))="HOLD"</formula>
    </cfRule>
    <cfRule type="expression" dxfId="1" priority="4">
      <formula>INDIRECT(ADDRESS(ROW(), COLUMN()))="MAYBE"</formula>
    </cfRule>
    <cfRule type="expression" dxfId="0" priority="5">
      <formula>INDIRECT(ADDRESS(ROW(), COLUMN()))="GO"</formula>
    </cfRule>
  </conditionalFormatting>
  <conditionalFormatting sqref="E2:F37">
    <cfRule type="colorScale" priority="1">
      <colorScale>
        <cfvo type="num" val="0"/>
        <cfvo type="num" val="1"/>
        <cfvo type="num" val="1.1000000000000001"/>
        <color rgb="FF00B050"/>
        <color rgb="FFDCDE80"/>
        <color rgb="FFFF0000"/>
      </colorScale>
    </cfRule>
  </conditionalFormatting>
  <dataValidations count="2">
    <dataValidation type="list" allowBlank="1" showInputMessage="1" showErrorMessage="1" sqref="A2:A37 M2:M8" xr:uid="{00000000-0002-0000-0300-000000000000}">
      <formula1>ItemIDs</formula1>
    </dataValidation>
    <dataValidation allowBlank="1" showInputMessage="1" showErrorMessage="1" sqref="G2:G37" xr:uid="{00000000-0002-0000-0300-000001000000}"/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B49C-5416-433D-95AE-EC7315F489EB}">
  <dimension ref="A1:M102"/>
  <sheetViews>
    <sheetView tabSelected="1" workbookViewId="0">
      <selection activeCell="C1" sqref="C1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10.85546875" bestFit="1" customWidth="1"/>
    <col min="5" max="5" width="12" bestFit="1" customWidth="1"/>
    <col min="6" max="6" width="15" bestFit="1" customWidth="1"/>
    <col min="7" max="7" width="14.5703125" bestFit="1" customWidth="1"/>
    <col min="8" max="8" width="10.28515625" bestFit="1" customWidth="1"/>
    <col min="9" max="9" width="22.140625" customWidth="1"/>
    <col min="10" max="10" width="20.7109375" customWidth="1"/>
    <col min="11" max="11" width="14.28515625" bestFit="1" customWidth="1"/>
    <col min="12" max="12" width="12.85546875" bestFit="1" customWidth="1"/>
    <col min="13" max="13" width="10.85546875" bestFit="1" customWidth="1"/>
  </cols>
  <sheetData>
    <row r="1" spans="1:13" x14ac:dyDescent="0.25">
      <c r="A1" t="s">
        <v>123</v>
      </c>
      <c r="B1" t="s">
        <v>124</v>
      </c>
      <c r="C1" t="s">
        <v>75</v>
      </c>
      <c r="E1" t="s">
        <v>125</v>
      </c>
      <c r="F1" t="s">
        <v>126</v>
      </c>
      <c r="G1" t="s">
        <v>127</v>
      </c>
      <c r="H1" t="s">
        <v>128</v>
      </c>
      <c r="K1" t="s">
        <v>123</v>
      </c>
      <c r="L1" t="s">
        <v>124</v>
      </c>
      <c r="M1" t="s">
        <v>75</v>
      </c>
    </row>
    <row r="2" spans="1:13" x14ac:dyDescent="0.25">
      <c r="A2">
        <v>0</v>
      </c>
      <c r="B2">
        <v>0.35799999999999998</v>
      </c>
      <c r="C2">
        <v>71.234999999999999</v>
      </c>
      <c r="E2">
        <v>12</v>
      </c>
      <c r="F2" s="41">
        <f>E2/G5</f>
        <v>8.4093309177211116E-4</v>
      </c>
      <c r="G2" s="40">
        <f>E5/F5</f>
        <v>198.98052011797859</v>
      </c>
      <c r="H2" s="36">
        <f>E2/E5</f>
        <v>0.16845645491659528</v>
      </c>
      <c r="I2" s="36"/>
      <c r="K2" s="4">
        <f>($E$2-M2*$H$2)/$F$2</f>
        <v>2.3878824497149032E-5</v>
      </c>
      <c r="L2">
        <f>B2</f>
        <v>0.35799999999999998</v>
      </c>
      <c r="M2">
        <f>$G$2*L2</f>
        <v>71.235026202236327</v>
      </c>
    </row>
    <row r="3" spans="1:13" x14ac:dyDescent="0.25">
      <c r="A3">
        <v>142.69900000000001</v>
      </c>
      <c r="B3">
        <v>0.35442000000000001</v>
      </c>
      <c r="C3">
        <v>70.56</v>
      </c>
      <c r="H3" s="48" t="s">
        <v>132</v>
      </c>
      <c r="I3" s="48"/>
      <c r="J3" s="48"/>
      <c r="K3" s="4">
        <f t="shared" ref="K3:K66" si="0">($E$2-M3*$H$2)/$F$2</f>
        <v>142.69865350025478</v>
      </c>
      <c r="L3">
        <f t="shared" ref="L3:L66" si="1">B3</f>
        <v>0.35442000000000001</v>
      </c>
      <c r="M3">
        <f t="shared" ref="M3:M66" si="2">$G$2*L3</f>
        <v>70.522675940213972</v>
      </c>
    </row>
    <row r="4" spans="1:13" ht="15" customHeight="1" x14ac:dyDescent="0.25">
      <c r="A4">
        <v>285.39699999999999</v>
      </c>
      <c r="B4">
        <v>0.35083999999999999</v>
      </c>
      <c r="C4">
        <v>69.885000000000005</v>
      </c>
      <c r="E4" t="s">
        <v>129</v>
      </c>
      <c r="F4" t="s">
        <v>130</v>
      </c>
      <c r="G4" t="s">
        <v>131</v>
      </c>
      <c r="H4" s="49" t="str">
        <f>_xlfn.CONCAT("Vin=(",TEXT(F2, "0.###########""V/RPM"""),")*RPM +(",TEXT(G2, "0.###########""A/Nm"""), ")*(", TEXT(H2, "0.###########""Ohm"""), ")*(Load Nm)")</f>
        <v>Vin=(0.00084093309V/RPM)*RPM +(198.98052011798A/Nm)*(0.16845645492Ohm)*(Load Nm)</v>
      </c>
      <c r="I4" s="50"/>
      <c r="J4" s="51"/>
      <c r="K4" s="4">
        <f t="shared" si="0"/>
        <v>285.39728312168927</v>
      </c>
      <c r="L4">
        <f t="shared" si="1"/>
        <v>0.35083999999999999</v>
      </c>
      <c r="M4">
        <f t="shared" si="2"/>
        <v>69.810325678191603</v>
      </c>
    </row>
    <row r="5" spans="1:13" x14ac:dyDescent="0.25">
      <c r="A5">
        <v>428.096</v>
      </c>
      <c r="B5">
        <v>0.34726000000000001</v>
      </c>
      <c r="C5">
        <v>69.209999999999994</v>
      </c>
      <c r="E5" s="37">
        <f>INTERCEPT(C2:C102,A2:A102)</f>
        <v>71.235026321439193</v>
      </c>
      <c r="F5" s="38">
        <f>INTERCEPT(B2:B102,A2:A102)</f>
        <v>0.358000000599068</v>
      </c>
      <c r="G5" s="39">
        <f>INTERCEPT(A2:A102,B2:B102)</f>
        <v>14269.86298602213</v>
      </c>
      <c r="H5" s="42"/>
      <c r="I5" s="43"/>
      <c r="J5" s="44"/>
      <c r="K5" s="4">
        <f t="shared" si="0"/>
        <v>428.09591274311958</v>
      </c>
      <c r="L5">
        <f t="shared" si="1"/>
        <v>0.34726000000000001</v>
      </c>
      <c r="M5">
        <f t="shared" si="2"/>
        <v>69.097975416169248</v>
      </c>
    </row>
    <row r="6" spans="1:13" x14ac:dyDescent="0.25">
      <c r="A6">
        <v>570.79499999999996</v>
      </c>
      <c r="B6">
        <v>0.34367999999999999</v>
      </c>
      <c r="C6">
        <v>68.534999999999997</v>
      </c>
      <c r="H6" s="45"/>
      <c r="I6" s="46"/>
      <c r="J6" s="47"/>
      <c r="K6" s="4">
        <f t="shared" si="0"/>
        <v>570.7945423645541</v>
      </c>
      <c r="L6">
        <f t="shared" si="1"/>
        <v>0.34367999999999999</v>
      </c>
      <c r="M6">
        <f t="shared" si="2"/>
        <v>68.385625154146879</v>
      </c>
    </row>
    <row r="7" spans="1:13" x14ac:dyDescent="0.25">
      <c r="A7">
        <v>713.49300000000005</v>
      </c>
      <c r="B7">
        <v>0.34010000000000001</v>
      </c>
      <c r="C7">
        <v>67.861000000000004</v>
      </c>
      <c r="H7" s="52"/>
      <c r="I7" s="52"/>
      <c r="J7" s="52"/>
      <c r="K7" s="4">
        <f t="shared" si="0"/>
        <v>713.49317198598646</v>
      </c>
      <c r="L7">
        <f t="shared" si="1"/>
        <v>0.34010000000000001</v>
      </c>
      <c r="M7">
        <f t="shared" si="2"/>
        <v>67.673274892124525</v>
      </c>
    </row>
    <row r="8" spans="1:13" x14ac:dyDescent="0.25">
      <c r="A8">
        <v>856.19200000000001</v>
      </c>
      <c r="B8">
        <v>0.33651999999999999</v>
      </c>
      <c r="C8">
        <v>67.186000000000007</v>
      </c>
      <c r="K8" s="4">
        <f t="shared" si="0"/>
        <v>856.19180160742098</v>
      </c>
      <c r="L8">
        <f t="shared" si="1"/>
        <v>0.33651999999999999</v>
      </c>
      <c r="M8">
        <f t="shared" si="2"/>
        <v>66.960924630102156</v>
      </c>
    </row>
    <row r="9" spans="1:13" x14ac:dyDescent="0.25">
      <c r="A9">
        <v>998.89</v>
      </c>
      <c r="B9">
        <v>0.33294000000000001</v>
      </c>
      <c r="C9">
        <v>66.510999999999996</v>
      </c>
      <c r="K9" s="4">
        <f t="shared" si="0"/>
        <v>998.89043122885346</v>
      </c>
      <c r="L9">
        <f t="shared" si="1"/>
        <v>0.33294000000000001</v>
      </c>
      <c r="M9">
        <f t="shared" si="2"/>
        <v>66.248574368079787</v>
      </c>
    </row>
    <row r="10" spans="1:13" x14ac:dyDescent="0.25">
      <c r="A10">
        <v>1141.5889999999999</v>
      </c>
      <c r="B10">
        <v>0.32935999999999999</v>
      </c>
      <c r="C10">
        <v>65.835999999999999</v>
      </c>
      <c r="K10" s="4">
        <f t="shared" si="0"/>
        <v>1141.589060850288</v>
      </c>
      <c r="L10">
        <f t="shared" si="1"/>
        <v>0.32935999999999999</v>
      </c>
      <c r="M10">
        <f t="shared" si="2"/>
        <v>65.536224106057418</v>
      </c>
    </row>
    <row r="11" spans="1:13" x14ac:dyDescent="0.25">
      <c r="A11">
        <v>1284.288</v>
      </c>
      <c r="B11">
        <v>0.32578000000000001</v>
      </c>
      <c r="C11">
        <v>65.161000000000001</v>
      </c>
      <c r="K11" s="4">
        <f t="shared" si="0"/>
        <v>1284.2876904717202</v>
      </c>
      <c r="L11">
        <f t="shared" si="1"/>
        <v>0.32578000000000001</v>
      </c>
      <c r="M11">
        <f t="shared" si="2"/>
        <v>64.823873844035063</v>
      </c>
    </row>
    <row r="12" spans="1:13" x14ac:dyDescent="0.25">
      <c r="A12">
        <v>1426.9860000000001</v>
      </c>
      <c r="B12">
        <v>0.32219999999999999</v>
      </c>
      <c r="C12">
        <v>64.486000000000004</v>
      </c>
      <c r="K12" s="4">
        <f t="shared" si="0"/>
        <v>1426.9863200931547</v>
      </c>
      <c r="L12">
        <f t="shared" si="1"/>
        <v>0.32219999999999999</v>
      </c>
      <c r="M12">
        <f t="shared" si="2"/>
        <v>64.111523582012694</v>
      </c>
    </row>
    <row r="13" spans="1:13" x14ac:dyDescent="0.25">
      <c r="A13">
        <v>1569.6849999999999</v>
      </c>
      <c r="B13">
        <v>0.31862000000000001</v>
      </c>
      <c r="C13">
        <v>63.811</v>
      </c>
      <c r="K13" s="4">
        <f t="shared" si="0"/>
        <v>1569.6849497145852</v>
      </c>
      <c r="L13">
        <f t="shared" si="1"/>
        <v>0.31862000000000001</v>
      </c>
      <c r="M13">
        <f t="shared" si="2"/>
        <v>63.399173319990339</v>
      </c>
    </row>
    <row r="14" spans="1:13" x14ac:dyDescent="0.25">
      <c r="A14">
        <v>1712.384</v>
      </c>
      <c r="B14">
        <v>0.31503999999999999</v>
      </c>
      <c r="C14">
        <v>63.136000000000003</v>
      </c>
      <c r="K14" s="4">
        <f t="shared" si="0"/>
        <v>1712.3835793360197</v>
      </c>
      <c r="L14">
        <f t="shared" si="1"/>
        <v>0.31503999999999999</v>
      </c>
      <c r="M14">
        <f t="shared" si="2"/>
        <v>62.68682305796797</v>
      </c>
    </row>
    <row r="15" spans="1:13" x14ac:dyDescent="0.25">
      <c r="A15">
        <v>1855.0820000000001</v>
      </c>
      <c r="B15">
        <v>0.31146000000000001</v>
      </c>
      <c r="C15">
        <v>62.460999999999999</v>
      </c>
      <c r="K15" s="4">
        <f t="shared" si="0"/>
        <v>1855.0822089574519</v>
      </c>
      <c r="L15">
        <f t="shared" si="1"/>
        <v>0.31146000000000001</v>
      </c>
      <c r="M15">
        <f t="shared" si="2"/>
        <v>61.974472795945616</v>
      </c>
    </row>
    <row r="16" spans="1:13" x14ac:dyDescent="0.25">
      <c r="A16">
        <v>1997.7809999999999</v>
      </c>
      <c r="B16">
        <v>0.30787999999999999</v>
      </c>
      <c r="C16">
        <v>61.786000000000001</v>
      </c>
      <c r="K16" s="4">
        <f t="shared" si="0"/>
        <v>1997.7808385788844</v>
      </c>
      <c r="L16">
        <f t="shared" si="1"/>
        <v>0.30787999999999999</v>
      </c>
      <c r="M16">
        <f t="shared" si="2"/>
        <v>61.262122533923247</v>
      </c>
    </row>
    <row r="17" spans="1:13" x14ac:dyDescent="0.25">
      <c r="A17">
        <v>2140.4789999999998</v>
      </c>
      <c r="B17">
        <v>0.30430000000000001</v>
      </c>
      <c r="C17">
        <v>61.112000000000002</v>
      </c>
      <c r="K17" s="4">
        <f t="shared" si="0"/>
        <v>2140.4794682003189</v>
      </c>
      <c r="L17">
        <f t="shared" si="1"/>
        <v>0.30430000000000001</v>
      </c>
      <c r="M17">
        <f t="shared" si="2"/>
        <v>60.549772271900885</v>
      </c>
    </row>
    <row r="18" spans="1:13" x14ac:dyDescent="0.25">
      <c r="A18">
        <v>2283.1779999999999</v>
      </c>
      <c r="B18">
        <v>0.30071999999999999</v>
      </c>
      <c r="C18">
        <v>60.436999999999998</v>
      </c>
      <c r="K18" s="4">
        <f t="shared" si="0"/>
        <v>2283.1780978217512</v>
      </c>
      <c r="L18">
        <f t="shared" si="1"/>
        <v>0.30071999999999999</v>
      </c>
      <c r="M18">
        <f t="shared" si="2"/>
        <v>59.837422009878516</v>
      </c>
    </row>
    <row r="19" spans="1:13" x14ac:dyDescent="0.25">
      <c r="A19">
        <v>2425.877</v>
      </c>
      <c r="B19">
        <v>0.29714000000000002</v>
      </c>
      <c r="C19">
        <v>59.762</v>
      </c>
      <c r="K19" s="4">
        <f t="shared" si="0"/>
        <v>2425.8767274431839</v>
      </c>
      <c r="L19">
        <f t="shared" si="1"/>
        <v>0.29714000000000002</v>
      </c>
      <c r="M19">
        <f t="shared" si="2"/>
        <v>59.125071747856161</v>
      </c>
    </row>
    <row r="20" spans="1:13" x14ac:dyDescent="0.25">
      <c r="A20">
        <v>2568.5749999999998</v>
      </c>
      <c r="B20">
        <v>0.29355999999999999</v>
      </c>
      <c r="C20">
        <v>59.087000000000003</v>
      </c>
      <c r="K20" s="4">
        <f t="shared" si="0"/>
        <v>2568.5753570646184</v>
      </c>
      <c r="L20">
        <f t="shared" si="1"/>
        <v>0.29355999999999999</v>
      </c>
      <c r="M20">
        <f t="shared" si="2"/>
        <v>58.412721485833792</v>
      </c>
    </row>
    <row r="21" spans="1:13" x14ac:dyDescent="0.25">
      <c r="A21">
        <v>2711.2739999999999</v>
      </c>
      <c r="B21">
        <v>0.28998000000000002</v>
      </c>
      <c r="C21">
        <v>58.411999999999999</v>
      </c>
      <c r="K21" s="4">
        <f t="shared" si="0"/>
        <v>2711.2739866860506</v>
      </c>
      <c r="L21">
        <f t="shared" si="1"/>
        <v>0.28998000000000002</v>
      </c>
      <c r="M21">
        <f t="shared" si="2"/>
        <v>57.70037122381143</v>
      </c>
    </row>
    <row r="22" spans="1:13" x14ac:dyDescent="0.25">
      <c r="A22">
        <v>2853.973</v>
      </c>
      <c r="B22">
        <v>0.28639999999999999</v>
      </c>
      <c r="C22">
        <v>57.737000000000002</v>
      </c>
      <c r="K22" s="4">
        <f t="shared" si="0"/>
        <v>2853.9726163074852</v>
      </c>
      <c r="L22">
        <f t="shared" si="1"/>
        <v>0.28639999999999999</v>
      </c>
      <c r="M22">
        <f t="shared" si="2"/>
        <v>56.988020961789061</v>
      </c>
    </row>
    <row r="23" spans="1:13" x14ac:dyDescent="0.25">
      <c r="A23">
        <v>2996.6709999999998</v>
      </c>
      <c r="B23">
        <v>0.28282000000000002</v>
      </c>
      <c r="C23">
        <v>57.061999999999998</v>
      </c>
      <c r="K23" s="4">
        <f t="shared" si="0"/>
        <v>2996.6712459289156</v>
      </c>
      <c r="L23">
        <f t="shared" si="1"/>
        <v>0.28282000000000002</v>
      </c>
      <c r="M23">
        <f t="shared" si="2"/>
        <v>56.275670699766707</v>
      </c>
    </row>
    <row r="24" spans="1:13" x14ac:dyDescent="0.25">
      <c r="A24">
        <v>3139.37</v>
      </c>
      <c r="B24">
        <v>0.27923999999999999</v>
      </c>
      <c r="C24">
        <v>56.387</v>
      </c>
      <c r="K24" s="4">
        <f t="shared" si="0"/>
        <v>3139.3698755503501</v>
      </c>
      <c r="L24">
        <f t="shared" si="1"/>
        <v>0.27923999999999999</v>
      </c>
      <c r="M24">
        <f t="shared" si="2"/>
        <v>55.563320437744338</v>
      </c>
    </row>
    <row r="25" spans="1:13" x14ac:dyDescent="0.25">
      <c r="A25">
        <v>3282.0680000000002</v>
      </c>
      <c r="B25">
        <v>0.27566000000000002</v>
      </c>
      <c r="C25">
        <v>55.712000000000003</v>
      </c>
      <c r="K25" s="4">
        <f t="shared" si="0"/>
        <v>3282.0685051717824</v>
      </c>
      <c r="L25">
        <f t="shared" si="1"/>
        <v>0.27566000000000002</v>
      </c>
      <c r="M25">
        <f t="shared" si="2"/>
        <v>54.850970175721983</v>
      </c>
    </row>
    <row r="26" spans="1:13" x14ac:dyDescent="0.25">
      <c r="A26">
        <v>3424.7669999999998</v>
      </c>
      <c r="B26">
        <v>0.27207999999999999</v>
      </c>
      <c r="C26">
        <v>55.036999999999999</v>
      </c>
      <c r="K26" s="4">
        <f t="shared" si="0"/>
        <v>3424.7671347932169</v>
      </c>
      <c r="L26">
        <f t="shared" si="1"/>
        <v>0.27207999999999999</v>
      </c>
      <c r="M26">
        <f t="shared" si="2"/>
        <v>54.138619913699614</v>
      </c>
    </row>
    <row r="27" spans="1:13" x14ac:dyDescent="0.25">
      <c r="A27">
        <v>3567.4659999999999</v>
      </c>
      <c r="B27">
        <v>0.26850000000000002</v>
      </c>
      <c r="C27">
        <v>54.363</v>
      </c>
      <c r="K27" s="4">
        <f t="shared" si="0"/>
        <v>3567.4657644146491</v>
      </c>
      <c r="L27">
        <f t="shared" si="1"/>
        <v>0.26850000000000002</v>
      </c>
      <c r="M27">
        <f t="shared" si="2"/>
        <v>53.426269651677252</v>
      </c>
    </row>
    <row r="28" spans="1:13" x14ac:dyDescent="0.25">
      <c r="A28">
        <v>3710.1640000000002</v>
      </c>
      <c r="B28">
        <v>0.26491999999999999</v>
      </c>
      <c r="C28">
        <v>53.688000000000002</v>
      </c>
      <c r="K28" s="4">
        <f t="shared" si="0"/>
        <v>3710.1643940360836</v>
      </c>
      <c r="L28">
        <f t="shared" si="1"/>
        <v>0.26491999999999999</v>
      </c>
      <c r="M28">
        <f t="shared" si="2"/>
        <v>52.713919389654883</v>
      </c>
    </row>
    <row r="29" spans="1:13" x14ac:dyDescent="0.25">
      <c r="A29">
        <v>3852.8629999999998</v>
      </c>
      <c r="B29">
        <v>0.26134000000000002</v>
      </c>
      <c r="C29">
        <v>53.012999999999998</v>
      </c>
      <c r="K29" s="4">
        <f t="shared" si="0"/>
        <v>3852.8630236575141</v>
      </c>
      <c r="L29">
        <f t="shared" si="1"/>
        <v>0.26134000000000002</v>
      </c>
      <c r="M29">
        <f t="shared" si="2"/>
        <v>52.001569127632528</v>
      </c>
    </row>
    <row r="30" spans="1:13" x14ac:dyDescent="0.25">
      <c r="A30">
        <v>3995.5619999999999</v>
      </c>
      <c r="B30">
        <v>0.25775999999999999</v>
      </c>
      <c r="C30">
        <v>52.338000000000001</v>
      </c>
      <c r="K30" s="4">
        <f t="shared" si="0"/>
        <v>3995.5616532789486</v>
      </c>
      <c r="L30">
        <f t="shared" si="1"/>
        <v>0.25775999999999999</v>
      </c>
      <c r="M30">
        <f t="shared" si="2"/>
        <v>51.28921886561016</v>
      </c>
    </row>
    <row r="31" spans="1:13" x14ac:dyDescent="0.25">
      <c r="A31">
        <v>4138.26</v>
      </c>
      <c r="B31">
        <v>0.25418000000000002</v>
      </c>
      <c r="C31">
        <v>51.662999999999997</v>
      </c>
      <c r="K31" s="4">
        <f t="shared" si="0"/>
        <v>4138.2602829003808</v>
      </c>
      <c r="L31">
        <f t="shared" si="1"/>
        <v>0.25418000000000002</v>
      </c>
      <c r="M31">
        <f t="shared" si="2"/>
        <v>50.576868603587798</v>
      </c>
    </row>
    <row r="32" spans="1:13" x14ac:dyDescent="0.25">
      <c r="A32">
        <v>4280.9589999999998</v>
      </c>
      <c r="B32">
        <v>0.25059999999999999</v>
      </c>
      <c r="C32">
        <v>50.988</v>
      </c>
      <c r="K32" s="4">
        <f t="shared" si="0"/>
        <v>4280.9589125218154</v>
      </c>
      <c r="L32">
        <f t="shared" si="1"/>
        <v>0.25059999999999999</v>
      </c>
      <c r="M32">
        <f t="shared" si="2"/>
        <v>49.864518341565429</v>
      </c>
    </row>
    <row r="33" spans="1:13" x14ac:dyDescent="0.25">
      <c r="A33">
        <v>4423.6580000000004</v>
      </c>
      <c r="B33">
        <v>0.24701999999999999</v>
      </c>
      <c r="C33">
        <v>50.313000000000002</v>
      </c>
      <c r="K33" s="4">
        <f t="shared" si="0"/>
        <v>4423.6575421432481</v>
      </c>
      <c r="L33">
        <f t="shared" si="1"/>
        <v>0.24701999999999999</v>
      </c>
      <c r="M33">
        <f t="shared" si="2"/>
        <v>49.152168079543067</v>
      </c>
    </row>
    <row r="34" spans="1:13" x14ac:dyDescent="0.25">
      <c r="A34">
        <v>4566.3559999999998</v>
      </c>
      <c r="B34">
        <v>0.24343999999999999</v>
      </c>
      <c r="C34">
        <v>49.637999999999998</v>
      </c>
      <c r="K34" s="4">
        <f t="shared" si="0"/>
        <v>4566.3561717646808</v>
      </c>
      <c r="L34">
        <f t="shared" si="1"/>
        <v>0.24343999999999999</v>
      </c>
      <c r="M34">
        <f t="shared" si="2"/>
        <v>48.439817817520705</v>
      </c>
    </row>
    <row r="35" spans="1:13" x14ac:dyDescent="0.25">
      <c r="A35">
        <v>4709.0550000000003</v>
      </c>
      <c r="B35">
        <v>0.23985999999999999</v>
      </c>
      <c r="C35">
        <v>48.963000000000001</v>
      </c>
      <c r="K35" s="4">
        <f t="shared" si="0"/>
        <v>4709.0548013861144</v>
      </c>
      <c r="L35">
        <f t="shared" si="1"/>
        <v>0.23985999999999999</v>
      </c>
      <c r="M35">
        <f t="shared" si="2"/>
        <v>47.727467555498343</v>
      </c>
    </row>
    <row r="36" spans="1:13" x14ac:dyDescent="0.25">
      <c r="A36">
        <v>4851.7529999999997</v>
      </c>
      <c r="B36">
        <v>0.23627999999999999</v>
      </c>
      <c r="C36">
        <v>48.287999999999997</v>
      </c>
      <c r="K36" s="4">
        <f t="shared" si="0"/>
        <v>4851.7534310075462</v>
      </c>
      <c r="L36">
        <f t="shared" si="1"/>
        <v>0.23627999999999999</v>
      </c>
      <c r="M36">
        <f t="shared" si="2"/>
        <v>47.015117293475981</v>
      </c>
    </row>
    <row r="37" spans="1:13" x14ac:dyDescent="0.25">
      <c r="A37">
        <v>4994.4520000000002</v>
      </c>
      <c r="B37">
        <v>0.23269999999999999</v>
      </c>
      <c r="C37">
        <v>47.613999999999997</v>
      </c>
      <c r="K37" s="4">
        <f t="shared" si="0"/>
        <v>4994.4520606289807</v>
      </c>
      <c r="L37">
        <f t="shared" si="1"/>
        <v>0.23269999999999999</v>
      </c>
      <c r="M37">
        <f t="shared" si="2"/>
        <v>46.302767031453612</v>
      </c>
    </row>
    <row r="38" spans="1:13" x14ac:dyDescent="0.25">
      <c r="A38">
        <v>5137.1509999999998</v>
      </c>
      <c r="B38">
        <v>0.22911999999999999</v>
      </c>
      <c r="C38">
        <v>46.939</v>
      </c>
      <c r="K38" s="4">
        <f t="shared" si="0"/>
        <v>5137.1506902504134</v>
      </c>
      <c r="L38">
        <f t="shared" si="1"/>
        <v>0.22911999999999999</v>
      </c>
      <c r="M38">
        <f t="shared" si="2"/>
        <v>45.590416769431251</v>
      </c>
    </row>
    <row r="39" spans="1:13" x14ac:dyDescent="0.25">
      <c r="A39">
        <v>5279.8490000000002</v>
      </c>
      <c r="B39">
        <v>0.22553999999999999</v>
      </c>
      <c r="C39">
        <v>46.264000000000003</v>
      </c>
      <c r="K39" s="4">
        <f t="shared" si="0"/>
        <v>5279.8493198718461</v>
      </c>
      <c r="L39">
        <f t="shared" si="1"/>
        <v>0.22553999999999999</v>
      </c>
      <c r="M39">
        <f t="shared" si="2"/>
        <v>44.878066507408889</v>
      </c>
    </row>
    <row r="40" spans="1:13" x14ac:dyDescent="0.25">
      <c r="A40">
        <v>5422.5479999999998</v>
      </c>
      <c r="B40">
        <v>0.22195999999999999</v>
      </c>
      <c r="C40">
        <v>45.588999999999999</v>
      </c>
      <c r="K40" s="4">
        <f t="shared" si="0"/>
        <v>5422.5479494932788</v>
      </c>
      <c r="L40">
        <f t="shared" si="1"/>
        <v>0.22195999999999999</v>
      </c>
      <c r="M40">
        <f t="shared" si="2"/>
        <v>44.165716245386527</v>
      </c>
    </row>
    <row r="41" spans="1:13" x14ac:dyDescent="0.25">
      <c r="A41">
        <v>5565.2470000000003</v>
      </c>
      <c r="B41">
        <v>0.21837999999999999</v>
      </c>
      <c r="C41">
        <v>44.914000000000001</v>
      </c>
      <c r="K41" s="4">
        <f t="shared" si="0"/>
        <v>5565.2465791147124</v>
      </c>
      <c r="L41">
        <f t="shared" si="1"/>
        <v>0.21837999999999999</v>
      </c>
      <c r="M41">
        <f t="shared" si="2"/>
        <v>43.453365983364165</v>
      </c>
    </row>
    <row r="42" spans="1:13" x14ac:dyDescent="0.25">
      <c r="A42">
        <v>5707.9449999999997</v>
      </c>
      <c r="B42">
        <v>0.21479999999999999</v>
      </c>
      <c r="C42">
        <v>44.238999999999997</v>
      </c>
      <c r="K42" s="4">
        <f t="shared" si="0"/>
        <v>5707.945208736146</v>
      </c>
      <c r="L42">
        <f t="shared" si="1"/>
        <v>0.21479999999999999</v>
      </c>
      <c r="M42">
        <f t="shared" si="2"/>
        <v>42.741015721341796</v>
      </c>
    </row>
    <row r="43" spans="1:13" x14ac:dyDescent="0.25">
      <c r="A43">
        <v>5850.6440000000002</v>
      </c>
      <c r="B43">
        <v>0.21121999999999999</v>
      </c>
      <c r="C43">
        <v>43.564</v>
      </c>
      <c r="K43" s="4">
        <f t="shared" si="0"/>
        <v>5850.6438383575796</v>
      </c>
      <c r="L43">
        <f t="shared" si="1"/>
        <v>0.21121999999999999</v>
      </c>
      <c r="M43">
        <f t="shared" si="2"/>
        <v>42.028665459319434</v>
      </c>
    </row>
    <row r="44" spans="1:13" x14ac:dyDescent="0.25">
      <c r="A44">
        <v>5993.3419999999996</v>
      </c>
      <c r="B44">
        <v>0.20763999999999999</v>
      </c>
      <c r="C44">
        <v>42.889000000000003</v>
      </c>
      <c r="K44" s="4">
        <f t="shared" si="0"/>
        <v>5993.3424679790114</v>
      </c>
      <c r="L44">
        <f t="shared" si="1"/>
        <v>0.20763999999999999</v>
      </c>
      <c r="M44">
        <f t="shared" si="2"/>
        <v>41.316315197297072</v>
      </c>
    </row>
    <row r="45" spans="1:13" x14ac:dyDescent="0.25">
      <c r="A45">
        <v>6136.0410000000002</v>
      </c>
      <c r="B45">
        <v>0.20405999999999999</v>
      </c>
      <c r="C45">
        <v>42.213999999999999</v>
      </c>
      <c r="K45" s="4">
        <f t="shared" si="0"/>
        <v>6136.0410976004441</v>
      </c>
      <c r="L45">
        <f t="shared" si="1"/>
        <v>0.20405999999999999</v>
      </c>
      <c r="M45">
        <f t="shared" si="2"/>
        <v>40.603964935274711</v>
      </c>
    </row>
    <row r="46" spans="1:13" x14ac:dyDescent="0.25">
      <c r="A46">
        <v>6278.74</v>
      </c>
      <c r="B46">
        <v>0.20047999999999999</v>
      </c>
      <c r="C46">
        <v>41.539000000000001</v>
      </c>
      <c r="K46" s="4">
        <f t="shared" si="0"/>
        <v>6278.7397272218777</v>
      </c>
      <c r="L46">
        <f t="shared" si="1"/>
        <v>0.20047999999999999</v>
      </c>
      <c r="M46">
        <f t="shared" si="2"/>
        <v>39.891614673252349</v>
      </c>
    </row>
    <row r="47" spans="1:13" x14ac:dyDescent="0.25">
      <c r="A47">
        <v>6421.4380000000001</v>
      </c>
      <c r="B47">
        <v>0.19689999999999999</v>
      </c>
      <c r="C47">
        <v>40.865000000000002</v>
      </c>
      <c r="K47" s="4">
        <f t="shared" si="0"/>
        <v>6421.4383568433113</v>
      </c>
      <c r="L47">
        <f t="shared" si="1"/>
        <v>0.19689999999999999</v>
      </c>
      <c r="M47">
        <f t="shared" si="2"/>
        <v>39.17926441122998</v>
      </c>
    </row>
    <row r="48" spans="1:13" x14ac:dyDescent="0.25">
      <c r="A48">
        <v>6564.1369999999997</v>
      </c>
      <c r="B48">
        <v>0.19331999999999999</v>
      </c>
      <c r="C48">
        <v>40.19</v>
      </c>
      <c r="K48" s="4">
        <f t="shared" si="0"/>
        <v>6564.136986464744</v>
      </c>
      <c r="L48">
        <f t="shared" si="1"/>
        <v>0.19331999999999999</v>
      </c>
      <c r="M48">
        <f t="shared" si="2"/>
        <v>38.466914149207618</v>
      </c>
    </row>
    <row r="49" spans="1:13" x14ac:dyDescent="0.25">
      <c r="A49">
        <v>6706.8360000000002</v>
      </c>
      <c r="B49">
        <v>0.18973999999999999</v>
      </c>
      <c r="C49">
        <v>39.515000000000001</v>
      </c>
      <c r="K49" s="4">
        <f t="shared" si="0"/>
        <v>6706.8356160861767</v>
      </c>
      <c r="L49">
        <f t="shared" si="1"/>
        <v>0.18973999999999999</v>
      </c>
      <c r="M49">
        <f t="shared" si="2"/>
        <v>37.754563887185256</v>
      </c>
    </row>
    <row r="50" spans="1:13" x14ac:dyDescent="0.25">
      <c r="A50">
        <v>6849.5339999999997</v>
      </c>
      <c r="B50">
        <v>0.18615999999999999</v>
      </c>
      <c r="C50">
        <v>38.840000000000003</v>
      </c>
      <c r="K50" s="4">
        <f t="shared" si="0"/>
        <v>6849.5342457076094</v>
      </c>
      <c r="L50">
        <f t="shared" si="1"/>
        <v>0.18615999999999999</v>
      </c>
      <c r="M50">
        <f t="shared" si="2"/>
        <v>37.042213625162894</v>
      </c>
    </row>
    <row r="51" spans="1:13" x14ac:dyDescent="0.25">
      <c r="A51">
        <v>6992.2330000000002</v>
      </c>
      <c r="B51">
        <v>0.18257999999999999</v>
      </c>
      <c r="C51">
        <v>38.164999999999999</v>
      </c>
      <c r="K51" s="4">
        <f t="shared" si="0"/>
        <v>6992.232875329044</v>
      </c>
      <c r="L51">
        <f t="shared" si="1"/>
        <v>0.18257999999999999</v>
      </c>
      <c r="M51">
        <f t="shared" si="2"/>
        <v>36.329863363140525</v>
      </c>
    </row>
    <row r="52" spans="1:13" x14ac:dyDescent="0.25">
      <c r="A52">
        <v>7134.9319999999998</v>
      </c>
      <c r="B52">
        <v>0.17899999999999999</v>
      </c>
      <c r="C52">
        <v>37.49</v>
      </c>
      <c r="K52" s="4">
        <f t="shared" si="0"/>
        <v>7134.9315049504776</v>
      </c>
      <c r="L52">
        <f t="shared" si="1"/>
        <v>0.17899999999999999</v>
      </c>
      <c r="M52">
        <f t="shared" si="2"/>
        <v>35.617513101118163</v>
      </c>
    </row>
    <row r="53" spans="1:13" x14ac:dyDescent="0.25">
      <c r="A53">
        <v>7277.63</v>
      </c>
      <c r="B53">
        <v>0.17541999999999999</v>
      </c>
      <c r="C53">
        <v>36.814999999999998</v>
      </c>
      <c r="K53" s="4">
        <f t="shared" si="0"/>
        <v>7277.6301345719094</v>
      </c>
      <c r="L53">
        <f t="shared" si="1"/>
        <v>0.17541999999999999</v>
      </c>
      <c r="M53">
        <f t="shared" si="2"/>
        <v>34.905162839095802</v>
      </c>
    </row>
    <row r="54" spans="1:13" x14ac:dyDescent="0.25">
      <c r="A54">
        <v>7420.3289999999997</v>
      </c>
      <c r="B54">
        <v>0.17183999999999999</v>
      </c>
      <c r="C54">
        <v>36.14</v>
      </c>
      <c r="K54" s="4">
        <f t="shared" si="0"/>
        <v>7420.3287641933421</v>
      </c>
      <c r="L54">
        <f t="shared" si="1"/>
        <v>0.17183999999999999</v>
      </c>
      <c r="M54">
        <f t="shared" si="2"/>
        <v>34.19281257707344</v>
      </c>
    </row>
    <row r="55" spans="1:13" x14ac:dyDescent="0.25">
      <c r="A55">
        <v>7563.027</v>
      </c>
      <c r="B55">
        <v>0.16825999999999999</v>
      </c>
      <c r="C55">
        <v>35.465000000000003</v>
      </c>
      <c r="K55" s="4">
        <f t="shared" si="0"/>
        <v>7563.0273938147757</v>
      </c>
      <c r="L55">
        <f t="shared" si="1"/>
        <v>0.16825999999999999</v>
      </c>
      <c r="M55">
        <f t="shared" si="2"/>
        <v>33.480462315051078</v>
      </c>
    </row>
    <row r="56" spans="1:13" x14ac:dyDescent="0.25">
      <c r="A56">
        <v>7705.7259999999997</v>
      </c>
      <c r="B56">
        <v>0.16467999999999999</v>
      </c>
      <c r="C56">
        <v>34.79</v>
      </c>
      <c r="K56" s="4">
        <f t="shared" si="0"/>
        <v>7705.7260234362093</v>
      </c>
      <c r="L56">
        <f t="shared" si="1"/>
        <v>0.16467999999999999</v>
      </c>
      <c r="M56">
        <f t="shared" si="2"/>
        <v>32.768112053028709</v>
      </c>
    </row>
    <row r="57" spans="1:13" x14ac:dyDescent="0.25">
      <c r="A57">
        <v>7848.4250000000002</v>
      </c>
      <c r="B57">
        <v>0.16109999999999999</v>
      </c>
      <c r="C57">
        <v>34.116</v>
      </c>
      <c r="K57" s="4">
        <f t="shared" si="0"/>
        <v>7848.424653057642</v>
      </c>
      <c r="L57">
        <f t="shared" si="1"/>
        <v>0.16109999999999999</v>
      </c>
      <c r="M57">
        <f t="shared" si="2"/>
        <v>32.055761791006347</v>
      </c>
    </row>
    <row r="58" spans="1:13" x14ac:dyDescent="0.25">
      <c r="A58">
        <v>7991.1229999999996</v>
      </c>
      <c r="B58">
        <v>0.15751999999999999</v>
      </c>
      <c r="C58">
        <v>33.441000000000003</v>
      </c>
      <c r="K58" s="4">
        <f t="shared" si="0"/>
        <v>7991.1232826790747</v>
      </c>
      <c r="L58">
        <f t="shared" si="1"/>
        <v>0.15751999999999999</v>
      </c>
      <c r="M58">
        <f t="shared" si="2"/>
        <v>31.343411528983985</v>
      </c>
    </row>
    <row r="59" spans="1:13" x14ac:dyDescent="0.25">
      <c r="A59">
        <v>8133.8220000000001</v>
      </c>
      <c r="B59">
        <v>0.15393999999999999</v>
      </c>
      <c r="C59">
        <v>32.765999999999998</v>
      </c>
      <c r="K59" s="4">
        <f t="shared" si="0"/>
        <v>8133.8219123005074</v>
      </c>
      <c r="L59">
        <f t="shared" si="1"/>
        <v>0.15393999999999999</v>
      </c>
      <c r="M59">
        <f t="shared" si="2"/>
        <v>30.631061266961623</v>
      </c>
    </row>
    <row r="60" spans="1:13" x14ac:dyDescent="0.25">
      <c r="A60">
        <v>8276.5210000000006</v>
      </c>
      <c r="B60">
        <v>0.15035999999999999</v>
      </c>
      <c r="C60">
        <v>32.091000000000001</v>
      </c>
      <c r="K60" s="4">
        <f t="shared" si="0"/>
        <v>8276.5205419219401</v>
      </c>
      <c r="L60">
        <f t="shared" si="1"/>
        <v>0.15035999999999999</v>
      </c>
      <c r="M60">
        <f t="shared" si="2"/>
        <v>29.918711004939258</v>
      </c>
    </row>
    <row r="61" spans="1:13" x14ac:dyDescent="0.25">
      <c r="A61">
        <v>8419.2189999999991</v>
      </c>
      <c r="B61">
        <v>0.14677999999999999</v>
      </c>
      <c r="C61">
        <v>31.416</v>
      </c>
      <c r="K61" s="4">
        <f t="shared" si="0"/>
        <v>8419.2191715433746</v>
      </c>
      <c r="L61">
        <f t="shared" si="1"/>
        <v>0.14677999999999999</v>
      </c>
      <c r="M61">
        <f t="shared" si="2"/>
        <v>29.206360742916896</v>
      </c>
    </row>
    <row r="62" spans="1:13" x14ac:dyDescent="0.25">
      <c r="A62">
        <v>8561.9179999999997</v>
      </c>
      <c r="B62">
        <v>0.14319999999999999</v>
      </c>
      <c r="C62">
        <v>30.741</v>
      </c>
      <c r="K62" s="4">
        <f t="shared" si="0"/>
        <v>8561.9178011648073</v>
      </c>
      <c r="L62">
        <f t="shared" si="1"/>
        <v>0.14319999999999999</v>
      </c>
      <c r="M62">
        <f t="shared" si="2"/>
        <v>28.494010480894531</v>
      </c>
    </row>
    <row r="63" spans="1:13" x14ac:dyDescent="0.25">
      <c r="A63">
        <v>8704.616</v>
      </c>
      <c r="B63">
        <v>0.13961999999999999</v>
      </c>
      <c r="C63">
        <v>30.065999999999999</v>
      </c>
      <c r="K63" s="4">
        <f t="shared" si="0"/>
        <v>8704.61643078624</v>
      </c>
      <c r="L63">
        <f t="shared" si="1"/>
        <v>0.13961999999999999</v>
      </c>
      <c r="M63">
        <f t="shared" si="2"/>
        <v>27.781660218872169</v>
      </c>
    </row>
    <row r="64" spans="1:13" x14ac:dyDescent="0.25">
      <c r="A64">
        <v>8847.3150000000005</v>
      </c>
      <c r="B64">
        <v>0.13603999999999999</v>
      </c>
      <c r="C64">
        <v>29.390999999999998</v>
      </c>
      <c r="K64" s="4">
        <f t="shared" si="0"/>
        <v>8847.3150604076727</v>
      </c>
      <c r="L64">
        <f t="shared" si="1"/>
        <v>0.13603999999999999</v>
      </c>
      <c r="M64">
        <f t="shared" si="2"/>
        <v>27.069309956849807</v>
      </c>
    </row>
    <row r="65" spans="1:13" x14ac:dyDescent="0.25">
      <c r="A65">
        <v>8990.0139999999992</v>
      </c>
      <c r="B65">
        <v>0.13245999999999999</v>
      </c>
      <c r="C65">
        <v>28.716000000000001</v>
      </c>
      <c r="K65" s="4">
        <f t="shared" si="0"/>
        <v>8990.0136900291072</v>
      </c>
      <c r="L65">
        <f t="shared" si="1"/>
        <v>0.13245999999999999</v>
      </c>
      <c r="M65">
        <f t="shared" si="2"/>
        <v>26.356959694827442</v>
      </c>
    </row>
    <row r="66" spans="1:13" x14ac:dyDescent="0.25">
      <c r="A66">
        <v>9132.7119999999995</v>
      </c>
      <c r="B66">
        <v>0.12887999999999999</v>
      </c>
      <c r="C66">
        <v>28.041</v>
      </c>
      <c r="K66" s="4">
        <f t="shared" si="0"/>
        <v>9132.7123196505399</v>
      </c>
      <c r="L66">
        <f t="shared" si="1"/>
        <v>0.12887999999999999</v>
      </c>
      <c r="M66">
        <f t="shared" si="2"/>
        <v>25.64460943280508</v>
      </c>
    </row>
    <row r="67" spans="1:13" x14ac:dyDescent="0.25">
      <c r="A67">
        <v>9275.4110000000001</v>
      </c>
      <c r="B67">
        <v>0.12529999999999999</v>
      </c>
      <c r="C67">
        <v>27.367000000000001</v>
      </c>
      <c r="K67" s="4">
        <f t="shared" ref="K67:K83" si="3">($E$2-M67*$H$2)/$F$2</f>
        <v>9275.4109492719726</v>
      </c>
      <c r="L67">
        <f t="shared" ref="L67:L83" si="4">B67</f>
        <v>0.12529999999999999</v>
      </c>
      <c r="M67">
        <f t="shared" ref="M67:M102" si="5">$G$2*L67</f>
        <v>24.932259170782714</v>
      </c>
    </row>
    <row r="68" spans="1:13" x14ac:dyDescent="0.25">
      <c r="A68">
        <v>9418.11</v>
      </c>
      <c r="B68">
        <v>0.12171999999999999</v>
      </c>
      <c r="C68">
        <v>26.692</v>
      </c>
      <c r="K68" s="4">
        <f t="shared" si="3"/>
        <v>9418.1095788934053</v>
      </c>
      <c r="L68">
        <f t="shared" si="4"/>
        <v>0.12171999999999999</v>
      </c>
      <c r="M68">
        <f t="shared" si="5"/>
        <v>24.219908908760353</v>
      </c>
    </row>
    <row r="69" spans="1:13" x14ac:dyDescent="0.25">
      <c r="A69">
        <v>9560.8080000000009</v>
      </c>
      <c r="B69">
        <v>0.11814</v>
      </c>
      <c r="C69">
        <v>26.016999999999999</v>
      </c>
      <c r="K69" s="4">
        <f t="shared" si="3"/>
        <v>9560.808208514838</v>
      </c>
      <c r="L69">
        <f t="shared" si="4"/>
        <v>0.11814</v>
      </c>
      <c r="M69">
        <f t="shared" si="5"/>
        <v>23.507558646737991</v>
      </c>
    </row>
    <row r="70" spans="1:13" x14ac:dyDescent="0.25">
      <c r="A70">
        <v>9703.5069999999996</v>
      </c>
      <c r="B70">
        <v>0.11456</v>
      </c>
      <c r="C70">
        <v>25.341999999999999</v>
      </c>
      <c r="K70" s="4">
        <f t="shared" si="3"/>
        <v>9703.5068381362726</v>
      </c>
      <c r="L70">
        <f t="shared" si="4"/>
        <v>0.11456</v>
      </c>
      <c r="M70">
        <f t="shared" si="5"/>
        <v>22.795208384715625</v>
      </c>
    </row>
    <row r="71" spans="1:13" x14ac:dyDescent="0.25">
      <c r="A71">
        <v>9846.2049999999999</v>
      </c>
      <c r="B71">
        <v>0.11098</v>
      </c>
      <c r="C71">
        <v>24.667000000000002</v>
      </c>
      <c r="K71" s="4">
        <f t="shared" si="3"/>
        <v>9846.2054677577053</v>
      </c>
      <c r="L71">
        <f t="shared" si="4"/>
        <v>0.11098</v>
      </c>
      <c r="M71">
        <f t="shared" si="5"/>
        <v>22.082858122693263</v>
      </c>
    </row>
    <row r="72" spans="1:13" x14ac:dyDescent="0.25">
      <c r="A72">
        <v>9988.9040000000005</v>
      </c>
      <c r="B72">
        <v>0.1074</v>
      </c>
      <c r="C72">
        <v>23.992000000000001</v>
      </c>
      <c r="K72" s="4">
        <f t="shared" si="3"/>
        <v>9988.9040973791361</v>
      </c>
      <c r="L72">
        <f t="shared" si="4"/>
        <v>0.1074</v>
      </c>
      <c r="M72">
        <f t="shared" si="5"/>
        <v>21.370507860670898</v>
      </c>
    </row>
    <row r="73" spans="1:13" x14ac:dyDescent="0.25">
      <c r="A73">
        <v>10131.602999999999</v>
      </c>
      <c r="B73">
        <v>0.10382</v>
      </c>
      <c r="C73">
        <v>23.317</v>
      </c>
      <c r="K73" s="4">
        <f t="shared" si="3"/>
        <v>10131.602727000571</v>
      </c>
      <c r="L73">
        <f t="shared" si="4"/>
        <v>0.10382</v>
      </c>
      <c r="M73">
        <f t="shared" si="5"/>
        <v>20.658157598648536</v>
      </c>
    </row>
    <row r="74" spans="1:13" x14ac:dyDescent="0.25">
      <c r="A74">
        <v>10274.300999999999</v>
      </c>
      <c r="B74">
        <v>0.10024</v>
      </c>
      <c r="C74">
        <v>22.641999999999999</v>
      </c>
      <c r="K74" s="4">
        <f t="shared" si="3"/>
        <v>10274.301356622003</v>
      </c>
      <c r="L74">
        <f t="shared" si="4"/>
        <v>0.10024</v>
      </c>
      <c r="M74">
        <f t="shared" si="5"/>
        <v>19.945807336626174</v>
      </c>
    </row>
    <row r="75" spans="1:13" x14ac:dyDescent="0.25">
      <c r="A75">
        <v>10417</v>
      </c>
      <c r="B75">
        <v>9.6659999999999996E-2</v>
      </c>
      <c r="C75">
        <v>21.966999999999999</v>
      </c>
      <c r="K75" s="4">
        <f t="shared" si="3"/>
        <v>10416.999986243438</v>
      </c>
      <c r="L75">
        <f t="shared" si="4"/>
        <v>9.6659999999999996E-2</v>
      </c>
      <c r="M75">
        <f t="shared" si="5"/>
        <v>19.233457074603809</v>
      </c>
    </row>
    <row r="76" spans="1:13" x14ac:dyDescent="0.25">
      <c r="A76">
        <v>10559.699000000001</v>
      </c>
      <c r="B76">
        <v>9.3079999999999996E-2</v>
      </c>
      <c r="C76">
        <v>21.292000000000002</v>
      </c>
      <c r="K76" s="4">
        <f t="shared" si="3"/>
        <v>10559.698615864871</v>
      </c>
      <c r="L76">
        <f t="shared" si="4"/>
        <v>9.3079999999999996E-2</v>
      </c>
      <c r="M76">
        <f t="shared" si="5"/>
        <v>18.521106812581447</v>
      </c>
    </row>
    <row r="77" spans="1:13" x14ac:dyDescent="0.25">
      <c r="A77">
        <v>10702.397000000001</v>
      </c>
      <c r="B77">
        <v>8.9499999999999996E-2</v>
      </c>
      <c r="C77">
        <v>20.617999999999999</v>
      </c>
      <c r="K77" s="4">
        <f t="shared" si="3"/>
        <v>10702.397245486303</v>
      </c>
      <c r="L77">
        <f t="shared" si="4"/>
        <v>8.9499999999999996E-2</v>
      </c>
      <c r="M77">
        <f t="shared" si="5"/>
        <v>17.808756550559082</v>
      </c>
    </row>
    <row r="78" spans="1:13" x14ac:dyDescent="0.25">
      <c r="A78">
        <v>10845.096</v>
      </c>
      <c r="B78">
        <v>8.5919999999999996E-2</v>
      </c>
      <c r="C78">
        <v>19.943000000000001</v>
      </c>
      <c r="K78" s="4">
        <f t="shared" si="3"/>
        <v>10845.095875107736</v>
      </c>
      <c r="L78">
        <f t="shared" si="4"/>
        <v>8.5919999999999996E-2</v>
      </c>
      <c r="M78">
        <f t="shared" si="5"/>
        <v>17.09640628853672</v>
      </c>
    </row>
    <row r="79" spans="1:13" x14ac:dyDescent="0.25">
      <c r="A79">
        <v>10987.795</v>
      </c>
      <c r="B79">
        <v>8.2339999999999997E-2</v>
      </c>
      <c r="C79">
        <v>19.268000000000001</v>
      </c>
      <c r="K79" s="4">
        <f t="shared" si="3"/>
        <v>10987.794504729171</v>
      </c>
      <c r="L79">
        <f t="shared" si="4"/>
        <v>8.2339999999999997E-2</v>
      </c>
      <c r="M79">
        <f t="shared" si="5"/>
        <v>16.384056026514354</v>
      </c>
    </row>
    <row r="80" spans="1:13" x14ac:dyDescent="0.25">
      <c r="A80">
        <v>11130.493</v>
      </c>
      <c r="B80">
        <v>7.8759999999999997E-2</v>
      </c>
      <c r="C80">
        <v>18.593</v>
      </c>
      <c r="K80" s="4">
        <f t="shared" si="3"/>
        <v>11130.493134350603</v>
      </c>
      <c r="L80">
        <f t="shared" si="4"/>
        <v>7.8759999999999997E-2</v>
      </c>
      <c r="M80">
        <f t="shared" si="5"/>
        <v>15.671705764491993</v>
      </c>
    </row>
    <row r="81" spans="1:13" x14ac:dyDescent="0.25">
      <c r="A81">
        <v>11273.191999999999</v>
      </c>
      <c r="B81">
        <v>7.5179999999999997E-2</v>
      </c>
      <c r="C81">
        <v>17.917999999999999</v>
      </c>
      <c r="K81" s="4">
        <f t="shared" si="3"/>
        <v>11273.191763972034</v>
      </c>
      <c r="L81">
        <f t="shared" si="4"/>
        <v>7.5179999999999997E-2</v>
      </c>
      <c r="M81">
        <f t="shared" si="5"/>
        <v>14.959355502469629</v>
      </c>
    </row>
    <row r="82" spans="1:13" x14ac:dyDescent="0.25">
      <c r="A82">
        <v>11415.89</v>
      </c>
      <c r="B82">
        <v>7.1599999999999997E-2</v>
      </c>
      <c r="C82">
        <v>17.242999999999999</v>
      </c>
      <c r="K82" s="4">
        <f t="shared" si="3"/>
        <v>11415.890393593469</v>
      </c>
      <c r="L82">
        <f t="shared" si="4"/>
        <v>7.1599999999999997E-2</v>
      </c>
      <c r="M82">
        <f t="shared" si="5"/>
        <v>14.247005240447265</v>
      </c>
    </row>
    <row r="83" spans="1:13" x14ac:dyDescent="0.25">
      <c r="A83">
        <v>11558.589</v>
      </c>
      <c r="B83">
        <v>6.8019999999999997E-2</v>
      </c>
      <c r="C83">
        <v>16.568000000000001</v>
      </c>
      <c r="K83" s="4">
        <f t="shared" si="3"/>
        <v>11558.589023214901</v>
      </c>
      <c r="L83">
        <f t="shared" si="4"/>
        <v>6.8019999999999997E-2</v>
      </c>
      <c r="M83">
        <f t="shared" si="5"/>
        <v>13.534654978424904</v>
      </c>
    </row>
    <row r="84" spans="1:13" x14ac:dyDescent="0.25">
      <c r="A84">
        <v>11701.288</v>
      </c>
      <c r="B84">
        <v>6.4439999999999997E-2</v>
      </c>
      <c r="C84">
        <v>15.893000000000001</v>
      </c>
      <c r="K84" s="4">
        <f t="shared" ref="K84:K102" si="6">($E$2-M84*$H$2)/$F$2</f>
        <v>11701.287652836334</v>
      </c>
      <c r="L84">
        <f t="shared" ref="L84:L102" si="7">B84</f>
        <v>6.4439999999999997E-2</v>
      </c>
      <c r="M84">
        <f t="shared" si="5"/>
        <v>12.82230471640254</v>
      </c>
    </row>
    <row r="85" spans="1:13" x14ac:dyDescent="0.25">
      <c r="A85">
        <v>11843.986000000001</v>
      </c>
      <c r="B85">
        <v>6.0859999999999997E-2</v>
      </c>
      <c r="C85">
        <v>15.218</v>
      </c>
      <c r="K85" s="4">
        <f t="shared" si="6"/>
        <v>11843.986282457767</v>
      </c>
      <c r="L85">
        <f t="shared" si="7"/>
        <v>6.0859999999999997E-2</v>
      </c>
      <c r="M85">
        <f t="shared" si="5"/>
        <v>12.109954454380176</v>
      </c>
    </row>
    <row r="86" spans="1:13" x14ac:dyDescent="0.25">
      <c r="A86">
        <v>11986.684999999999</v>
      </c>
      <c r="B86">
        <v>5.7279999999999998E-2</v>
      </c>
      <c r="C86">
        <v>14.542999999999999</v>
      </c>
      <c r="K86" s="4">
        <f t="shared" si="6"/>
        <v>11986.684912079201</v>
      </c>
      <c r="L86">
        <f t="shared" si="7"/>
        <v>5.7279999999999998E-2</v>
      </c>
      <c r="M86">
        <f t="shared" si="5"/>
        <v>11.397604192357813</v>
      </c>
    </row>
    <row r="87" spans="1:13" x14ac:dyDescent="0.25">
      <c r="A87">
        <v>12129.384</v>
      </c>
      <c r="B87">
        <v>5.3699999999999998E-2</v>
      </c>
      <c r="C87">
        <v>13.869</v>
      </c>
      <c r="K87" s="4">
        <f t="shared" si="6"/>
        <v>12129.383541700634</v>
      </c>
      <c r="L87">
        <f t="shared" si="7"/>
        <v>5.3699999999999998E-2</v>
      </c>
      <c r="M87">
        <f t="shared" si="5"/>
        <v>10.685253930335449</v>
      </c>
    </row>
    <row r="88" spans="1:13" x14ac:dyDescent="0.25">
      <c r="A88">
        <v>12272.082</v>
      </c>
      <c r="B88">
        <v>5.0119999999999998E-2</v>
      </c>
      <c r="C88">
        <v>13.194000000000001</v>
      </c>
      <c r="K88" s="4">
        <f t="shared" si="6"/>
        <v>12272.082171322068</v>
      </c>
      <c r="L88">
        <f t="shared" si="7"/>
        <v>5.0119999999999998E-2</v>
      </c>
      <c r="M88">
        <f t="shared" si="5"/>
        <v>9.9729036683130872</v>
      </c>
    </row>
    <row r="89" spans="1:13" x14ac:dyDescent="0.25">
      <c r="A89">
        <v>12414.781000000001</v>
      </c>
      <c r="B89">
        <v>4.6539999999999998E-2</v>
      </c>
      <c r="C89">
        <v>12.519</v>
      </c>
      <c r="K89" s="4">
        <f t="shared" si="6"/>
        <v>12414.780800943501</v>
      </c>
      <c r="L89">
        <f t="shared" si="7"/>
        <v>4.6539999999999998E-2</v>
      </c>
      <c r="M89">
        <f t="shared" si="5"/>
        <v>9.2605534062907235</v>
      </c>
    </row>
    <row r="90" spans="1:13" x14ac:dyDescent="0.25">
      <c r="A90">
        <v>12557.478999999999</v>
      </c>
      <c r="B90">
        <v>4.2959999999999998E-2</v>
      </c>
      <c r="C90">
        <v>11.843999999999999</v>
      </c>
      <c r="K90" s="4">
        <f t="shared" si="6"/>
        <v>12557.479430564932</v>
      </c>
      <c r="L90">
        <f t="shared" si="7"/>
        <v>4.2959999999999998E-2</v>
      </c>
      <c r="M90">
        <f t="shared" si="5"/>
        <v>8.5482031442683599</v>
      </c>
    </row>
    <row r="91" spans="1:13" x14ac:dyDescent="0.25">
      <c r="A91">
        <v>12700.178</v>
      </c>
      <c r="B91">
        <v>3.9379999999999998E-2</v>
      </c>
      <c r="C91">
        <v>11.169</v>
      </c>
      <c r="K91" s="4">
        <f t="shared" si="6"/>
        <v>12700.178060186365</v>
      </c>
      <c r="L91">
        <f t="shared" si="7"/>
        <v>3.9379999999999998E-2</v>
      </c>
      <c r="M91">
        <f t="shared" si="5"/>
        <v>7.8358528822459963</v>
      </c>
    </row>
    <row r="92" spans="1:13" x14ac:dyDescent="0.25">
      <c r="A92">
        <v>12842.877</v>
      </c>
      <c r="B92">
        <v>3.5799999999999998E-2</v>
      </c>
      <c r="C92">
        <v>10.494</v>
      </c>
      <c r="K92" s="4">
        <f t="shared" si="6"/>
        <v>12842.876689807799</v>
      </c>
      <c r="L92">
        <f t="shared" si="7"/>
        <v>3.5799999999999998E-2</v>
      </c>
      <c r="M92">
        <f t="shared" si="5"/>
        <v>7.1235026202236327</v>
      </c>
    </row>
    <row r="93" spans="1:13" x14ac:dyDescent="0.25">
      <c r="A93">
        <v>12985.575000000001</v>
      </c>
      <c r="B93">
        <v>3.2219999999999999E-2</v>
      </c>
      <c r="C93">
        <v>9.8190000000000008</v>
      </c>
      <c r="K93" s="4">
        <f t="shared" si="6"/>
        <v>12985.575319429232</v>
      </c>
      <c r="L93">
        <f t="shared" si="7"/>
        <v>3.2219999999999999E-2</v>
      </c>
      <c r="M93">
        <f t="shared" si="5"/>
        <v>6.4111523582012699</v>
      </c>
    </row>
    <row r="94" spans="1:13" x14ac:dyDescent="0.25">
      <c r="A94">
        <v>13128.273999999999</v>
      </c>
      <c r="B94">
        <v>2.8639999999999999E-2</v>
      </c>
      <c r="C94">
        <v>9.1440000000000001</v>
      </c>
      <c r="K94" s="4">
        <f t="shared" si="6"/>
        <v>13128.273949050665</v>
      </c>
      <c r="L94">
        <f t="shared" si="7"/>
        <v>2.8639999999999999E-2</v>
      </c>
      <c r="M94">
        <f t="shared" si="5"/>
        <v>5.6988020961789063</v>
      </c>
    </row>
    <row r="95" spans="1:13" x14ac:dyDescent="0.25">
      <c r="A95">
        <v>13270.973</v>
      </c>
      <c r="B95">
        <v>2.5059999999999999E-2</v>
      </c>
      <c r="C95">
        <v>8.4689999999999994</v>
      </c>
      <c r="K95" s="4">
        <f t="shared" si="6"/>
        <v>13270.972578672099</v>
      </c>
      <c r="L95">
        <f t="shared" si="7"/>
        <v>2.5059999999999999E-2</v>
      </c>
      <c r="M95">
        <f t="shared" si="5"/>
        <v>4.9864518341565436</v>
      </c>
    </row>
    <row r="96" spans="1:13" x14ac:dyDescent="0.25">
      <c r="A96">
        <v>13413.671</v>
      </c>
      <c r="B96">
        <v>2.1479999999999999E-2</v>
      </c>
      <c r="C96">
        <v>7.7939999999999996</v>
      </c>
      <c r="K96" s="4">
        <f t="shared" si="6"/>
        <v>13413.671208293532</v>
      </c>
      <c r="L96">
        <f t="shared" si="7"/>
        <v>2.1479999999999999E-2</v>
      </c>
      <c r="M96">
        <f t="shared" si="5"/>
        <v>4.27410157213418</v>
      </c>
    </row>
    <row r="97" spans="1:13" x14ac:dyDescent="0.25">
      <c r="A97">
        <v>13556.37</v>
      </c>
      <c r="B97">
        <v>1.7899999999999999E-2</v>
      </c>
      <c r="C97">
        <v>7.12</v>
      </c>
      <c r="K97" s="4">
        <f t="shared" si="6"/>
        <v>13556.369837914965</v>
      </c>
      <c r="L97">
        <f t="shared" si="7"/>
        <v>1.7899999999999999E-2</v>
      </c>
      <c r="M97">
        <f t="shared" si="5"/>
        <v>3.5617513101118163</v>
      </c>
    </row>
    <row r="98" spans="1:13" x14ac:dyDescent="0.25">
      <c r="A98">
        <v>13699.067999999999</v>
      </c>
      <c r="B98">
        <v>1.4319999999999999E-2</v>
      </c>
      <c r="C98">
        <v>6.4450000000000003</v>
      </c>
      <c r="K98" s="4">
        <f t="shared" si="6"/>
        <v>13699.068467536399</v>
      </c>
      <c r="L98">
        <f t="shared" si="7"/>
        <v>1.4319999999999999E-2</v>
      </c>
      <c r="M98">
        <f t="shared" si="5"/>
        <v>2.8494010480894532</v>
      </c>
    </row>
    <row r="99" spans="1:13" x14ac:dyDescent="0.25">
      <c r="A99">
        <v>13841.767</v>
      </c>
      <c r="B99">
        <v>1.074E-2</v>
      </c>
      <c r="C99">
        <v>5.77</v>
      </c>
      <c r="K99" s="4">
        <f t="shared" si="6"/>
        <v>13841.76709715783</v>
      </c>
      <c r="L99">
        <f t="shared" si="7"/>
        <v>1.074E-2</v>
      </c>
      <c r="M99">
        <f t="shared" si="5"/>
        <v>2.13705078606709</v>
      </c>
    </row>
    <row r="100" spans="1:13" x14ac:dyDescent="0.25">
      <c r="A100">
        <v>13984.466</v>
      </c>
      <c r="B100">
        <v>7.1599999999999997E-3</v>
      </c>
      <c r="C100">
        <v>5.0949999999999998</v>
      </c>
      <c r="K100" s="4">
        <f t="shared" si="6"/>
        <v>13984.465726779263</v>
      </c>
      <c r="L100">
        <f t="shared" si="7"/>
        <v>7.1599999999999997E-3</v>
      </c>
      <c r="M100">
        <f t="shared" si="5"/>
        <v>1.4247005240447266</v>
      </c>
    </row>
    <row r="101" spans="1:13" x14ac:dyDescent="0.25">
      <c r="A101">
        <v>14127.164000000001</v>
      </c>
      <c r="B101">
        <v>3.5799999999999998E-3</v>
      </c>
      <c r="C101">
        <v>4.42</v>
      </c>
      <c r="K101" s="4">
        <f t="shared" si="6"/>
        <v>14127.164356400697</v>
      </c>
      <c r="L101">
        <f t="shared" si="7"/>
        <v>3.5799999999999998E-3</v>
      </c>
      <c r="M101">
        <f t="shared" si="5"/>
        <v>0.71235026202236329</v>
      </c>
    </row>
    <row r="102" spans="1:13" x14ac:dyDescent="0.25">
      <c r="A102">
        <v>14269.862999999999</v>
      </c>
      <c r="B102">
        <v>0</v>
      </c>
      <c r="C102">
        <v>3.7450000000000001</v>
      </c>
      <c r="K102" s="4">
        <f t="shared" si="6"/>
        <v>14269.86298602213</v>
      </c>
      <c r="L102">
        <f t="shared" si="7"/>
        <v>0</v>
      </c>
      <c r="M102">
        <f t="shared" si="5"/>
        <v>0</v>
      </c>
    </row>
  </sheetData>
  <mergeCells count="2">
    <mergeCell ref="H3:J3"/>
    <mergeCell ref="H4:J6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topLeftCell="A5" workbookViewId="0">
      <selection sqref="A1:G42"/>
    </sheetView>
  </sheetViews>
  <sheetFormatPr defaultRowHeight="15" x14ac:dyDescent="0.25"/>
  <cols>
    <col min="1" max="1" width="17.28515625" bestFit="1" customWidth="1"/>
    <col min="2" max="2" width="59.85546875" bestFit="1" customWidth="1"/>
    <col min="3" max="3" width="13.7109375" bestFit="1" customWidth="1"/>
    <col min="4" max="4" width="11" customWidth="1"/>
    <col min="5" max="5" width="63.140625" bestFit="1" customWidth="1"/>
    <col min="6" max="6" width="8.7109375" bestFit="1" customWidth="1"/>
    <col min="7" max="7" width="9.7109375" bestFit="1" customWidth="1"/>
  </cols>
  <sheetData>
    <row r="1" spans="1:7" x14ac:dyDescent="0.25">
      <c r="A1" t="s">
        <v>41</v>
      </c>
      <c r="B1" t="s">
        <v>64</v>
      </c>
      <c r="C1" t="s">
        <v>42</v>
      </c>
      <c r="E1" s="7" t="s">
        <v>1</v>
      </c>
      <c r="F1" t="s">
        <v>66</v>
      </c>
      <c r="G1" t="s">
        <v>44</v>
      </c>
    </row>
    <row r="2" spans="1:7" x14ac:dyDescent="0.25">
      <c r="A2" t="str">
        <f>IF(OR(ISBLANK(Analysis[[#This Row],[ItemID]]), Analysis[[#This Row],[ItemID]]="", Analysis[[#This Row],[ItemID]]=0), "", Analysis[[#This Row],[ItemID]])</f>
        <v/>
      </c>
      <c r="B2" t="str">
        <f>IF(OR(ISBLANK(Costs[[#This Row],[Item]]), Costs[[#This Row],[Item]]="", Costs[[#This Row],[Item]]=0), "", VLOOKUP(Costs[[#This Row],[Item]], Items[], COLUMN(Items[Name])-COLUMN(Items[])+1, FALSE))</f>
        <v/>
      </c>
      <c r="C2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2" s="8" t="s">
        <v>11</v>
      </c>
      <c r="F2" s="1">
        <v>6</v>
      </c>
      <c r="G2" s="3">
        <v>43.5</v>
      </c>
    </row>
    <row r="3" spans="1:7" x14ac:dyDescent="0.25">
      <c r="A3" t="str">
        <f>IF(OR(ISBLANK(Analysis[[#This Row],[ItemID]]), Analysis[[#This Row],[ItemID]]="", Analysis[[#This Row],[ItemID]]=0), "", Analysis[[#This Row],[ItemID]])</f>
        <v>Primary Battery Pack</v>
      </c>
      <c r="B3" t="str">
        <f>IF(OR(ISBLANK(Costs[[#This Row],[Item]]), Costs[[#This Row],[Item]]="", Costs[[#This Row],[Item]]=0), "", VLOOKUP(Costs[[#This Row],[Item]], Items[], COLUMN(Items[Name])-COLUMN(Items[])+1, FALSE))</f>
        <v>22.2 V Lithuim Polymer Battery back</v>
      </c>
      <c r="C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254</v>
      </c>
      <c r="E3" s="8" t="s">
        <v>29</v>
      </c>
      <c r="F3" s="1">
        <v>1</v>
      </c>
      <c r="G3" s="3">
        <v>30</v>
      </c>
    </row>
    <row r="4" spans="1:7" x14ac:dyDescent="0.25">
      <c r="A4" t="str">
        <f>IF(OR(ISBLANK(Analysis[[#This Row],[ItemID]]), Analysis[[#This Row],[ItemID]]="", Analysis[[#This Row],[ItemID]]=0), "", Analysis[[#This Row],[ItemID]])</f>
        <v>E-Box Battery</v>
      </c>
      <c r="B4" t="str">
        <f>IF(OR(ISBLANK(Costs[[#This Row],[Item]]), Costs[[#This Row],[Item]]="", Costs[[#This Row],[Item]]=0), "", VLOOKUP(Costs[[#This Row],[Item]], Items[], COLUMN(Items[Name])-COLUMN(Items[])+1, FALSE))</f>
        <v>22.2 V Lithuim Polymer Battery back</v>
      </c>
      <c r="C4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4" s="8" t="s">
        <v>67</v>
      </c>
      <c r="F4" s="1">
        <v>2</v>
      </c>
      <c r="G4" s="3">
        <v>16.96</v>
      </c>
    </row>
    <row r="5" spans="1:7" x14ac:dyDescent="0.25">
      <c r="A5" t="str">
        <f>IF(OR(ISBLANK(Analysis[[#This Row],[ItemID]]), Analysis[[#This Row],[ItemID]]="", Analysis[[#This Row],[ItemID]]=0), "", Analysis[[#This Row],[ItemID]])</f>
        <v>Logic Supply</v>
      </c>
      <c r="B5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5" s="8" t="s">
        <v>79</v>
      </c>
      <c r="F5" s="1">
        <v>1</v>
      </c>
      <c r="G5" s="3">
        <v>180</v>
      </c>
    </row>
    <row r="6" spans="1:7" x14ac:dyDescent="0.25">
      <c r="A6" t="str">
        <f>IF(OR(ISBLANK(Analysis[[#This Row],[ItemID]]), Analysis[[#This Row],[ItemID]]="", Analysis[[#This Row],[ItemID]]=0), "", Analysis[[#This Row],[ItemID]])</f>
        <v>Network Power</v>
      </c>
      <c r="B6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6" s="8" t="s">
        <v>72</v>
      </c>
      <c r="F6" s="1">
        <v>2</v>
      </c>
      <c r="G6" s="3">
        <v>32</v>
      </c>
    </row>
    <row r="7" spans="1:7" x14ac:dyDescent="0.25">
      <c r="A7" t="str">
        <f>IF(OR(ISBLANK(Analysis[[#This Row],[ItemID]]), Analysis[[#This Row],[ItemID]]="", Analysis[[#This Row],[ItemID]]=0), "", Analysis[[#This Row],[ItemID]])</f>
        <v>Transceiver</v>
      </c>
      <c r="B7" t="str">
        <f>IF(OR(ISBLANK(Costs[[#This Row],[Item]]), Costs[[#This Row],[Item]]="", Costs[[#This Row],[Item]]=0), "", VLOOKUP(Costs[[#This Row],[Item]], Items[], COLUMN(Items[Name])-COLUMN(Items[])+1, FALSE))</f>
        <v>Ubiquity Rocket M5</v>
      </c>
      <c r="C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180</v>
      </c>
      <c r="E7" s="8" t="s">
        <v>89</v>
      </c>
      <c r="F7" s="1">
        <v>2</v>
      </c>
      <c r="G7" s="3">
        <v>0</v>
      </c>
    </row>
    <row r="8" spans="1:7" x14ac:dyDescent="0.25">
      <c r="A8" s="1" t="str">
        <f>IF(OR(ISBLANK(Analysis[[#This Row],[ItemID]]), Analysis[[#This Row],[ItemID]]="", Analysis[[#This Row],[ItemID]]=0), "", Analysis[[#This Row],[ItemID]])</f>
        <v>Network Switch</v>
      </c>
      <c r="B8" s="1" t="str">
        <f>IF(OR(ISBLANK(Costs[[#This Row],[Item]]), Costs[[#This Row],[Item]]="", Costs[[#This Row],[Item]]=0), "", VLOOKUP(Costs[[#This Row],[Item]], Items[], COLUMN(Items[Name])-COLUMN(Items[])+1, FALSE))</f>
        <v>16-Port network switch</v>
      </c>
      <c r="C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  <c r="E8" s="8" t="s">
        <v>73</v>
      </c>
      <c r="F8" s="1">
        <v>6</v>
      </c>
      <c r="G8" s="3">
        <v>540</v>
      </c>
    </row>
    <row r="9" spans="1:7" x14ac:dyDescent="0.25">
      <c r="A9" s="1" t="str">
        <f>IF(OR(ISBLANK(Analysis[[#This Row],[ItemID]]), Analysis[[#This Row],[ItemID]]="", Analysis[[#This Row],[ItemID]]=0), "", Analysis[[#This Row],[ItemID]])</f>
        <v>Arm Power</v>
      </c>
      <c r="B9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  <c r="E9" s="8" t="s">
        <v>98</v>
      </c>
      <c r="F9" s="1">
        <v>1</v>
      </c>
      <c r="G9" s="3">
        <v>254</v>
      </c>
    </row>
    <row r="10" spans="1:7" x14ac:dyDescent="0.25">
      <c r="A10" s="1" t="str">
        <f>IF(OR(ISBLANK(Analysis[[#This Row],[ItemID]]), Analysis[[#This Row],[ItemID]]="", Analysis[[#This Row],[ItemID]]=0), "", Analysis[[#This Row],[ItemID]])</f>
        <v>Drivetrain Power</v>
      </c>
      <c r="B10" s="1" t="str">
        <f>IF(OR(ISBLANK(Costs[[#This Row],[Item]]), Costs[[#This Row],[Item]]="", Costs[[#This Row],[Item]]=0), "", VLOOKUP(Costs[[#This Row],[Item]], Items[], COLUMN(Items[Name])-COLUMN(Items[])+1, FALSE))</f>
        <v>Virtual Node for system isolation</v>
      </c>
      <c r="C1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0</v>
      </c>
      <c r="E10" s="8" t="s">
        <v>99</v>
      </c>
      <c r="F10" s="1">
        <v>1</v>
      </c>
      <c r="G10" s="3">
        <v>0</v>
      </c>
    </row>
    <row r="11" spans="1:7" x14ac:dyDescent="0.25">
      <c r="A11" s="1" t="str">
        <f>IF(OR(ISBLANK(Analysis[[#This Row],[ItemID]]), Analysis[[#This Row],[ItemID]]="", Analysis[[#This Row],[ItemID]]=0), "", Analysis[[#This Row],[ItemID]])</f>
        <v>FrontRight ESC</v>
      </c>
      <c r="B11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  <c r="E11" s="8" t="s">
        <v>95</v>
      </c>
      <c r="F11" s="1">
        <v>8</v>
      </c>
      <c r="G11" s="3">
        <v>144</v>
      </c>
    </row>
    <row r="12" spans="1:7" x14ac:dyDescent="0.25">
      <c r="A12" s="1" t="str">
        <f>IF(OR(ISBLANK(Analysis[[#This Row],[ItemID]]), Analysis[[#This Row],[ItemID]]="", Analysis[[#This Row],[ItemID]]=0), "", Analysis[[#This Row],[ItemID]])</f>
        <v>FrontRight Motor</v>
      </c>
      <c r="B12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  <c r="E12" s="8" t="s">
        <v>114</v>
      </c>
      <c r="F12" s="1">
        <v>3</v>
      </c>
      <c r="G12" s="3">
        <v>60</v>
      </c>
    </row>
    <row r="13" spans="1:7" x14ac:dyDescent="0.25">
      <c r="A13" s="1" t="str">
        <f>IF(OR(ISBLANK(Analysis[[#This Row],[ItemID]]), Analysis[[#This Row],[ItemID]]="", Analysis[[#This Row],[ItemID]]=0), "", Analysis[[#This Row],[ItemID]])</f>
        <v>MidRight ESC</v>
      </c>
      <c r="B13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  <c r="E13" s="8" t="s">
        <v>119</v>
      </c>
      <c r="F13" s="1">
        <v>1</v>
      </c>
      <c r="G13" s="3">
        <v>60</v>
      </c>
    </row>
    <row r="14" spans="1:7" x14ac:dyDescent="0.25">
      <c r="A14" s="1" t="str">
        <f>IF(OR(ISBLANK(Analysis[[#This Row],[ItemID]]), Analysis[[#This Row],[ItemID]]="", Analysis[[#This Row],[ItemID]]=0), "", Analysis[[#This Row],[ItemID]])</f>
        <v>MidRight Motor</v>
      </c>
      <c r="B14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  <c r="E14" s="8" t="s">
        <v>43</v>
      </c>
      <c r="F14" s="1">
        <v>34</v>
      </c>
      <c r="G14" s="3">
        <v>1360.46</v>
      </c>
    </row>
    <row r="15" spans="1:7" x14ac:dyDescent="0.25">
      <c r="A15" s="1" t="str">
        <f>IF(OR(ISBLANK(Analysis[[#This Row],[ItemID]]), Analysis[[#This Row],[ItemID]]="", Analysis[[#This Row],[ItemID]]=0), "", Analysis[[#This Row],[ItemID]])</f>
        <v>BackRight ESC</v>
      </c>
      <c r="B15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6" spans="1:7" x14ac:dyDescent="0.25">
      <c r="A16" s="1" t="str">
        <f>IF(OR(ISBLANK(Analysis[[#This Row],[ItemID]]), Analysis[[#This Row],[ItemID]]="", Analysis[[#This Row],[ItemID]]=0), "", Analysis[[#This Row],[ItemID]])</f>
        <v>BackRight Motor</v>
      </c>
      <c r="B16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7" spans="1:3" x14ac:dyDescent="0.25">
      <c r="A17" s="1" t="str">
        <f>IF(OR(ISBLANK(Analysis[[#This Row],[ItemID]]), Analysis[[#This Row],[ItemID]]="", Analysis[[#This Row],[ItemID]]=0), "", Analysis[[#This Row],[ItemID]])</f>
        <v>FrontLeft ESC</v>
      </c>
      <c r="B17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8" spans="1:3" x14ac:dyDescent="0.25">
      <c r="A18" s="1" t="str">
        <f>IF(OR(ISBLANK(Analysis[[#This Row],[ItemID]]), Analysis[[#This Row],[ItemID]]="", Analysis[[#This Row],[ItemID]]=0), "", Analysis[[#This Row],[ItemID]])</f>
        <v>FrontLeft Motor</v>
      </c>
      <c r="B18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9" spans="1:3" x14ac:dyDescent="0.25">
      <c r="A19" s="1" t="str">
        <f>IF(OR(ISBLANK(Analysis[[#This Row],[ItemID]]), Analysis[[#This Row],[ItemID]]="", Analysis[[#This Row],[ItemID]]=0), "", Analysis[[#This Row],[ItemID]])</f>
        <v>MidLeft ESC</v>
      </c>
      <c r="B19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0" spans="1:3" x14ac:dyDescent="0.25">
      <c r="A20" s="1" t="str">
        <f>IF(OR(ISBLANK(Analysis[[#This Row],[ItemID]]), Analysis[[#This Row],[ItemID]]="", Analysis[[#This Row],[ItemID]]=0), "", Analysis[[#This Row],[ItemID]])</f>
        <v>MidLeft Motor</v>
      </c>
      <c r="B20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1" spans="1:3" x14ac:dyDescent="0.25">
      <c r="A21" s="1" t="str">
        <f>IF(OR(ISBLANK(Analysis[[#This Row],[ItemID]]), Analysis[[#This Row],[ItemID]]="", Analysis[[#This Row],[ItemID]]=0), "", Analysis[[#This Row],[ItemID]])</f>
        <v>BackLeft ESC</v>
      </c>
      <c r="B21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2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2" spans="1:3" x14ac:dyDescent="0.25">
      <c r="A22" s="1" t="str">
        <f>IF(OR(ISBLANK(Analysis[[#This Row],[ItemID]]), Analysis[[#This Row],[ItemID]]="", Analysis[[#This Row],[ItemID]]=0), "", Analysis[[#This Row],[ItemID]])</f>
        <v>BackLeft Motor</v>
      </c>
      <c r="B22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3" spans="1:3" x14ac:dyDescent="0.25">
      <c r="A23" s="1" t="str">
        <f>IF(OR(ISBLANK(Analysis[[#This Row],[ItemID]]), Analysis[[#This Row],[ItemID]]="", Analysis[[#This Row],[ItemID]]=0), "", Analysis[[#This Row],[ItemID]])</f>
        <v>Cooling Fans Power</v>
      </c>
      <c r="B23" s="1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2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</row>
    <row r="24" spans="1:3" x14ac:dyDescent="0.25">
      <c r="A24" s="1" t="str">
        <f>IF(OR(ISBLANK(Analysis[[#This Row],[ItemID]]), Analysis[[#This Row],[ItemID]]="", Analysis[[#This Row],[ItemID]]=0), "", Analysis[[#This Row],[ItemID]])</f>
        <v>Colling Fan 1</v>
      </c>
      <c r="B24" s="1" t="str">
        <f>IF(OR(ISBLANK(Costs[[#This Row],[Item]]), Costs[[#This Row],[Item]]="", Costs[[#This Row],[Item]]=0), "", VLOOKUP(Costs[[#This Row],[Item]], Items[], COLUMN(Items[Name])-COLUMN(Items[])+1, FALSE))</f>
        <v>???</v>
      </c>
      <c r="C2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25" spans="1:3" x14ac:dyDescent="0.25">
      <c r="A25" s="1" t="str">
        <f>IF(OR(ISBLANK(Analysis[[#This Row],[ItemID]]), Analysis[[#This Row],[ItemID]]="", Analysis[[#This Row],[ItemID]]=0), "", Analysis[[#This Row],[ItemID]])</f>
        <v>Colling Fan 2</v>
      </c>
      <c r="B25" s="1" t="str">
        <f>IF(OR(ISBLANK(Costs[[#This Row],[Item]]), Costs[[#This Row],[Item]]="", Costs[[#This Row],[Item]]=0), "", VLOOKUP(Costs[[#This Row],[Item]], Items[], COLUMN(Items[Name])-COLUMN(Items[])+1, FALSE))</f>
        <v>???</v>
      </c>
      <c r="C2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26" spans="1:3" x14ac:dyDescent="0.25">
      <c r="A26" s="1" t="str">
        <f>IF(OR(ISBLANK(Analysis[[#This Row],[ItemID]]), Analysis[[#This Row],[ItemID]]="", Analysis[[#This Row],[ItemID]]=0), "", Analysis[[#This Row],[ItemID]])</f>
        <v>Colling Fan 3</v>
      </c>
      <c r="B26" s="1" t="str">
        <f>IF(OR(ISBLANK(Costs[[#This Row],[Item]]), Costs[[#This Row],[Item]]="", Costs[[#This Row],[Item]]=0), "", VLOOKUP(Costs[[#This Row],[Item]], Items[], COLUMN(Items[Name])-COLUMN(Items[])+1, FALSE))</f>
        <v>???</v>
      </c>
      <c r="C2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27" spans="1:3" x14ac:dyDescent="0.25">
      <c r="A27" s="1" t="str">
        <f>IF(OR(ISBLANK(Analysis[[#This Row],[ItemID]]), Analysis[[#This Row],[ItemID]]="", Analysis[[#This Row],[ItemID]]=0), "", Analysis[[#This Row],[ItemID]])</f>
        <v>Colling Fan 4</v>
      </c>
      <c r="B27" s="1" t="str">
        <f>IF(OR(ISBLANK(Costs[[#This Row],[Item]]), Costs[[#This Row],[Item]]="", Costs[[#This Row],[Item]]=0), "", VLOOKUP(Costs[[#This Row],[Item]], Items[], COLUMN(Items[Name])-COLUMN(Items[])+1, FALSE))</f>
        <v>???</v>
      </c>
      <c r="C2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28" spans="1:3" x14ac:dyDescent="0.25">
      <c r="A28" s="1" t="str">
        <f>IF(OR(ISBLANK(Analysis[[#This Row],[ItemID]]), Analysis[[#This Row],[ItemID]]="", Analysis[[#This Row],[ItemID]]=0), "", Analysis[[#This Row],[ItemID]])</f>
        <v>Colling Fan 5</v>
      </c>
      <c r="B28" s="1" t="str">
        <f>IF(OR(ISBLANK(Costs[[#This Row],[Item]]), Costs[[#This Row],[Item]]="", Costs[[#This Row],[Item]]=0), "", VLOOKUP(Costs[[#This Row],[Item]], Items[], COLUMN(Items[Name])-COLUMN(Items[])+1, FALSE))</f>
        <v>???</v>
      </c>
      <c r="C2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29" spans="1:3" x14ac:dyDescent="0.25">
      <c r="A29" s="1" t="str">
        <f>IF(OR(ISBLANK(Analysis[[#This Row],[ItemID]]), Analysis[[#This Row],[ItemID]]="", Analysis[[#This Row],[ItemID]]=0), "", Analysis[[#This Row],[ItemID]])</f>
        <v>Colling Fan 6</v>
      </c>
      <c r="B29" s="1" t="str">
        <f>IF(OR(ISBLANK(Costs[[#This Row],[Item]]), Costs[[#This Row],[Item]]="", Costs[[#This Row],[Item]]=0), "", VLOOKUP(Costs[[#This Row],[Item]], Items[], COLUMN(Items[Name])-COLUMN(Items[])+1, FALSE))</f>
        <v>???</v>
      </c>
      <c r="C2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30" spans="1:3" x14ac:dyDescent="0.25">
      <c r="A30" s="1" t="str">
        <f>IF(OR(ISBLANK(Analysis[[#This Row],[ItemID]]), Analysis[[#This Row],[ItemID]]="", Analysis[[#This Row],[ItemID]]=0), "", Analysis[[#This Row],[ItemID]])</f>
        <v>Colling Fan 7</v>
      </c>
      <c r="B30" s="1" t="str">
        <f>IF(OR(ISBLANK(Costs[[#This Row],[Item]]), Costs[[#This Row],[Item]]="", Costs[[#This Row],[Item]]=0), "", VLOOKUP(Costs[[#This Row],[Item]], Items[], COLUMN(Items[Name])-COLUMN(Items[])+1, FALSE))</f>
        <v>???</v>
      </c>
      <c r="C3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31" spans="1:3" x14ac:dyDescent="0.25">
      <c r="A31" s="1" t="str">
        <f>IF(OR(ISBLANK(Analysis[[#This Row],[ItemID]]), Analysis[[#This Row],[ItemID]]="", Analysis[[#This Row],[ItemID]]=0), "", Analysis[[#This Row],[ItemID]])</f>
        <v>Colling Fan 8</v>
      </c>
      <c r="B31" s="1" t="str">
        <f>IF(OR(ISBLANK(Costs[[#This Row],[Item]]), Costs[[#This Row],[Item]]="", Costs[[#This Row],[Item]]=0), "", VLOOKUP(Costs[[#This Row],[Item]], Items[], COLUMN(Items[Name])-COLUMN(Items[])+1, FALSE))</f>
        <v>???</v>
      </c>
      <c r="C3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32" spans="1:3" x14ac:dyDescent="0.25">
      <c r="A32" s="1" t="str">
        <f>IF(OR(ISBLANK(Analysis[[#This Row],[ItemID]]), Analysis[[#This Row],[ItemID]]="", Analysis[[#This Row],[ItemID]]=0), "", Analysis[[#This Row],[ItemID]])</f>
        <v>Hazard Camera 1</v>
      </c>
      <c r="B32" s="1" t="str">
        <f>IF(OR(ISBLANK(Costs[[#This Row],[Item]]), Costs[[#This Row],[Item]]="", Costs[[#This Row],[Item]]=0), "", VLOOKUP(Costs[[#This Row],[Item]], Items[], COLUMN(Items[Name])-COLUMN(Items[])+1, FALSE))</f>
        <v>ELP 1280720p 1MP Camera</v>
      </c>
      <c r="C3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20</v>
      </c>
    </row>
    <row r="33" spans="1:3" x14ac:dyDescent="0.25">
      <c r="A33" s="1" t="str">
        <f>IF(OR(ISBLANK(Analysis[[#This Row],[ItemID]]), Analysis[[#This Row],[ItemID]]="", Analysis[[#This Row],[ItemID]]=0), "", Analysis[[#This Row],[ItemID]])</f>
        <v>Hazard Camera 2</v>
      </c>
      <c r="B33" s="1" t="str">
        <f>IF(OR(ISBLANK(Costs[[#This Row],[Item]]), Costs[[#This Row],[Item]]="", Costs[[#This Row],[Item]]=0), "", VLOOKUP(Costs[[#This Row],[Item]], Items[], COLUMN(Items[Name])-COLUMN(Items[])+1, FALSE))</f>
        <v>ELP 1280720p 1MP Camera</v>
      </c>
      <c r="C3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20</v>
      </c>
    </row>
    <row r="34" spans="1:3" x14ac:dyDescent="0.25">
      <c r="A34" s="1" t="str">
        <f>IF(OR(ISBLANK(Analysis[[#This Row],[ItemID]]), Analysis[[#This Row],[ItemID]]="", Analysis[[#This Row],[ItemID]]=0), "", Analysis[[#This Row],[ItemID]])</f>
        <v>Hazard Camera 3</v>
      </c>
      <c r="B34" s="1" t="str">
        <f>IF(OR(ISBLANK(Costs[[#This Row],[Item]]), Costs[[#This Row],[Item]]="", Costs[[#This Row],[Item]]=0), "", VLOOKUP(Costs[[#This Row],[Item]], Items[], COLUMN(Items[Name])-COLUMN(Items[])+1, FALSE))</f>
        <v>ELP 1280720p 1MP Camera</v>
      </c>
      <c r="C3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20</v>
      </c>
    </row>
    <row r="35" spans="1:3" x14ac:dyDescent="0.25">
      <c r="A35" s="1" t="str">
        <f>IF(OR(ISBLANK(Analysis[[#This Row],[ItemID]]), Analysis[[#This Row],[ItemID]]="", Analysis[[#This Row],[ItemID]]=0), "", Analysis[[#This Row],[ItemID]])</f>
        <v/>
      </c>
      <c r="B35" s="1" t="str">
        <f>IF(OR(ISBLANK(Costs[[#This Row],[Item]]), Costs[[#This Row],[Item]]="", Costs[[#This Row],[Item]]=0), "", VLOOKUP(Costs[[#This Row],[Item]], Items[], COLUMN(Items[Name])-COLUMN(Items[])+1, FALSE))</f>
        <v/>
      </c>
      <c r="C35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6" spans="1:3" x14ac:dyDescent="0.25">
      <c r="A36" s="1" t="str">
        <f>IF(OR(ISBLANK(Analysis[[#This Row],[ItemID]]), Analysis[[#This Row],[ItemID]]="", Analysis[[#This Row],[ItemID]]=0), "", Analysis[[#This Row],[ItemID]])</f>
        <v/>
      </c>
      <c r="B36" s="1" t="str">
        <f>IF(OR(ISBLANK(Costs[[#This Row],[Item]]), Costs[[#This Row],[Item]]="", Costs[[#This Row],[Item]]=0), "", VLOOKUP(Costs[[#This Row],[Item]], Items[], COLUMN(Items[Name])-COLUMN(Items[])+1, FALSE))</f>
        <v/>
      </c>
      <c r="C36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7" spans="1:3" x14ac:dyDescent="0.25">
      <c r="A37" s="1" t="str">
        <f>IF(OR(ISBLANK(Analysis[[#This Row],[ItemID]]), Analysis[[#This Row],[ItemID]]="", Analysis[[#This Row],[ItemID]]=0), "", Analysis[[#This Row],[ItemID]])</f>
        <v/>
      </c>
      <c r="B37" s="1" t="str">
        <f>IF(OR(ISBLANK(Costs[[#This Row],[Item]]), Costs[[#This Row],[Item]]="", Costs[[#This Row],[Item]]=0), "", VLOOKUP(Costs[[#This Row],[Item]], Items[], COLUMN(Items[Name])-COLUMN(Items[])+1, FALSE))</f>
        <v/>
      </c>
      <c r="C37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8" spans="1:3" x14ac:dyDescent="0.25">
      <c r="A38" s="1" t="str">
        <f>IF(OR(ISBLANK(Analysis[[#This Row],[ItemID]]), Analysis[[#This Row],[ItemID]]="", Analysis[[#This Row],[ItemID]]=0), "", Analysis[[#This Row],[ItemID]])</f>
        <v/>
      </c>
      <c r="B38" s="1" t="str">
        <f>IF(OR(ISBLANK(Costs[[#This Row],[Item]]), Costs[[#This Row],[Item]]="", Costs[[#This Row],[Item]]=0), "", VLOOKUP(Costs[[#This Row],[Item]], Items[], COLUMN(Items[Name])-COLUMN(Items[])+1, FALSE))</f>
        <v/>
      </c>
      <c r="C38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9" spans="1:3" x14ac:dyDescent="0.25">
      <c r="A39" s="1" t="str">
        <f>IF(OR(ISBLANK(Analysis[[#This Row],[ItemID]]), Analysis[[#This Row],[ItemID]]="", Analysis[[#This Row],[ItemID]]=0), "", Analysis[[#This Row],[ItemID]])</f>
        <v/>
      </c>
      <c r="B39" s="1" t="str">
        <f>IF(OR(ISBLANK(Costs[[#This Row],[Item]]), Costs[[#This Row],[Item]]="", Costs[[#This Row],[Item]]=0), "", VLOOKUP(Costs[[#This Row],[Item]], Items[], COLUMN(Items[Name])-COLUMN(Items[])+1, FALSE))</f>
        <v/>
      </c>
      <c r="C39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40" spans="1:3" x14ac:dyDescent="0.25">
      <c r="A40" s="1" t="str">
        <f>IF(OR(ISBLANK(Analysis[[#This Row],[ItemID]]), Analysis[[#This Row],[ItemID]]="", Analysis[[#This Row],[ItemID]]=0), "", Analysis[[#This Row],[ItemID]])</f>
        <v/>
      </c>
      <c r="B40" s="1" t="str">
        <f>IF(OR(ISBLANK(Costs[[#This Row],[Item]]), Costs[[#This Row],[Item]]="", Costs[[#This Row],[Item]]=0), "", VLOOKUP(Costs[[#This Row],[Item]], Items[], COLUMN(Items[Name])-COLUMN(Items[])+1, FALSE))</f>
        <v/>
      </c>
      <c r="C40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41" spans="1:3" x14ac:dyDescent="0.25">
      <c r="A41" s="1" t="str">
        <f>IF(OR(ISBLANK(Analysis[[#This Row],[ItemID]]), Analysis[[#This Row],[ItemID]]="", Analysis[[#This Row],[ItemID]]=0), "", Analysis[[#This Row],[ItemID]])</f>
        <v/>
      </c>
      <c r="B41" s="1" t="str">
        <f>IF(OR(ISBLANK(Costs[[#This Row],[Item]]), Costs[[#This Row],[Item]]="", Costs[[#This Row],[Item]]=0), "", VLOOKUP(Costs[[#This Row],[Item]], Items[], COLUMN(Items[Name])-COLUMN(Items[])+1, FALSE))</f>
        <v/>
      </c>
      <c r="C41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42" spans="1:3" x14ac:dyDescent="0.25">
      <c r="A42" t="s">
        <v>91</v>
      </c>
      <c r="C42">
        <f>SUBTOTAL(9,Costs[Cost])</f>
        <v>1322.94</v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Component Data</vt:lpstr>
      <vt:lpstr>Items</vt:lpstr>
      <vt:lpstr>Analysis</vt:lpstr>
      <vt:lpstr>Results</vt:lpstr>
      <vt:lpstr>Motor Characterization</vt:lpstr>
      <vt:lpstr>Costs</vt:lpstr>
      <vt:lpstr>ComponentIDs</vt:lpstr>
      <vt:lpstr>ItemIDs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James Talbert</cp:lastModifiedBy>
  <cp:lastPrinted>2018-03-31T04:05:30Z</cp:lastPrinted>
  <dcterms:created xsi:type="dcterms:W3CDTF">2017-07-13T19:20:27Z</dcterms:created>
  <dcterms:modified xsi:type="dcterms:W3CDTF">2018-10-23T20:08:57Z</dcterms:modified>
</cp:coreProperties>
</file>