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alonj123\MAVRIC\MAVRIC-Electrical\Electrical\"/>
    </mc:Choice>
  </mc:AlternateContent>
  <xr:revisionPtr revIDLastSave="0" documentId="13_ncr:1_{289F9760-9407-4130-98EF-5D511958517D}" xr6:coauthVersionLast="28" xr6:coauthVersionMax="28" xr10:uidLastSave="{00000000-0000-0000-0000-000000000000}"/>
  <bookViews>
    <workbookView xWindow="20160" yWindow="0" windowWidth="18825" windowHeight="4845" activeTab="1" xr2:uid="{00000000-000D-0000-FFFF-FFFF00000000}"/>
  </bookViews>
  <sheets>
    <sheet name="Component Data" sheetId="1" r:id="rId1"/>
    <sheet name="Items" sheetId="7" r:id="rId2"/>
    <sheet name="Analysis" sheetId="4" r:id="rId3"/>
    <sheet name="Results" sheetId="5" r:id="rId4"/>
    <sheet name="Costs" sheetId="6" r:id="rId5"/>
  </sheets>
  <definedNames>
    <definedName name="_xlnm._FilterDatabase" localSheetId="0" hidden="1">'Component Data'!$C$1:$J$1</definedName>
    <definedName name="ComponentIDs">ComponentData[ID]</definedName>
    <definedName name="ItemIDs">Analysis[ItemID]</definedName>
  </definedNames>
  <calcPr calcId="171027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7" l="1"/>
  <c r="E11" i="7"/>
  <c r="F11" i="7"/>
  <c r="G11" i="7"/>
  <c r="H11" i="7"/>
  <c r="I11" i="7"/>
  <c r="J11" i="7"/>
  <c r="K11" i="7"/>
  <c r="M11" i="7"/>
  <c r="N11" i="7"/>
  <c r="J16" i="1"/>
  <c r="K3" i="7" l="1"/>
  <c r="B3" i="4"/>
  <c r="J4" i="7"/>
  <c r="N4" i="7"/>
  <c r="B5" i="4"/>
  <c r="J5" i="7"/>
  <c r="N5" i="7"/>
  <c r="B7" i="4"/>
  <c r="A9" i="4"/>
  <c r="B9" i="4" s="1"/>
  <c r="O2" i="4"/>
  <c r="J3" i="7"/>
  <c r="N3" i="7"/>
  <c r="J6" i="7"/>
  <c r="N6" i="7"/>
  <c r="J7" i="7"/>
  <c r="N7" i="7"/>
  <c r="J8" i="7"/>
  <c r="N8" i="7"/>
  <c r="I8" i="4" s="1"/>
  <c r="B17" i="4"/>
  <c r="J9" i="7"/>
  <c r="N9" i="7"/>
  <c r="I9" i="4" s="1"/>
  <c r="B19" i="4"/>
  <c r="J10" i="7"/>
  <c r="N10" i="7"/>
  <c r="B25" i="4"/>
  <c r="J12" i="7"/>
  <c r="N12" i="7"/>
  <c r="J13" i="7"/>
  <c r="N13" i="7"/>
  <c r="I12" i="4" s="1"/>
  <c r="B29" i="4"/>
  <c r="J14" i="7"/>
  <c r="N14" i="7"/>
  <c r="J15" i="7"/>
  <c r="N15" i="7"/>
  <c r="J16" i="7"/>
  <c r="N16" i="7"/>
  <c r="J17" i="7"/>
  <c r="N17" i="7"/>
  <c r="J18" i="7"/>
  <c r="N18" i="7"/>
  <c r="J19" i="7"/>
  <c r="N19" i="7"/>
  <c r="J20" i="7"/>
  <c r="N20" i="7"/>
  <c r="J21" i="7"/>
  <c r="N21" i="7"/>
  <c r="J22" i="7"/>
  <c r="N22" i="7"/>
  <c r="J23" i="7"/>
  <c r="N23" i="7"/>
  <c r="J24" i="7"/>
  <c r="N24" i="7"/>
  <c r="J25" i="7"/>
  <c r="N25" i="7"/>
  <c r="J26" i="7"/>
  <c r="N26" i="7"/>
  <c r="J27" i="7"/>
  <c r="N27" i="7"/>
  <c r="J28" i="7"/>
  <c r="N28" i="7"/>
  <c r="J29" i="7"/>
  <c r="N29" i="7"/>
  <c r="M3" i="7"/>
  <c r="G3" i="5" s="1"/>
  <c r="M4" i="7"/>
  <c r="K5" i="7"/>
  <c r="M5" i="7"/>
  <c r="M6" i="7"/>
  <c r="K7" i="7"/>
  <c r="M7" i="7"/>
  <c r="G7" i="5" s="1"/>
  <c r="K8" i="7"/>
  <c r="M8" i="7"/>
  <c r="K9" i="7"/>
  <c r="D9" i="4" s="1"/>
  <c r="A9" i="5"/>
  <c r="M9" i="7"/>
  <c r="K10" i="7"/>
  <c r="M10" i="7"/>
  <c r="K12" i="7"/>
  <c r="M12" i="7"/>
  <c r="K13" i="7"/>
  <c r="M13" i="7"/>
  <c r="K14" i="7"/>
  <c r="M14" i="7"/>
  <c r="K15" i="7"/>
  <c r="M15" i="7"/>
  <c r="K16" i="7"/>
  <c r="M16" i="7"/>
  <c r="K17" i="7"/>
  <c r="M17" i="7"/>
  <c r="K18" i="7"/>
  <c r="M18" i="7"/>
  <c r="K19" i="7"/>
  <c r="M19" i="7"/>
  <c r="K20" i="7"/>
  <c r="M20" i="7"/>
  <c r="K21" i="7"/>
  <c r="M21" i="7"/>
  <c r="K22" i="7"/>
  <c r="M22" i="7"/>
  <c r="K23" i="7"/>
  <c r="M23" i="7"/>
  <c r="K24" i="7"/>
  <c r="M24" i="7"/>
  <c r="K25" i="7"/>
  <c r="M25" i="7"/>
  <c r="K26" i="7"/>
  <c r="D25" i="4" s="1"/>
  <c r="M26" i="7"/>
  <c r="K27" i="7"/>
  <c r="M27" i="7"/>
  <c r="K28" i="7"/>
  <c r="D27" i="4" s="1"/>
  <c r="M28" i="7"/>
  <c r="K29" i="7"/>
  <c r="M29" i="7"/>
  <c r="O7" i="5"/>
  <c r="O8" i="5"/>
  <c r="I4" i="7"/>
  <c r="I5" i="7"/>
  <c r="I6" i="7"/>
  <c r="I7" i="7"/>
  <c r="I8" i="7"/>
  <c r="I9" i="7"/>
  <c r="I24" i="7"/>
  <c r="I25" i="7"/>
  <c r="I10" i="7"/>
  <c r="I26" i="7"/>
  <c r="I27" i="7"/>
  <c r="I28" i="7"/>
  <c r="I29" i="7"/>
  <c r="I3" i="7"/>
  <c r="I12" i="7"/>
  <c r="I13" i="7"/>
  <c r="I14" i="7"/>
  <c r="I15" i="7"/>
  <c r="I16" i="7"/>
  <c r="I17" i="7"/>
  <c r="I18" i="7"/>
  <c r="I19" i="7"/>
  <c r="I20" i="7"/>
  <c r="I21" i="7"/>
  <c r="I22" i="7"/>
  <c r="I23" i="7"/>
  <c r="J2" i="1"/>
  <c r="J3" i="1"/>
  <c r="J4" i="1"/>
  <c r="L4" i="7" s="1"/>
  <c r="J5" i="1"/>
  <c r="J6" i="1"/>
  <c r="J7" i="1"/>
  <c r="J8" i="1"/>
  <c r="L26" i="7" s="1"/>
  <c r="J9" i="1"/>
  <c r="J10" i="1"/>
  <c r="J11" i="1"/>
  <c r="J12" i="1"/>
  <c r="J13" i="1"/>
  <c r="J14" i="1"/>
  <c r="J15" i="1"/>
  <c r="A3" i="4"/>
  <c r="A4" i="4"/>
  <c r="B4" i="4" s="1"/>
  <c r="A5" i="4"/>
  <c r="A6" i="4"/>
  <c r="D6" i="4" s="1"/>
  <c r="A2" i="4"/>
  <c r="L2" i="4" s="1"/>
  <c r="A7" i="4"/>
  <c r="A8" i="4"/>
  <c r="B8" i="4" s="1"/>
  <c r="A10" i="4"/>
  <c r="B10" i="4" s="1"/>
  <c r="A11" i="4"/>
  <c r="B11" i="4" s="1"/>
  <c r="A12" i="4"/>
  <c r="B12" i="4" s="1"/>
  <c r="A13" i="4"/>
  <c r="B13" i="4" s="1"/>
  <c r="A14" i="4"/>
  <c r="B14" i="4" s="1"/>
  <c r="A15" i="4"/>
  <c r="B15" i="4" s="1"/>
  <c r="A16" i="4"/>
  <c r="B16" i="4" s="1"/>
  <c r="A17" i="4"/>
  <c r="A18" i="4"/>
  <c r="A18" i="6" s="1"/>
  <c r="C18" i="6" s="1"/>
  <c r="A19" i="4"/>
  <c r="A20" i="4"/>
  <c r="B20" i="4" s="1"/>
  <c r="A21" i="4"/>
  <c r="B21" i="4" s="1"/>
  <c r="A22" i="4"/>
  <c r="B22" i="4" s="1"/>
  <c r="A23" i="4"/>
  <c r="B23" i="4" s="1"/>
  <c r="A24" i="4"/>
  <c r="B24" i="4" s="1"/>
  <c r="A25" i="4"/>
  <c r="A26" i="4"/>
  <c r="B26" i="4" s="1"/>
  <c r="A27" i="4"/>
  <c r="B27" i="4" s="1"/>
  <c r="A28" i="4"/>
  <c r="B28" i="4" s="1"/>
  <c r="A29" i="4"/>
  <c r="A30" i="4"/>
  <c r="B30" i="4" s="1"/>
  <c r="D8" i="7"/>
  <c r="E8" i="7"/>
  <c r="F8" i="7"/>
  <c r="G8" i="7"/>
  <c r="H8" i="7"/>
  <c r="L8" i="7"/>
  <c r="C2" i="4"/>
  <c r="H2" i="4" s="1"/>
  <c r="D2" i="4"/>
  <c r="E2" i="4" s="1"/>
  <c r="D29" i="4"/>
  <c r="E29" i="4" s="1"/>
  <c r="A2" i="5"/>
  <c r="D2" i="5" s="1"/>
  <c r="H11" i="1"/>
  <c r="H12" i="1"/>
  <c r="A3" i="5"/>
  <c r="A4" i="5"/>
  <c r="A5" i="5"/>
  <c r="A7" i="5"/>
  <c r="A8" i="5"/>
  <c r="A10" i="5"/>
  <c r="A11" i="5"/>
  <c r="A12" i="5"/>
  <c r="A13" i="5"/>
  <c r="A14" i="5"/>
  <c r="A15" i="5"/>
  <c r="A16" i="5"/>
  <c r="A17" i="5"/>
  <c r="A18" i="5"/>
  <c r="B18" i="5" s="1"/>
  <c r="A19" i="5"/>
  <c r="A20" i="5"/>
  <c r="A21" i="5"/>
  <c r="A22" i="5"/>
  <c r="A23" i="5"/>
  <c r="A24" i="5"/>
  <c r="A25" i="5"/>
  <c r="A26" i="5"/>
  <c r="A27" i="5"/>
  <c r="A28" i="5"/>
  <c r="A29" i="5"/>
  <c r="G29" i="5" s="1"/>
  <c r="A30" i="5"/>
  <c r="C30" i="5" s="1"/>
  <c r="D9" i="7"/>
  <c r="E9" i="7"/>
  <c r="F9" i="7"/>
  <c r="G9" i="7"/>
  <c r="H9" i="7"/>
  <c r="L9" i="7"/>
  <c r="D10" i="7"/>
  <c r="E10" i="7"/>
  <c r="F10" i="7"/>
  <c r="G10" i="7"/>
  <c r="H10" i="7"/>
  <c r="L10" i="7"/>
  <c r="M2" i="4"/>
  <c r="G12" i="1"/>
  <c r="D29" i="7"/>
  <c r="D28" i="7"/>
  <c r="D26" i="7"/>
  <c r="D24" i="7"/>
  <c r="E24" i="7"/>
  <c r="E25" i="7"/>
  <c r="E26" i="7"/>
  <c r="F24" i="7"/>
  <c r="F25" i="7"/>
  <c r="F26" i="7"/>
  <c r="G24" i="7"/>
  <c r="G25" i="7"/>
  <c r="G26" i="7"/>
  <c r="H24" i="7"/>
  <c r="H25" i="7"/>
  <c r="H26" i="7"/>
  <c r="L24" i="7"/>
  <c r="L25" i="7"/>
  <c r="B24" i="5" s="1"/>
  <c r="D2" i="7"/>
  <c r="D3" i="7"/>
  <c r="D4" i="7"/>
  <c r="D5" i="7"/>
  <c r="D6" i="7"/>
  <c r="D7" i="7"/>
  <c r="D12" i="7"/>
  <c r="D13" i="7"/>
  <c r="D14" i="7"/>
  <c r="D15" i="7"/>
  <c r="D16" i="7"/>
  <c r="D17" i="7"/>
  <c r="D18" i="7"/>
  <c r="D19" i="7"/>
  <c r="D20" i="7"/>
  <c r="D21" i="7"/>
  <c r="D22" i="7"/>
  <c r="D23" i="7"/>
  <c r="D25" i="7"/>
  <c r="D27" i="7"/>
  <c r="D30" i="7"/>
  <c r="D31" i="7"/>
  <c r="D32" i="7"/>
  <c r="D33" i="7"/>
  <c r="D34" i="7"/>
  <c r="D35" i="7"/>
  <c r="D36" i="7"/>
  <c r="J2" i="4"/>
  <c r="J30" i="4"/>
  <c r="I2" i="4"/>
  <c r="I29" i="4"/>
  <c r="N2" i="7"/>
  <c r="N30" i="7"/>
  <c r="N31" i="7"/>
  <c r="N32" i="7"/>
  <c r="N33" i="7"/>
  <c r="N34" i="7"/>
  <c r="N35" i="7"/>
  <c r="N36" i="7"/>
  <c r="E2" i="7"/>
  <c r="F2" i="7"/>
  <c r="G2" i="7"/>
  <c r="H2" i="7"/>
  <c r="I2" i="7"/>
  <c r="J2" i="7"/>
  <c r="K2" i="7"/>
  <c r="L2" i="7"/>
  <c r="M2" i="7"/>
  <c r="G19" i="7"/>
  <c r="E4" i="7"/>
  <c r="F4" i="7"/>
  <c r="G4" i="7"/>
  <c r="H4" i="7"/>
  <c r="E5" i="7"/>
  <c r="B5" i="6" s="1"/>
  <c r="F5" i="7"/>
  <c r="G5" i="7"/>
  <c r="H5" i="7"/>
  <c r="L5" i="7"/>
  <c r="B5" i="5" s="1"/>
  <c r="E6" i="7"/>
  <c r="F6" i="7"/>
  <c r="G6" i="7"/>
  <c r="H6" i="7"/>
  <c r="E7" i="7"/>
  <c r="F7" i="7"/>
  <c r="G7" i="7"/>
  <c r="H7" i="7"/>
  <c r="C7" i="6" s="1"/>
  <c r="L7" i="7"/>
  <c r="E12" i="7"/>
  <c r="F12" i="7"/>
  <c r="G12" i="7"/>
  <c r="H12" i="7"/>
  <c r="L12" i="7"/>
  <c r="B11" i="5" s="1"/>
  <c r="E13" i="7"/>
  <c r="F13" i="7"/>
  <c r="G13" i="7"/>
  <c r="H13" i="7"/>
  <c r="L13" i="7"/>
  <c r="E14" i="7"/>
  <c r="F14" i="7"/>
  <c r="G14" i="7"/>
  <c r="H14" i="7"/>
  <c r="L14" i="7"/>
  <c r="E15" i="7"/>
  <c r="F15" i="7"/>
  <c r="G15" i="7"/>
  <c r="H15" i="7"/>
  <c r="L15" i="7"/>
  <c r="E16" i="7"/>
  <c r="F16" i="7"/>
  <c r="G16" i="7"/>
  <c r="H16" i="7"/>
  <c r="L16" i="7"/>
  <c r="E17" i="7"/>
  <c r="F17" i="7"/>
  <c r="G17" i="7"/>
  <c r="H17" i="7"/>
  <c r="L17" i="7"/>
  <c r="E18" i="7"/>
  <c r="B17" i="6" s="1"/>
  <c r="F18" i="7"/>
  <c r="G18" i="7"/>
  <c r="H18" i="7"/>
  <c r="L18" i="7"/>
  <c r="B17" i="5" s="1"/>
  <c r="E19" i="7"/>
  <c r="F19" i="7"/>
  <c r="H19" i="7"/>
  <c r="L19" i="7"/>
  <c r="E20" i="7"/>
  <c r="F20" i="7"/>
  <c r="G20" i="7"/>
  <c r="H20" i="7"/>
  <c r="C19" i="6" s="1"/>
  <c r="L20" i="7"/>
  <c r="E21" i="7"/>
  <c r="F21" i="7"/>
  <c r="G21" i="7"/>
  <c r="H21" i="7"/>
  <c r="L21" i="7"/>
  <c r="B20" i="5" s="1"/>
  <c r="E22" i="7"/>
  <c r="F22" i="7"/>
  <c r="G22" i="7"/>
  <c r="H22" i="7"/>
  <c r="L22" i="7"/>
  <c r="E23" i="7"/>
  <c r="F23" i="7"/>
  <c r="G23" i="7"/>
  <c r="H23" i="7"/>
  <c r="L23" i="7"/>
  <c r="B22" i="5" s="1"/>
  <c r="E27" i="7"/>
  <c r="F27" i="7"/>
  <c r="G27" i="7"/>
  <c r="H27" i="7"/>
  <c r="L27" i="7"/>
  <c r="E28" i="7"/>
  <c r="F28" i="7"/>
  <c r="G28" i="7"/>
  <c r="H28" i="7"/>
  <c r="L28" i="7"/>
  <c r="B27" i="5" s="1"/>
  <c r="E29" i="7"/>
  <c r="F29" i="7"/>
  <c r="G29" i="7"/>
  <c r="H29" i="7"/>
  <c r="L29" i="7"/>
  <c r="B28" i="5" s="1"/>
  <c r="E30" i="7"/>
  <c r="F30" i="7"/>
  <c r="G30" i="7"/>
  <c r="H30" i="7"/>
  <c r="I30" i="7"/>
  <c r="J30" i="7"/>
  <c r="K30" i="7"/>
  <c r="L30" i="7"/>
  <c r="M30" i="7"/>
  <c r="E31" i="7"/>
  <c r="F31" i="7"/>
  <c r="G31" i="7"/>
  <c r="H31" i="7"/>
  <c r="I31" i="7"/>
  <c r="J31" i="7"/>
  <c r="K31" i="7"/>
  <c r="L31" i="7"/>
  <c r="M31" i="7"/>
  <c r="E32" i="7"/>
  <c r="F32" i="7"/>
  <c r="G32" i="7"/>
  <c r="H32" i="7"/>
  <c r="I32" i="7"/>
  <c r="J32" i="7"/>
  <c r="K32" i="7"/>
  <c r="L32" i="7"/>
  <c r="M32" i="7"/>
  <c r="E33" i="7"/>
  <c r="F33" i="7"/>
  <c r="G33" i="7"/>
  <c r="H33" i="7"/>
  <c r="I33" i="7"/>
  <c r="J33" i="7"/>
  <c r="K33" i="7"/>
  <c r="L33" i="7"/>
  <c r="M33" i="7"/>
  <c r="E34" i="7"/>
  <c r="F34" i="7"/>
  <c r="G34" i="7"/>
  <c r="H34" i="7"/>
  <c r="I34" i="7"/>
  <c r="J34" i="7"/>
  <c r="K34" i="7"/>
  <c r="L34" i="7"/>
  <c r="M34" i="7"/>
  <c r="E35" i="7"/>
  <c r="F35" i="7"/>
  <c r="G35" i="7"/>
  <c r="H35" i="7"/>
  <c r="I35" i="7"/>
  <c r="J35" i="7"/>
  <c r="K35" i="7"/>
  <c r="L35" i="7"/>
  <c r="M35" i="7"/>
  <c r="E36" i="7"/>
  <c r="F36" i="7"/>
  <c r="G36" i="7"/>
  <c r="H36" i="7"/>
  <c r="I36" i="7"/>
  <c r="J36" i="7"/>
  <c r="K36" i="7"/>
  <c r="L36" i="7"/>
  <c r="M36" i="7"/>
  <c r="L3" i="7"/>
  <c r="H3" i="7"/>
  <c r="C3" i="6" s="1"/>
  <c r="G3" i="7"/>
  <c r="F3" i="7"/>
  <c r="E3" i="7"/>
  <c r="A2" i="6"/>
  <c r="A3" i="6"/>
  <c r="B3" i="6" s="1"/>
  <c r="A4" i="6"/>
  <c r="C4" i="6" s="1"/>
  <c r="A5" i="6"/>
  <c r="C5" i="6"/>
  <c r="A6" i="6"/>
  <c r="C6" i="6" s="1"/>
  <c r="A7" i="6"/>
  <c r="A8" i="6"/>
  <c r="C8" i="6"/>
  <c r="A9" i="6"/>
  <c r="C9" i="6"/>
  <c r="A11" i="6"/>
  <c r="A12" i="6"/>
  <c r="C12" i="6"/>
  <c r="A13" i="6"/>
  <c r="C13" i="6" s="1"/>
  <c r="A15" i="6"/>
  <c r="B15" i="6" s="1"/>
  <c r="A16" i="6"/>
  <c r="C16" i="6"/>
  <c r="A17" i="6"/>
  <c r="C17" i="6"/>
  <c r="A19" i="6"/>
  <c r="A20" i="6"/>
  <c r="A21" i="6"/>
  <c r="A23" i="6"/>
  <c r="B23" i="6" s="1"/>
  <c r="A24" i="6"/>
  <c r="A25" i="6"/>
  <c r="A27" i="6"/>
  <c r="A28" i="6"/>
  <c r="A29" i="6"/>
  <c r="Q8" i="5"/>
  <c r="P7" i="5"/>
  <c r="P8" i="5"/>
  <c r="N7" i="5"/>
  <c r="N8" i="5"/>
  <c r="C2" i="6"/>
  <c r="B2" i="6"/>
  <c r="B7" i="6"/>
  <c r="B16" i="6"/>
  <c r="C29" i="6"/>
  <c r="B29" i="6"/>
  <c r="C25" i="6"/>
  <c r="B21" i="6"/>
  <c r="B28" i="6"/>
  <c r="B8" i="6"/>
  <c r="B12" i="6"/>
  <c r="B15" i="5"/>
  <c r="B7" i="5"/>
  <c r="B29" i="5"/>
  <c r="B21" i="5"/>
  <c r="B16" i="5"/>
  <c r="B12" i="5"/>
  <c r="B8" i="5"/>
  <c r="B2" i="5"/>
  <c r="B23" i="5"/>
  <c r="B3" i="5"/>
  <c r="B13" i="5"/>
  <c r="N2" i="4"/>
  <c r="K2" i="4"/>
  <c r="C2" i="5"/>
  <c r="Q7" i="5" l="1"/>
  <c r="F29" i="4"/>
  <c r="D29" i="5" s="1"/>
  <c r="H29" i="5" s="1"/>
  <c r="C8" i="4"/>
  <c r="B10" i="5"/>
  <c r="G5" i="5"/>
  <c r="F2" i="5"/>
  <c r="N3" i="5"/>
  <c r="A30" i="6"/>
  <c r="A26" i="6"/>
  <c r="A10" i="6"/>
  <c r="I30" i="4"/>
  <c r="C24" i="6"/>
  <c r="B25" i="6"/>
  <c r="M30" i="4"/>
  <c r="C30" i="4"/>
  <c r="H30" i="4" s="1"/>
  <c r="G30" i="5"/>
  <c r="G28" i="5"/>
  <c r="G26" i="5"/>
  <c r="G24" i="5"/>
  <c r="G22" i="5"/>
  <c r="G20" i="5"/>
  <c r="G18" i="5"/>
  <c r="G16" i="5"/>
  <c r="G14" i="5"/>
  <c r="G12" i="5"/>
  <c r="G10" i="5"/>
  <c r="N5" i="5"/>
  <c r="D7" i="4"/>
  <c r="D5" i="4"/>
  <c r="O30" i="4"/>
  <c r="I27" i="4"/>
  <c r="I25" i="4"/>
  <c r="I23" i="4"/>
  <c r="I21" i="4"/>
  <c r="I19" i="4"/>
  <c r="I17" i="4"/>
  <c r="I15" i="4"/>
  <c r="B18" i="4"/>
  <c r="B6" i="4"/>
  <c r="K5" i="4" s="1"/>
  <c r="I4" i="4"/>
  <c r="D3" i="4"/>
  <c r="N2" i="5" s="1"/>
  <c r="B22" i="6"/>
  <c r="I14" i="4"/>
  <c r="I6" i="4"/>
  <c r="F2" i="4"/>
  <c r="C29" i="5"/>
  <c r="B30" i="5"/>
  <c r="E30" i="5" s="1"/>
  <c r="B13" i="6"/>
  <c r="B4" i="6"/>
  <c r="A14" i="6"/>
  <c r="C14" i="6" s="1"/>
  <c r="K30" i="4"/>
  <c r="C28" i="6"/>
  <c r="B27" i="6"/>
  <c r="C21" i="6"/>
  <c r="B20" i="6"/>
  <c r="B11" i="6"/>
  <c r="C23" i="6"/>
  <c r="B24" i="6"/>
  <c r="B9" i="5"/>
  <c r="B9" i="6"/>
  <c r="D30" i="4"/>
  <c r="E30" i="4" s="1"/>
  <c r="L30" i="4"/>
  <c r="D30" i="5"/>
  <c r="D28" i="4"/>
  <c r="D26" i="4"/>
  <c r="D10" i="4"/>
  <c r="N6" i="5" s="1"/>
  <c r="G8" i="5"/>
  <c r="G4" i="5"/>
  <c r="I13" i="4"/>
  <c r="I11" i="4"/>
  <c r="I7" i="4"/>
  <c r="I3" i="4"/>
  <c r="I5" i="4"/>
  <c r="G2" i="5"/>
  <c r="H2" i="5" s="1"/>
  <c r="C26" i="6"/>
  <c r="C29" i="4"/>
  <c r="I10" i="4"/>
  <c r="A22" i="6"/>
  <c r="C22" i="6" s="1"/>
  <c r="C27" i="6"/>
  <c r="B26" i="5"/>
  <c r="B26" i="6"/>
  <c r="C20" i="6"/>
  <c r="B19" i="5"/>
  <c r="B19" i="6"/>
  <c r="B18" i="6"/>
  <c r="C15" i="6"/>
  <c r="B14" i="5"/>
  <c r="B14" i="6"/>
  <c r="C11" i="6"/>
  <c r="B6" i="6"/>
  <c r="N30" i="4"/>
  <c r="A6" i="5"/>
  <c r="B6" i="5" s="1"/>
  <c r="B25" i="5"/>
  <c r="B4" i="5"/>
  <c r="G27" i="5"/>
  <c r="G25" i="5"/>
  <c r="G23" i="5"/>
  <c r="G21" i="5"/>
  <c r="G19" i="5"/>
  <c r="G17" i="5"/>
  <c r="G15" i="5"/>
  <c r="G13" i="5"/>
  <c r="G11" i="5"/>
  <c r="G9" i="5"/>
  <c r="D8" i="4"/>
  <c r="D4" i="4"/>
  <c r="N4" i="5" s="1"/>
  <c r="I28" i="4"/>
  <c r="I26" i="4"/>
  <c r="I24" i="4"/>
  <c r="I22" i="4"/>
  <c r="I20" i="4"/>
  <c r="I18" i="4"/>
  <c r="I16" i="4"/>
  <c r="G2" i="4"/>
  <c r="D17" i="4"/>
  <c r="C7" i="4"/>
  <c r="G30" i="4"/>
  <c r="C3" i="4"/>
  <c r="H3" i="4" s="1"/>
  <c r="E29" i="5"/>
  <c r="E2" i="5"/>
  <c r="C11" i="4"/>
  <c r="J5" i="4" l="1"/>
  <c r="L5" i="4" s="1"/>
  <c r="F30" i="5"/>
  <c r="C4" i="4"/>
  <c r="F29" i="5"/>
  <c r="H30" i="5"/>
  <c r="N7" i="4"/>
  <c r="N5" i="4"/>
  <c r="F5" i="4" s="1"/>
  <c r="D5" i="5" s="1"/>
  <c r="H5" i="5" s="1"/>
  <c r="K8" i="4"/>
  <c r="J8" i="4" s="1"/>
  <c r="L8" i="4" s="1"/>
  <c r="G8" i="4" s="1"/>
  <c r="C5" i="4"/>
  <c r="G5" i="4" s="1"/>
  <c r="E5" i="4"/>
  <c r="C5" i="5" s="1"/>
  <c r="E5" i="5" s="1"/>
  <c r="C6" i="4"/>
  <c r="M7" i="4"/>
  <c r="O7" i="4" s="1"/>
  <c r="H7" i="4" s="1"/>
  <c r="C9" i="4"/>
  <c r="C26" i="4"/>
  <c r="K7" i="4"/>
  <c r="J7" i="4" s="1"/>
  <c r="L7" i="4" s="1"/>
  <c r="G7" i="4" s="1"/>
  <c r="F30" i="4"/>
  <c r="N8" i="4"/>
  <c r="M8" i="4" s="1"/>
  <c r="O8" i="4" s="1"/>
  <c r="H8" i="4" s="1"/>
  <c r="C28" i="4"/>
  <c r="F8" i="4"/>
  <c r="D8" i="5" s="1"/>
  <c r="E8" i="4"/>
  <c r="C8" i="5" s="1"/>
  <c r="E8" i="5" s="1"/>
  <c r="G6" i="5"/>
  <c r="F7" i="4"/>
  <c r="D7" i="5" s="1"/>
  <c r="E7" i="4"/>
  <c r="C7" i="5" s="1"/>
  <c r="E7" i="5" s="1"/>
  <c r="B30" i="6"/>
  <c r="C30" i="6"/>
  <c r="N29" i="4"/>
  <c r="M29" i="4" s="1"/>
  <c r="O29" i="4" s="1"/>
  <c r="N28" i="4" s="1"/>
  <c r="B10" i="6"/>
  <c r="C10" i="6"/>
  <c r="C27" i="4"/>
  <c r="K29" i="4"/>
  <c r="J29" i="4" s="1"/>
  <c r="L29" i="4" s="1"/>
  <c r="K28" i="4" s="1"/>
  <c r="C10" i="4"/>
  <c r="N27" i="4"/>
  <c r="M27" i="4" s="1"/>
  <c r="O27" i="4" s="1"/>
  <c r="G3" i="4"/>
  <c r="K27" i="4"/>
  <c r="J27" i="4" s="1"/>
  <c r="L27" i="4" s="1"/>
  <c r="K26" i="4" s="1"/>
  <c r="J26" i="4" s="1"/>
  <c r="L26" i="4" s="1"/>
  <c r="K25" i="4" s="1"/>
  <c r="J25" i="4" s="1"/>
  <c r="L25" i="4" s="1"/>
  <c r="K24" i="4" s="1"/>
  <c r="J24" i="4" s="1"/>
  <c r="L24" i="4" s="1"/>
  <c r="K23" i="4" s="1"/>
  <c r="J23" i="4" s="1"/>
  <c r="L23" i="4" s="1"/>
  <c r="N17" i="4"/>
  <c r="F27" i="4"/>
  <c r="D27" i="5" s="1"/>
  <c r="E25" i="4"/>
  <c r="C25" i="5" s="1"/>
  <c r="E25" i="5" s="1"/>
  <c r="K4" i="4"/>
  <c r="F25" i="4"/>
  <c r="D25" i="5" s="1"/>
  <c r="K17" i="4"/>
  <c r="D11" i="4"/>
  <c r="C18" i="4" s="1"/>
  <c r="D18" i="4" s="1"/>
  <c r="C22" i="4"/>
  <c r="D22" i="4" s="1"/>
  <c r="D13" i="4"/>
  <c r="D23" i="4"/>
  <c r="D19" i="4"/>
  <c r="D15" i="4"/>
  <c r="K6" i="4" l="1"/>
  <c r="N6" i="4"/>
  <c r="F6" i="4" s="1"/>
  <c r="O3" i="5" s="1"/>
  <c r="F5" i="5"/>
  <c r="M5" i="4"/>
  <c r="O5" i="4" s="1"/>
  <c r="G29" i="4"/>
  <c r="H29" i="4"/>
  <c r="M28" i="4"/>
  <c r="O28" i="4" s="1"/>
  <c r="H28" i="4" s="1"/>
  <c r="F28" i="4"/>
  <c r="D28" i="5" s="1"/>
  <c r="K9" i="4"/>
  <c r="K22" i="4"/>
  <c r="J22" i="4" s="1"/>
  <c r="L22" i="4" s="1"/>
  <c r="K21" i="4" s="1"/>
  <c r="J21" i="4" s="1"/>
  <c r="L21" i="4" s="1"/>
  <c r="K20" i="4" s="1"/>
  <c r="J20" i="4" s="1"/>
  <c r="L20" i="4" s="1"/>
  <c r="K19" i="4" s="1"/>
  <c r="J19" i="4" s="1"/>
  <c r="L19" i="4" s="1"/>
  <c r="K18" i="4" s="1"/>
  <c r="J18" i="4" s="1"/>
  <c r="L18" i="4" s="1"/>
  <c r="G18" i="4" s="1"/>
  <c r="D6" i="5"/>
  <c r="H6" i="5" s="1"/>
  <c r="H8" i="5"/>
  <c r="F8" i="5"/>
  <c r="C19" i="4"/>
  <c r="E26" i="4"/>
  <c r="C26" i="5" s="1"/>
  <c r="E26" i="5" s="1"/>
  <c r="C23" i="4"/>
  <c r="N26" i="4"/>
  <c r="H7" i="5"/>
  <c r="F7" i="5"/>
  <c r="H27" i="4"/>
  <c r="M6" i="4"/>
  <c r="O6" i="4" s="1"/>
  <c r="H6" i="4" s="1"/>
  <c r="G26" i="4"/>
  <c r="J28" i="4"/>
  <c r="L28" i="4" s="1"/>
  <c r="G28" i="4" s="1"/>
  <c r="E28" i="4"/>
  <c r="C28" i="5" s="1"/>
  <c r="E28" i="5" s="1"/>
  <c r="G27" i="4"/>
  <c r="E27" i="4"/>
  <c r="C27" i="5" s="1"/>
  <c r="E27" i="5" s="1"/>
  <c r="H25" i="5"/>
  <c r="F25" i="5"/>
  <c r="H27" i="5"/>
  <c r="F27" i="5"/>
  <c r="E4" i="4"/>
  <c r="J4" i="4"/>
  <c r="L4" i="4" s="1"/>
  <c r="G4" i="4" s="1"/>
  <c r="M17" i="4"/>
  <c r="O17" i="4" s="1"/>
  <c r="F17" i="4"/>
  <c r="D17" i="5" s="1"/>
  <c r="F15" i="4"/>
  <c r="D15" i="5" s="1"/>
  <c r="E15" i="4"/>
  <c r="C15" i="5" s="1"/>
  <c r="E15" i="5" s="1"/>
  <c r="C16" i="4"/>
  <c r="D16" i="4" s="1"/>
  <c r="F19" i="4"/>
  <c r="D19" i="5" s="1"/>
  <c r="C20" i="4"/>
  <c r="D20" i="4" s="1"/>
  <c r="E19" i="4"/>
  <c r="C19" i="5" s="1"/>
  <c r="E19" i="5" s="1"/>
  <c r="C14" i="4"/>
  <c r="D14" i="4" s="1"/>
  <c r="E13" i="4"/>
  <c r="C13" i="5" s="1"/>
  <c r="E13" i="5" s="1"/>
  <c r="F13" i="4"/>
  <c r="D13" i="5" s="1"/>
  <c r="F23" i="4"/>
  <c r="D23" i="5" s="1"/>
  <c r="C24" i="4"/>
  <c r="D24" i="4" s="1"/>
  <c r="E23" i="4"/>
  <c r="C23" i="5" s="1"/>
  <c r="E23" i="5" s="1"/>
  <c r="C12" i="4"/>
  <c r="D12" i="4" s="1"/>
  <c r="J17" i="4"/>
  <c r="L17" i="4" s="1"/>
  <c r="E17" i="4"/>
  <c r="C17" i="5" s="1"/>
  <c r="E17" i="5" s="1"/>
  <c r="E6" i="4" l="1"/>
  <c r="J6" i="4"/>
  <c r="L6" i="4" s="1"/>
  <c r="G6" i="4" s="1"/>
  <c r="F6" i="5"/>
  <c r="N4" i="4"/>
  <c r="H5" i="4"/>
  <c r="K10" i="4"/>
  <c r="E24" i="4"/>
  <c r="C24" i="5" s="1"/>
  <c r="E24" i="5" s="1"/>
  <c r="C25" i="4"/>
  <c r="C21" i="4"/>
  <c r="E20" i="4"/>
  <c r="C20" i="5" s="1"/>
  <c r="E20" i="5" s="1"/>
  <c r="E22" i="4"/>
  <c r="C22" i="5" s="1"/>
  <c r="E22" i="5" s="1"/>
  <c r="G19" i="4"/>
  <c r="E9" i="4"/>
  <c r="J9" i="4"/>
  <c r="L9" i="4" s="1"/>
  <c r="G9" i="4" s="1"/>
  <c r="M26" i="4"/>
  <c r="O26" i="4" s="1"/>
  <c r="F26" i="4"/>
  <c r="D26" i="5" s="1"/>
  <c r="G23" i="4"/>
  <c r="F28" i="5"/>
  <c r="H28" i="5"/>
  <c r="G22" i="4"/>
  <c r="C13" i="4"/>
  <c r="K16" i="4"/>
  <c r="J16" i="4" s="1"/>
  <c r="L16" i="4" s="1"/>
  <c r="K15" i="4" s="1"/>
  <c r="J15" i="4" s="1"/>
  <c r="L15" i="4" s="1"/>
  <c r="K14" i="4" s="1"/>
  <c r="J14" i="4" s="1"/>
  <c r="L14" i="4" s="1"/>
  <c r="K13" i="4" s="1"/>
  <c r="J13" i="4" s="1"/>
  <c r="L13" i="4" s="1"/>
  <c r="K12" i="4" s="1"/>
  <c r="J12" i="4" s="1"/>
  <c r="L12" i="4" s="1"/>
  <c r="K11" i="4" s="1"/>
  <c r="C15" i="4"/>
  <c r="C17" i="4"/>
  <c r="G17" i="4" s="1"/>
  <c r="N16" i="4"/>
  <c r="M16" i="4" s="1"/>
  <c r="O16" i="4" s="1"/>
  <c r="N15" i="4" s="1"/>
  <c r="M15" i="4" s="1"/>
  <c r="O15" i="4" s="1"/>
  <c r="N14" i="4" s="1"/>
  <c r="M14" i="4" s="1"/>
  <c r="O14" i="4" s="1"/>
  <c r="N13" i="4" s="1"/>
  <c r="M13" i="4" s="1"/>
  <c r="O13" i="4" s="1"/>
  <c r="N12" i="4" s="1"/>
  <c r="M12" i="4" s="1"/>
  <c r="O12" i="4" s="1"/>
  <c r="E18" i="4"/>
  <c r="C18" i="5" s="1"/>
  <c r="E18" i="5" s="1"/>
  <c r="C4" i="5"/>
  <c r="E4" i="5" s="1"/>
  <c r="P4" i="5"/>
  <c r="Q4" i="5" s="1"/>
  <c r="F17" i="5"/>
  <c r="H17" i="5"/>
  <c r="G24" i="4"/>
  <c r="H13" i="5"/>
  <c r="F13" i="5"/>
  <c r="G20" i="4"/>
  <c r="H23" i="5"/>
  <c r="F23" i="5"/>
  <c r="H19" i="5"/>
  <c r="F19" i="5"/>
  <c r="H15" i="5"/>
  <c r="F15" i="5"/>
  <c r="C6" i="5" l="1"/>
  <c r="E6" i="5" s="1"/>
  <c r="P3" i="5"/>
  <c r="Q3" i="5" s="1"/>
  <c r="M4" i="4"/>
  <c r="O4" i="4" s="1"/>
  <c r="H4" i="4" s="1"/>
  <c r="F4" i="4"/>
  <c r="J11" i="4"/>
  <c r="L11" i="4" s="1"/>
  <c r="G11" i="4" s="1"/>
  <c r="E11" i="4"/>
  <c r="C11" i="5" s="1"/>
  <c r="E11" i="5" s="1"/>
  <c r="G12" i="4"/>
  <c r="G14" i="4"/>
  <c r="G16" i="4"/>
  <c r="E16" i="4"/>
  <c r="C16" i="5" s="1"/>
  <c r="E16" i="5" s="1"/>
  <c r="H14" i="4"/>
  <c r="F14" i="4"/>
  <c r="D14" i="5" s="1"/>
  <c r="F14" i="5" s="1"/>
  <c r="E10" i="4"/>
  <c r="J10" i="4"/>
  <c r="L10" i="4" s="1"/>
  <c r="G10" i="4" s="1"/>
  <c r="N25" i="4"/>
  <c r="M25" i="4" s="1"/>
  <c r="O25" i="4" s="1"/>
  <c r="N24" i="4" s="1"/>
  <c r="H26" i="4"/>
  <c r="N10" i="4"/>
  <c r="E12" i="4"/>
  <c r="C12" i="5" s="1"/>
  <c r="E12" i="5" s="1"/>
  <c r="G25" i="4"/>
  <c r="F12" i="4"/>
  <c r="D12" i="5" s="1"/>
  <c r="D21" i="4"/>
  <c r="G21" i="4"/>
  <c r="H12" i="4"/>
  <c r="F16" i="4"/>
  <c r="D16" i="5" s="1"/>
  <c r="H16" i="4"/>
  <c r="H17" i="4"/>
  <c r="H15" i="4"/>
  <c r="G15" i="4"/>
  <c r="C9" i="5"/>
  <c r="E9" i="5" s="1"/>
  <c r="P5" i="5"/>
  <c r="Q5" i="5" s="1"/>
  <c r="E14" i="4"/>
  <c r="C14" i="5" s="1"/>
  <c r="E14" i="5" s="1"/>
  <c r="G13" i="4"/>
  <c r="H13" i="4"/>
  <c r="H26" i="5"/>
  <c r="F26" i="5"/>
  <c r="K3" i="4" l="1"/>
  <c r="H14" i="5"/>
  <c r="O4" i="5"/>
  <c r="D4" i="5"/>
  <c r="C10" i="5"/>
  <c r="E10" i="5" s="1"/>
  <c r="P6" i="5"/>
  <c r="Q6" i="5" s="1"/>
  <c r="F16" i="5"/>
  <c r="H16" i="5"/>
  <c r="M10" i="4"/>
  <c r="O10" i="4" s="1"/>
  <c r="H10" i="4" s="1"/>
  <c r="F10" i="4"/>
  <c r="J3" i="4"/>
  <c r="L3" i="4" s="1"/>
  <c r="E3" i="4"/>
  <c r="F21" i="4"/>
  <c r="D21" i="5" s="1"/>
  <c r="E21" i="4"/>
  <c r="C21" i="5" s="1"/>
  <c r="E21" i="5" s="1"/>
  <c r="H25" i="4"/>
  <c r="F12" i="5"/>
  <c r="H12" i="5"/>
  <c r="M24" i="4"/>
  <c r="O24" i="4" s="1"/>
  <c r="F24" i="4"/>
  <c r="D24" i="5" s="1"/>
  <c r="H4" i="5" l="1"/>
  <c r="F4" i="5"/>
  <c r="N23" i="4"/>
  <c r="M23" i="4" s="1"/>
  <c r="O23" i="4" s="1"/>
  <c r="H24" i="4"/>
  <c r="D10" i="5"/>
  <c r="O6" i="5"/>
  <c r="F21" i="5"/>
  <c r="H21" i="5"/>
  <c r="P2" i="5"/>
  <c r="Q2" i="5" s="1"/>
  <c r="C3" i="5"/>
  <c r="E3" i="5" s="1"/>
  <c r="H24" i="5"/>
  <c r="F24" i="5"/>
  <c r="F10" i="5" l="1"/>
  <c r="H10" i="5"/>
  <c r="N9" i="4"/>
  <c r="N22" i="4"/>
  <c r="H23" i="4"/>
  <c r="M9" i="4" l="1"/>
  <c r="O9" i="4" s="1"/>
  <c r="F9" i="4"/>
  <c r="M22" i="4"/>
  <c r="O22" i="4" s="1"/>
  <c r="F22" i="4"/>
  <c r="D22" i="5" s="1"/>
  <c r="N21" i="4" l="1"/>
  <c r="M21" i="4" s="1"/>
  <c r="O21" i="4" s="1"/>
  <c r="H22" i="4"/>
  <c r="F22" i="5"/>
  <c r="H22" i="5"/>
  <c r="O5" i="5"/>
  <c r="D9" i="5"/>
  <c r="H9" i="4"/>
  <c r="H9" i="5" l="1"/>
  <c r="F9" i="5"/>
  <c r="N20" i="4"/>
  <c r="H21" i="4"/>
  <c r="M20" i="4" l="1"/>
  <c r="O20" i="4" s="1"/>
  <c r="F20" i="4"/>
  <c r="D20" i="5" s="1"/>
  <c r="H20" i="5" l="1"/>
  <c r="F20" i="5"/>
  <c r="N19" i="4"/>
  <c r="M19" i="4" s="1"/>
  <c r="O19" i="4" s="1"/>
  <c r="H20" i="4"/>
  <c r="N18" i="4" l="1"/>
  <c r="H19" i="4"/>
  <c r="M18" i="4" l="1"/>
  <c r="O18" i="4" s="1"/>
  <c r="N11" i="4" s="1"/>
  <c r="F18" i="4"/>
  <c r="D18" i="5" s="1"/>
  <c r="M11" i="4" l="1"/>
  <c r="O11" i="4" s="1"/>
  <c r="H11" i="4" s="1"/>
  <c r="F11" i="4"/>
  <c r="D11" i="5" s="1"/>
  <c r="F18" i="5"/>
  <c r="H18" i="5"/>
  <c r="H18" i="4"/>
  <c r="N3" i="4"/>
  <c r="H11" i="5" l="1"/>
  <c r="F11" i="5"/>
  <c r="F3" i="4"/>
  <c r="M3" i="4"/>
  <c r="O3" i="4" s="1"/>
  <c r="D3" i="5" l="1"/>
  <c r="O2" i="5"/>
  <c r="H3" i="5" l="1"/>
  <c r="K4" i="5" s="1"/>
  <c r="F3" i="5"/>
  <c r="K3" i="5" s="1"/>
</calcChain>
</file>

<file path=xl/sharedStrings.xml><?xml version="1.0" encoding="utf-8"?>
<sst xmlns="http://schemas.openxmlformats.org/spreadsheetml/2006/main" count="211" uniqueCount="122">
  <si>
    <t>Name</t>
  </si>
  <si>
    <t>Component</t>
  </si>
  <si>
    <t>Manufacturer</t>
  </si>
  <si>
    <t>Source</t>
  </si>
  <si>
    <t>Price</t>
  </si>
  <si>
    <t>ID</t>
  </si>
  <si>
    <t>Victor SP DC Motor Driver</t>
  </si>
  <si>
    <t>https://www.vexrobotics.com/217-9090.html</t>
  </si>
  <si>
    <t>LiPo</t>
  </si>
  <si>
    <t>ItemID</t>
  </si>
  <si>
    <t>Output (V)</t>
  </si>
  <si>
    <t>Output (A)</t>
  </si>
  <si>
    <t>Battery Pack</t>
  </si>
  <si>
    <t>Banebots RS-550 Motor 19300rpm 12V 70.55oz-in</t>
  </si>
  <si>
    <t>BaneBot</t>
  </si>
  <si>
    <t>http://robotshop.com/en/banebots-rs-550-motor-12v-19300rpm.html</t>
  </si>
  <si>
    <t>FrontRight ESC</t>
  </si>
  <si>
    <t>MidRight ESC</t>
  </si>
  <si>
    <t>BackRight ESC</t>
  </si>
  <si>
    <t>FrontLeft ESC</t>
  </si>
  <si>
    <t>MidLeft ESC</t>
  </si>
  <si>
    <t>BackLeft ESC</t>
  </si>
  <si>
    <t>FrontRight Motor</t>
  </si>
  <si>
    <t>BackRight Motor</t>
  </si>
  <si>
    <t>FrontLeft Motor</t>
  </si>
  <si>
    <t>MidLeft Motor</t>
  </si>
  <si>
    <t>BackLeft Motor</t>
  </si>
  <si>
    <t>MidRight Motor</t>
  </si>
  <si>
    <t>Supply Component</t>
  </si>
  <si>
    <t>Logic Supply</t>
  </si>
  <si>
    <t>Raspberry Pi</t>
  </si>
  <si>
    <t>Raspberry Pi 3 Rev 1.2</t>
  </si>
  <si>
    <t>Master Control</t>
  </si>
  <si>
    <t>Battery Life (hrs)</t>
  </si>
  <si>
    <t>Battery (mAh)</t>
  </si>
  <si>
    <t>Supply Item</t>
  </si>
  <si>
    <t>Status:</t>
  </si>
  <si>
    <t>Ubiquity</t>
  </si>
  <si>
    <t>http://www.doubleradius.com/s.nl/sc.1/category./.f?search=rocket+m3</t>
  </si>
  <si>
    <t>POE Injector</t>
  </si>
  <si>
    <t>Transceiver</t>
  </si>
  <si>
    <t>Homemade POE injection</t>
  </si>
  <si>
    <t>Gabe</t>
  </si>
  <si>
    <t>?</t>
  </si>
  <si>
    <t>AMO-3G12 - Ubiquiti Antenna 3.4-3.7 GHz 12dBi Omni-directional</t>
  </si>
  <si>
    <t>Power Rail</t>
  </si>
  <si>
    <t>Voltage (V)</t>
  </si>
  <si>
    <t>Power (W)</t>
  </si>
  <si>
    <t>Wheel Motor</t>
  </si>
  <si>
    <t>Ubiquity Rocket M3</t>
  </si>
  <si>
    <t>https://www.servocity.com/12-rpm-hd-premium-planetary-gear-motor-w-encoder</t>
  </si>
  <si>
    <t>12 RPM HD Premium Planetary Gear Motor w/Encoder</t>
  </si>
  <si>
    <t>Shoulder Motor</t>
  </si>
  <si>
    <t>12RPM Motor</t>
  </si>
  <si>
    <t>26RPM Motor</t>
  </si>
  <si>
    <t>https://www.servocity.com/26-rpm-premium-planetary-gear-motor-w-encoder</t>
  </si>
  <si>
    <t>26 RPM Premium Planetary Gear Motor w/Encoder</t>
  </si>
  <si>
    <t>Base Motor</t>
  </si>
  <si>
    <t>Item</t>
  </si>
  <si>
    <t>Cost</t>
  </si>
  <si>
    <t>Grand Total</t>
  </si>
  <si>
    <t>Total Cost</t>
  </si>
  <si>
    <t>Input (V)</t>
  </si>
  <si>
    <t>Peak Consumption (W)</t>
  </si>
  <si>
    <t>Constant Consumption (W)</t>
  </si>
  <si>
    <t>Self Peak Consumption (W)</t>
  </si>
  <si>
    <t>Children Peak Consumption (W)</t>
  </si>
  <si>
    <t>Total Peak Consumption (W)</t>
  </si>
  <si>
    <t>Self Constant Consumption (W)</t>
  </si>
  <si>
    <t>Children Constant Consumption (W)</t>
  </si>
  <si>
    <t>Total Constant Consumption (W)</t>
  </si>
  <si>
    <t>Peak Input (A)</t>
  </si>
  <si>
    <t>Peak Output (A)</t>
  </si>
  <si>
    <t>Constant Input (A)</t>
  </si>
  <si>
    <t>Constant Output (A)</t>
  </si>
  <si>
    <t>Constant % Capacity</t>
  </si>
  <si>
    <t>Peak % Capacity</t>
  </si>
  <si>
    <t>Battery Life:</t>
  </si>
  <si>
    <t>Current Capacity</t>
  </si>
  <si>
    <t>Peak Current Used</t>
  </si>
  <si>
    <t>Constant Current Used</t>
  </si>
  <si>
    <t>Component Name</t>
  </si>
  <si>
    <t>Regulator</t>
  </si>
  <si>
    <t>Quantity</t>
  </si>
  <si>
    <t>24 V Lithuim Ion Battery back</t>
  </si>
  <si>
    <t>Adjustable Linear Voltage Regulator</t>
  </si>
  <si>
    <t>https://www.aliexpress.com/item/DC-Adjustable-Voltage-Regulator-Module-DC-4-5-30V-to-0-8-30V-12A-Buck-Converters/1724570414.html</t>
  </si>
  <si>
    <t>Aihsd</t>
  </si>
  <si>
    <t>BLDC ESC</t>
  </si>
  <si>
    <t>T-Motor 40A AIR Multirotor ESC (Brushless DC 3-phase)</t>
  </si>
  <si>
    <t>T-Motor</t>
  </si>
  <si>
    <t>http://www.robotshop.com/en/t-motor-40a-air-multirotor-esc.html</t>
  </si>
  <si>
    <t>Thoughput Loss</t>
  </si>
  <si>
    <t>20A 24V-&gt;12V Regulator</t>
  </si>
  <si>
    <t>https://www.amazon.com/Nextrox-Converter-Regulator-Step-Down/dp/B00BWKXTUU</t>
  </si>
  <si>
    <t>Nextrox DC/DC Converter Regulator 24V Step Down to 12V 20A 240W</t>
  </si>
  <si>
    <t>Elbow Motor</t>
  </si>
  <si>
    <t>Dirty Power 1</t>
  </si>
  <si>
    <t>Dirty Power 2</t>
  </si>
  <si>
    <t>12V VEX ESC</t>
  </si>
  <si>
    <t>Talon SRX DC Motor  Driver</t>
  </si>
  <si>
    <t>Cross The Road Electronics</t>
  </si>
  <si>
    <t>Shoulder ESC</t>
  </si>
  <si>
    <t>Base ESC</t>
  </si>
  <si>
    <t>Elbow ESC</t>
  </si>
  <si>
    <t>Current (A)</t>
  </si>
  <si>
    <t>LiFePo</t>
  </si>
  <si>
    <t>28V VEX ESC</t>
  </si>
  <si>
    <t>[INPUT]</t>
  </si>
  <si>
    <t>RM5</t>
  </si>
  <si>
    <t>Ubiquity Rocket M5</t>
  </si>
  <si>
    <t>Network Power</t>
  </si>
  <si>
    <t>Network Switch</t>
  </si>
  <si>
    <t>BatterySpace</t>
  </si>
  <si>
    <t>http://www.batteryspace.com/lipo-battery-pack-tattu-22-2v-12ah-266wh-15c-6s1p.aspx</t>
  </si>
  <si>
    <t>Output Current Limit (A)</t>
  </si>
  <si>
    <t>Discharge (for batteries)</t>
  </si>
  <si>
    <t>Notes</t>
  </si>
  <si>
    <t>12-40V input</t>
  </si>
  <si>
    <t>Peak Current (A)</t>
  </si>
  <si>
    <t>Virtual Node for system isolation</t>
  </si>
  <si>
    <t>Drivetrain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</si>
</sst>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0.0"/>
    <numFmt numFmtId="166" formatCode="#,##0.0"/>
    <numFmt numFmtId="167" formatCode="#\C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 style="thick">
        <color auto="1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NumberFormat="1"/>
    <xf numFmtId="49" fontId="0" fillId="0" borderId="0" xfId="0" applyNumberFormat="1"/>
    <xf numFmtId="164" fontId="0" fillId="0" borderId="0" xfId="0" applyNumberFormat="1"/>
    <xf numFmtId="4" fontId="0" fillId="0" borderId="0" xfId="0" applyNumberFormat="1"/>
    <xf numFmtId="2" fontId="0" fillId="0" borderId="0" xfId="0" applyNumberFormat="1"/>
    <xf numFmtId="10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Alignment="1"/>
    <xf numFmtId="166" fontId="0" fillId="0" borderId="0" xfId="0" applyNumberFormat="1" applyFont="1"/>
    <xf numFmtId="0" fontId="0" fillId="0" borderId="0" xfId="0" applyNumberFormat="1" applyAlignment="1"/>
    <xf numFmtId="164" fontId="0" fillId="0" borderId="0" xfId="0" applyNumberFormat="1" applyAlignment="1"/>
    <xf numFmtId="166" fontId="0" fillId="0" borderId="0" xfId="0" applyNumberFormat="1" applyAlignment="1"/>
    <xf numFmtId="0" fontId="1" fillId="0" borderId="0" xfId="0" applyFont="1" applyAlignment="1"/>
    <xf numFmtId="0" fontId="0" fillId="0" borderId="2" xfId="0" applyBorder="1" applyAlignment="1"/>
    <xf numFmtId="0" fontId="0" fillId="0" borderId="2" xfId="0" applyNumberFormat="1" applyBorder="1" applyAlignment="1"/>
    <xf numFmtId="49" fontId="2" fillId="0" borderId="0" xfId="1" applyNumberFormat="1" applyAlignment="1">
      <alignment wrapText="1"/>
    </xf>
    <xf numFmtId="4" fontId="0" fillId="0" borderId="0" xfId="0" applyNumberFormat="1" applyAlignment="1"/>
    <xf numFmtId="0" fontId="3" fillId="0" borderId="0" xfId="0" applyFont="1" applyBorder="1"/>
    <xf numFmtId="0" fontId="3" fillId="0" borderId="1" xfId="0" applyFont="1" applyBorder="1"/>
    <xf numFmtId="0" fontId="3" fillId="0" borderId="0" xfId="0" applyFont="1"/>
    <xf numFmtId="0" fontId="3" fillId="0" borderId="0" xfId="0" applyNumberFormat="1" applyFont="1" applyBorder="1"/>
    <xf numFmtId="0" fontId="3" fillId="0" borderId="0" xfId="0" applyNumberFormat="1" applyFont="1"/>
    <xf numFmtId="165" fontId="3" fillId="0" borderId="0" xfId="0" applyNumberFormat="1" applyFont="1"/>
    <xf numFmtId="2" fontId="3" fillId="0" borderId="0" xfId="0" applyNumberFormat="1" applyFont="1"/>
    <xf numFmtId="167" fontId="0" fillId="0" borderId="0" xfId="0" applyNumberFormat="1"/>
  </cellXfs>
  <cellStyles count="2">
    <cellStyle name="Hyperlink" xfId="1" builtinId="8"/>
    <cellStyle name="Normal" xfId="0" builtinId="0"/>
  </cellStyles>
  <dxfs count="69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numFmt numFmtId="164" formatCode="&quot;$&quot;#,##0.00"/>
    </dxf>
    <dxf>
      <numFmt numFmtId="0" formatCode="General"/>
    </dxf>
    <dxf>
      <numFmt numFmtId="0" formatCode="General"/>
    </dxf>
    <dxf>
      <numFmt numFmtId="164" formatCode="&quot;$&quot;#,##0.00"/>
    </dxf>
    <dxf>
      <numFmt numFmtId="2" formatCode="0.00"/>
    </dxf>
    <dxf>
      <numFmt numFmtId="165" formatCode="0.0"/>
    </dxf>
    <dxf>
      <numFmt numFmtId="14" formatCode="0.00%"/>
    </dxf>
    <dxf>
      <numFmt numFmtId="14" formatCode="0.00%"/>
    </dxf>
    <dxf>
      <numFmt numFmtId="166" formatCode="#,##0.0"/>
    </dxf>
    <dxf>
      <numFmt numFmtId="166" formatCode="#,##0.0"/>
    </dxf>
    <dxf>
      <numFmt numFmtId="0" formatCode="General"/>
    </dxf>
    <dxf>
      <numFmt numFmtId="0" formatCode="General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2" formatCode="0.0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4" formatCode="#,##0.00"/>
      <alignment horizontal="general" vertical="bottom" textRotation="0" wrapText="0" indent="0" justifyLastLine="0" shrinkToFit="0" readingOrder="0"/>
    </dxf>
    <dxf>
      <numFmt numFmtId="166" formatCode="#,##0.0"/>
      <alignment horizontal="general" vertical="bottom" textRotation="0" wrapText="0" indent="0" justifyLastLine="0" shrinkToFit="0" readingOrder="0"/>
    </dxf>
    <dxf>
      <numFmt numFmtId="166" formatCode="#,##0.0"/>
      <alignment horizontal="general" vertical="bottom" textRotation="0" wrapText="0" indent="0" justifyLastLine="0" shrinkToFit="0" readingOrder="0"/>
    </dxf>
    <dxf>
      <numFmt numFmtId="166" formatCode="#,##0.0"/>
      <alignment horizontal="general" vertical="bottom" textRotation="0" wrapText="0" indent="0" justifyLastLine="0" shrinkToFit="0" readingOrder="0"/>
    </dxf>
    <dxf>
      <numFmt numFmtId="166" formatCode="#,##0.0"/>
      <alignment horizontal="general" vertical="bottom" textRotation="0" wrapText="0" indent="0" justifyLastLine="0" shrinkToFit="0" readingOrder="0"/>
    </dxf>
    <dxf>
      <numFmt numFmtId="166" formatCode="#,##0.0"/>
      <alignment horizontal="general" vertical="bottom" textRotation="0" wrapText="0" indent="0" justifyLastLine="0" shrinkToFit="0" readingOrder="0"/>
    </dxf>
    <dxf>
      <numFmt numFmtId="164" formatCode="&quot;$&quot;#,##0.00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4" formatCode="#,##0.00"/>
    </dxf>
    <dxf>
      <numFmt numFmtId="166" formatCode="#,##0.0"/>
    </dxf>
    <dxf>
      <numFmt numFmtId="167" formatCode="#\C"/>
    </dxf>
    <dxf>
      <numFmt numFmtId="166" formatCode="#,##0.0"/>
    </dxf>
    <dxf>
      <numFmt numFmtId="166" formatCode="#,##0.0"/>
    </dxf>
    <dxf>
      <numFmt numFmtId="166" formatCode="#,##0.0"/>
    </dxf>
    <dxf>
      <numFmt numFmtId="166" formatCode="#,##0.0"/>
    </dxf>
    <dxf>
      <numFmt numFmtId="166" formatCode="#,##0.0"/>
    </dxf>
    <dxf>
      <numFmt numFmtId="164" formatCode="&quot;$&quot;#,##0.0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colors>
    <mruColors>
      <color rgb="FFDCDE80"/>
      <color rgb="FFFFF8CB"/>
      <color rgb="FFFFB9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 Talbert" refreshedDate="42955.79886516204" createdVersion="5" refreshedVersion="6" minRefreshableVersion="3" recordCount="29" xr:uid="{00000000-000A-0000-FFFF-FFFF00000000}">
  <cacheSource type="worksheet">
    <worksheetSource name="Costs"/>
  </cacheSource>
  <cacheFields count="4">
    <cacheField name="Item" numFmtId="0">
      <sharedItems/>
    </cacheField>
    <cacheField name="Component Name" numFmtId="0">
      <sharedItems count="13">
        <s v=""/>
        <s v="24 V Lithuim Ion Battery back"/>
        <s v="Adjustable Linear Voltage Regulator"/>
        <s v="Raspberry Pi 3 Rev 1.2"/>
        <s v="Homemade POE injection"/>
        <s v="Ubiquity Rocket M3"/>
        <s v="AMO-3G12 - Ubiquiti Antenna 3.4-3.7 GHz 12dBi Omni-directional"/>
        <s v="Victor SP DC Motor Driver"/>
        <s v="Banebots RS-550 Motor 19300rpm 12V 70.55oz-in"/>
        <s v="12 RPM HD Premium Planetary Gear Motor w/Encoder"/>
        <s v="26 RPM Premium Planetary Gear Motor w/Encoder"/>
        <s v="Linear Voltage Regulator" u="1"/>
        <s v="Linear Regulator" u="1"/>
      </sharedItems>
    </cacheField>
    <cacheField name="Cost" numFmtId="164">
      <sharedItems containsMixedTypes="1" containsNumber="1" minValue="7.25" maxValue="180"/>
    </cacheField>
    <cacheField name="Field1" numFmtId="0" formula="Cos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s v=""/>
    <x v="0"/>
    <s v=""/>
  </r>
  <r>
    <s v="Battery Pack"/>
    <x v="1"/>
    <s v=""/>
  </r>
  <r>
    <s v="Logic Supply"/>
    <x v="2"/>
    <s v=""/>
  </r>
  <r>
    <s v="Master Control"/>
    <x v="3"/>
    <n v="30"/>
  </r>
  <r>
    <s v="Comms Power"/>
    <x v="4"/>
    <s v=""/>
  </r>
  <r>
    <s v="Transceiver"/>
    <x v="5"/>
    <n v="180"/>
  </r>
  <r>
    <s v="Antenna"/>
    <x v="6"/>
    <n v="150"/>
  </r>
  <r>
    <s v="Dirty Power"/>
    <x v="2"/>
    <s v=""/>
  </r>
  <r>
    <s v="FrontRight ESC"/>
    <x v="7"/>
    <n v="60"/>
  </r>
  <r>
    <s v="FrontRight Motor"/>
    <x v="8"/>
    <n v="7.25"/>
  </r>
  <r>
    <s v="MidRight ESC"/>
    <x v="7"/>
    <n v="60"/>
  </r>
  <r>
    <s v="MidRight Motor"/>
    <x v="8"/>
    <n v="7.25"/>
  </r>
  <r>
    <s v="BackRight ESC"/>
    <x v="7"/>
    <n v="60"/>
  </r>
  <r>
    <s v="BackRight Motor"/>
    <x v="8"/>
    <n v="7.25"/>
  </r>
  <r>
    <s v="FrontLeft ESC"/>
    <x v="7"/>
    <n v="60"/>
  </r>
  <r>
    <s v="FrontLeft Motor"/>
    <x v="8"/>
    <n v="7.25"/>
  </r>
  <r>
    <s v="MidLeft ESC"/>
    <x v="7"/>
    <n v="60"/>
  </r>
  <r>
    <s v="MidLeft Motor"/>
    <x v="8"/>
    <n v="7.25"/>
  </r>
  <r>
    <s v="BackLeft ESC"/>
    <x v="7"/>
    <n v="60"/>
  </r>
  <r>
    <s v="BackLeft Motor"/>
    <x v="8"/>
    <n v="7.25"/>
  </r>
  <r>
    <s v="Shoulder Motor"/>
    <x v="9"/>
    <n v="60"/>
  </r>
  <r>
    <s v="Base Motor"/>
    <x v="10"/>
    <n v="50"/>
  </r>
  <r>
    <s v="Upper Limb Motor"/>
    <x v="10"/>
    <n v="50"/>
  </r>
  <r>
    <s v=""/>
    <x v="0"/>
    <s v=""/>
  </r>
  <r>
    <s v=""/>
    <x v="0"/>
    <s v=""/>
  </r>
  <r>
    <s v=""/>
    <x v="0"/>
    <s v=""/>
  </r>
  <r>
    <s v=""/>
    <x v="0"/>
    <s v=""/>
  </r>
  <r>
    <s v=""/>
    <x v="0"/>
    <s v=""/>
  </r>
  <r>
    <s v=""/>
    <x v="0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Component">
  <location ref="E1:G12" firstHeaderRow="0" firstDataRow="1" firstDataCol="1"/>
  <pivotFields count="4">
    <pivotField showAll="0"/>
    <pivotField axis="axisRow" showAll="0" includeNewItemsInFilter="1">
      <items count="14">
        <item h="1" x="0"/>
        <item x="9"/>
        <item x="10"/>
        <item x="6"/>
        <item x="8"/>
        <item x="4"/>
        <item m="1" x="12"/>
        <item x="3"/>
        <item x="5"/>
        <item x="7"/>
        <item x="1"/>
        <item m="1" x="11"/>
        <item x="2"/>
        <item t="default"/>
      </items>
    </pivotField>
    <pivotField dataField="1" showAll="0"/>
    <pivotField dataField="1" dragToRow="0" dragToCol="0" dragToPage="0" showAll="0" defaultSubtotal="0"/>
  </pivotFields>
  <rowFields count="1">
    <field x="1"/>
  </rowFields>
  <rowItems count="11"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Quantity" fld="2" subtotal="count" baseField="1" baseItem="1"/>
    <dataField name="Total Cost" fld="3" baseField="1" baseItem="1" numFmtId="164"/>
  </dataFields>
  <formats count="1">
    <format dxfId="1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ComponentData" displayName="ComponentData" ref="A1:N16" totalsRowShown="0">
  <autoFilter ref="A1:N16" xr:uid="{00000000-0009-0000-0100-000002000000}"/>
  <tableColumns count="14">
    <tableColumn id="1" xr3:uid="{00000000-0010-0000-0000-000001000000}" name="ID" dataDxfId="68"/>
    <tableColumn id="6" xr3:uid="{00000000-0010-0000-0000-000006000000}" name="Name" dataDxfId="67"/>
    <tableColumn id="2" xr3:uid="{00000000-0010-0000-0000-000002000000}" name="Manufacturer" dataDxfId="66"/>
    <tableColumn id="3" xr3:uid="{00000000-0010-0000-0000-000003000000}" name="Source" dataDxfId="65"/>
    <tableColumn id="14" xr3:uid="{6A244259-BB2A-459C-B0E1-991C19EA0C8F}" name="Notes" dataDxfId="64" dataCellStyle="Hyperlink"/>
    <tableColumn id="4" xr3:uid="{00000000-0010-0000-0000-000004000000}" name="Price" dataDxfId="63"/>
    <tableColumn id="5" xr3:uid="{00000000-0010-0000-0000-000005000000}" name="Peak Consumption (W)" dataDxfId="62"/>
    <tableColumn id="10" xr3:uid="{00000000-0010-0000-0000-00000A000000}" name="Constant Consumption (W)" dataDxfId="61"/>
    <tableColumn id="7" xr3:uid="{00000000-0010-0000-0000-000007000000}" name="Output (V)" dataDxfId="60"/>
    <tableColumn id="8" xr3:uid="{00000000-0010-0000-0000-000008000000}" name="Output (A)" dataDxfId="59">
      <calculatedColumnFormula>MAX(ComponentData[[#This Row],[Output Current Limit (A)]], ComponentData[[#This Row],[Discharge (for batteries)]]*ComponentData[[#This Row],[Battery (mAh)]]/1000)</calculatedColumnFormula>
    </tableColumn>
    <tableColumn id="13" xr3:uid="{EAB38889-81D8-483D-81AD-0E87BE980AFE}" name="Output Current Limit (A)" dataDxfId="58"/>
    <tableColumn id="12" xr3:uid="{7019C30C-0028-430A-9C9F-F1D685462011}" name="Discharge (for batteries)" dataDxfId="57"/>
    <tableColumn id="9" xr3:uid="{00000000-0010-0000-0000-000009000000}" name="Battery (mAh)" dataDxfId="56"/>
    <tableColumn id="11" xr3:uid="{00000000-0010-0000-0000-00000B000000}" name="Thoughput Loss" dataDxfId="5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Items" displayName="Items" ref="A1:N36" totalsRowShown="0" headerRowDxfId="54" dataDxfId="53">
  <autoFilter ref="A1:N36" xr:uid="{00000000-0009-0000-0100-000003000000}"/>
  <tableColumns count="14">
    <tableColumn id="1" xr3:uid="{00000000-0010-0000-0100-000001000000}" name="ItemID" dataDxfId="52"/>
    <tableColumn id="2" xr3:uid="{00000000-0010-0000-0100-000002000000}" name="Component" dataDxfId="51"/>
    <tableColumn id="3" xr3:uid="{00000000-0010-0000-0100-000003000000}" name="Supply Item" dataDxfId="50"/>
    <tableColumn id="4" xr3:uid="{00000000-0010-0000-0100-000004000000}" name="Supply Component" dataDxfId="49">
      <calculatedColumnFormula>IF(OR(ISBLANK(Items[[#This Row],[Supply Item]]), Items[[#This Row],[Supply Item]]="", Items[[#This Row],[Supply Item]]=0), "", VLOOKUP(Items[[#This Row],[Supply Item]], Items[], COLUMN(Items[Component])-COLUMN(Items[])+1, FALSE))</calculatedColumnFormula>
    </tableColumn>
    <tableColumn id="5" xr3:uid="{00000000-0010-0000-0100-000005000000}" name="Name" dataDxfId="48">
      <calculatedColumnFormula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calculatedColumnFormula>
    </tableColumn>
    <tableColumn id="6" xr3:uid="{00000000-0010-0000-0100-000006000000}" name="Manufacturer" dataDxfId="47">
      <calculatedColumnFormula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calculatedColumnFormula>
    </tableColumn>
    <tableColumn id="7" xr3:uid="{00000000-0010-0000-0100-000007000000}" name="Source" dataDxfId="46">
      <calculatedColumnFormula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calculatedColumnFormula>
    </tableColumn>
    <tableColumn id="8" xr3:uid="{00000000-0010-0000-0100-000008000000}" name="Price" dataDxfId="45">
      <calculatedColumnFormula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calculatedColumnFormula>
    </tableColumn>
    <tableColumn id="9" xr3:uid="{00000000-0010-0000-0100-000009000000}" name="Peak Consumption (W)" dataDxfId="44">
      <calculatedColumnFormula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calculatedColumnFormula>
    </tableColumn>
    <tableColumn id="10" xr3:uid="{00000000-0010-0000-0100-00000A000000}" name="Constant Consumption (W)" dataDxfId="43">
      <calculatedColumnFormula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calculatedColumnFormula>
    </tableColumn>
    <tableColumn id="11" xr3:uid="{00000000-0010-0000-0100-00000B000000}" name="Output (V)" dataDxfId="42">
      <calculatedColumnFormula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calculatedColumnFormula>
    </tableColumn>
    <tableColumn id="12" xr3:uid="{00000000-0010-0000-0100-00000C000000}" name="Output (A)" dataDxfId="41">
      <calculatedColumnFormula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calculatedColumnFormula>
    </tableColumn>
    <tableColumn id="13" xr3:uid="{00000000-0010-0000-0100-00000D000000}" name="Battery (mAh)" dataDxfId="40">
      <calculatedColumnFormula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calculatedColumnFormula>
    </tableColumn>
    <tableColumn id="14" xr3:uid="{00000000-0010-0000-0100-00000E000000}" name="Thoughput Loss" dataDxfId="39">
      <calculatedColumnFormula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Analysis" displayName="Analysis" ref="A1:O30" totalsRowShown="0">
  <autoFilter ref="A1:O30" xr:uid="{00000000-0009-0000-0100-000006000000}"/>
  <tableColumns count="15">
    <tableColumn id="1" xr3:uid="{00000000-0010-0000-0200-000001000000}" name="ItemID" dataDxfId="38">
      <calculatedColumnFormula>IF(IFERROR(Items[[#This Row],[ItemID]], 0)=0, "", Items[[#This Row],[ItemID]])</calculatedColumnFormula>
    </tableColumn>
    <tableColumn id="5" xr3:uid="{00000000-0010-0000-0200-000005000000}" name="Supply Item" dataDxfId="37"/>
    <tableColumn id="11" xr3:uid="{00000000-0010-0000-0200-00000B000000}" name="Input (V)" dataDxfId="36">
      <calculatedColumnFormula>IF(OR(ISBLANK(Analysis[[#This Row],[ItemID]]), Analysis[[#This Row],[ItemID]]="", ISBLANK(Analysis[[#This Row],[Supply Item]]), Analysis[[#This Row],[Supply Item]]=""), "", VLOOKUP(Analysis[[#This Row],[Supply Item]], Analysis[], COLUMN(Analysis[Output (V)]), FALSE))</calculatedColumnFormula>
    </tableColumn>
    <tableColumn id="8" xr3:uid="{00000000-0010-0000-0200-000008000000}" name="Output (V)" dataDxfId="35">
      <calculatedColumnFormula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calculatedColumnFormula>
    </tableColumn>
    <tableColumn id="7" xr3:uid="{00000000-0010-0000-0200-000007000000}" name="Peak Output (A)" dataDxfId="34">
      <calculatedColumnFormula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calculatedColumnFormula>
    </tableColumn>
    <tableColumn id="17" xr3:uid="{00000000-0010-0000-0200-000011000000}" name="Constant Output (A)" dataDxfId="33">
      <calculatedColumnFormula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calculatedColumnFormula>
    </tableColumn>
    <tableColumn id="9" xr3:uid="{00000000-0010-0000-0200-000009000000}" name="Peak Input (A)" dataDxfId="32">
      <calculatedColumnFormula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calculatedColumnFormula>
    </tableColumn>
    <tableColumn id="16" xr3:uid="{00000000-0010-0000-0200-000010000000}" name="Constant Input (A)" dataDxfId="31">
      <calculatedColumnFormula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calculatedColumnFormula>
    </tableColumn>
    <tableColumn id="2" xr3:uid="{00000000-0010-0000-0200-000002000000}" name="Thoughput Loss" dataDxfId="30">
      <calculatedColumnFormula>IF(OR(ISBLANK(Analysis[[#This Row],[ItemID]]), Analysis[[#This Row],[ItemID]]=""), "", VLOOKUP(Analysis[[#This Row],[ItemID]], Items[], COLUMN(Items[Thoughput Loss])-COLUMN(Items[])+1, FALSE))</calculatedColumnFormula>
    </tableColumn>
    <tableColumn id="3" xr3:uid="{00000000-0010-0000-0200-000003000000}" name="Self Peak Consumption (W)" dataDxfId="29">
      <calculatedColumnFormula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calculatedColumnFormula>
    </tableColumn>
    <tableColumn id="4" xr3:uid="{00000000-0010-0000-0200-000004000000}" name="Children Peak Consumption (W)" dataDxfId="28">
      <calculatedColumnFormula>IF(OR(ISBLANK(Analysis[[#This Row],[ItemID]]), Analysis[[#This Row],[ItemID]]=""), "", SUMIFS(Analysis[Total Peak Consumption (W)], Analysis[Supply Item], Analysis[[#This Row],[ItemID]]))</calculatedColumnFormula>
    </tableColumn>
    <tableColumn id="6" xr3:uid="{00000000-0010-0000-0200-000006000000}" name="Total Peak Consumption (W)" dataDxfId="27">
      <calculatedColumnFormula>IF(OR(ISBLANK(Analysis[[#This Row],[ItemID]]), Analysis[[#This Row],[ItemID]]=""), "", Analysis[[#This Row],[Self Peak Consumption (W)]]+Analysis[[#This Row],[Children Peak Consumption (W)]])</calculatedColumnFormula>
    </tableColumn>
    <tableColumn id="12" xr3:uid="{00000000-0010-0000-0200-00000C000000}" name="Self Constant Consumption (W)" dataDxfId="26">
      <calculatedColumnFormula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calculatedColumnFormula>
    </tableColumn>
    <tableColumn id="14" xr3:uid="{00000000-0010-0000-0200-00000E000000}" name="Children Constant Consumption (W)" dataDxfId="25">
      <calculatedColumnFormula>IF(OR(ISBLANK(Analysis[[#This Row],[ItemID]]), Analysis[[#This Row],[ItemID]]=""), "", SUMIFS(Analysis[Total Constant Consumption (W)], Analysis[Supply Item], Analysis[[#This Row],[ItemID]]))</calculatedColumnFormula>
    </tableColumn>
    <tableColumn id="15" xr3:uid="{00000000-0010-0000-0200-00000F000000}" name="Total Constant Consumption (W)" dataDxfId="24">
      <calculatedColumnFormula>IF(OR(ISBLANK(Analysis[[#This Row],[ItemID]]), Analysis[[#This Row],[ItemID]]=""), "", Analysis[[#This Row],[Self Constant Consumption (W)]]+Analysis[[#This Row],[Children Constant Consumption (W)]])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Results" displayName="Results" ref="A1:H30" totalsRowShown="0">
  <autoFilter ref="A1:H30" xr:uid="{00000000-0009-0000-0100-000007000000}"/>
  <tableColumns count="8">
    <tableColumn id="1" xr3:uid="{00000000-0010-0000-0300-000001000000}" name="ItemID" dataDxfId="23">
      <calculatedColumnFormula>IF(IFERROR(Analysis[[#This Row],[ItemID]], 0)=0, "", Analysis[[#This Row],[ItemID]])</calculatedColumnFormula>
    </tableColumn>
    <tableColumn id="4" xr3:uid="{00000000-0010-0000-0300-000004000000}" name="Current Capacity" dataDxfId="22">
      <calculatedColumnFormula>IF(OR(ISBLANK(Results[[#This Row],[ItemID]]), Results[[#This Row],[ItemID]]=0, Results[[#This Row],[ItemID]]=""), "", VLOOKUP(Results[[#This Row],[ItemID]], Items[], COLUMN(Items[Output (A)])-COLUMN(Items[])+1, FALSE))</calculatedColumnFormula>
    </tableColumn>
    <tableColumn id="5" xr3:uid="{00000000-0010-0000-0300-000005000000}" name="Peak Current Used" dataDxfId="21">
      <calculatedColumnFormula>IF(OR(ISBLANK(Results[[#This Row],[ItemID]]), Results[[#This Row],[ItemID]]=0, Results[[#This Row],[ItemID]]=""), "", VLOOKUP(Results[[#This Row],[ItemID]], Analysis[], COLUMN(Analysis[Peak Output (A)])-COLUMN(Analysis[])+1, FALSE))</calculatedColumnFormula>
    </tableColumn>
    <tableColumn id="8" xr3:uid="{00000000-0010-0000-0300-000008000000}" name="Constant Current Used" dataDxfId="20">
      <calculatedColumnFormula>IF(OR(ISBLANK(Results[[#This Row],[ItemID]]), Results[[#This Row],[ItemID]]=0, Results[[#This Row],[ItemID]]=""), "", VLOOKUP(Results[[#This Row],[ItemID]], Analysis[], COLUMN(Analysis[Constant Output (A)])-COLUMN(Analysis[])+1, FALSE))</calculatedColumnFormula>
    </tableColumn>
    <tableColumn id="3" xr3:uid="{00000000-0010-0000-0300-000003000000}" name="Peak % Capacity" dataDxfId="19">
      <calculatedColumnFormula>IF(OR(ISBLANK(Results[[#This Row],[ItemID]]), Results[[#This Row],[Current Capacity]]=0, Results[[#This Row],[Current Capacity]]="", Results[[#This Row],[Peak Current Used]]=""), "", Results[[#This Row],[Peak Current Used]]/Results[[#This Row],[Current Capacity]])</calculatedColumnFormula>
    </tableColumn>
    <tableColumn id="7" xr3:uid="{00000000-0010-0000-0300-000007000000}" name="Constant % Capacity" dataDxfId="18">
      <calculatedColumnFormula>IF(OR(ISBLANK(Results[[#This Row],[ItemID]]), Results[[#This Row],[Current Capacity]]=0, Results[[#This Row],[Current Capacity]]="", Results[[#This Row],[Constant Current Used]]=""), "", Results[[#This Row],[Constant Current Used]]/Results[[#This Row],[Current Capacity]])</calculatedColumnFormula>
    </tableColumn>
    <tableColumn id="9" xr3:uid="{00000000-0010-0000-0300-000009000000}" name="Battery (mAh)" dataDxfId="17">
      <calculatedColumnFormula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calculatedColumnFormula>
    </tableColumn>
    <tableColumn id="6" xr3:uid="{00000000-0010-0000-0300-000006000000}" name="Battery Life (hrs)" dataDxfId="16">
      <calculatedColumnFormula>IF(OR(ISBLANK(Results[[#This Row],[ItemID]]), Results[[#This Row],[Constant Current Used]]="", Results[[#This Row],[Battery (mAh)]]=""), "", (Results[[#This Row],[Battery (mAh)]]/1000)/Results[[#This Row],[Constant Current Used]])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RailSummary" displayName="RailSummary" ref="M1:Q8" totalsRowShown="0" dataDxfId="0">
  <autoFilter ref="M1:Q8" xr:uid="{00000000-0009-0000-0100-000001000000}"/>
  <tableColumns count="5">
    <tableColumn id="1" xr3:uid="{00000000-0010-0000-0400-000001000000}" name="Power Rail" dataDxfId="5"/>
    <tableColumn id="2" xr3:uid="{00000000-0010-0000-0400-000002000000}" name="Voltage (V)" dataDxfId="4">
      <calculatedColumnFormula>IF(ISBLANK(RailSummary[[#This Row],[Power Rail]]), "", VLOOKUP(RailSummary[[#This Row],[Power Rail]], Analysis[], COLUMN(Analysis[Output (V)])-COLUMN(Analysis[])+1, FALSE))</calculatedColumnFormula>
    </tableColumn>
    <tableColumn id="5" xr3:uid="{5734B35D-169B-4597-A9BA-F7DB77804437}" name="Current (A)" dataDxfId="3">
      <calculatedColumnFormula>IF(ISBLANK(RailSummary[[#This Row],[Power Rail]]), "", VLOOKUP(RailSummary[[#This Row],[Power Rail]], Analysis[], COLUMN(Analysis[Constant Output (A)])-COLUMN(Analysis[])+1, FALSE))</calculatedColumnFormula>
    </tableColumn>
    <tableColumn id="3" xr3:uid="{00000000-0010-0000-0400-000003000000}" name="Peak Current (A)" dataDxfId="2">
      <calculatedColumnFormula>IF(ISBLANK(RailSummary[[#This Row],[Power Rail]]), "", VLOOKUP(RailSummary[[#This Row],[Power Rail]], Analysis[], COLUMN(Analysis[Peak Output (A)])-COLUMN(Analysis[])+1, FALSE))</calculatedColumnFormula>
    </tableColumn>
    <tableColumn id="4" xr3:uid="{00000000-0010-0000-0400-000004000000}" name="Power (W)" dataDxfId="1">
      <calculatedColumnFormula>IF(ISBLANK(RailSummary[[#This Row],[Power Rail]]), "", RailSummary[[#This Row],[Voltage (V)]]*RailSummary[[#This Row],[Peak Current (A)]])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Costs" displayName="Costs" ref="A1:C30">
  <autoFilter ref="A1:C30" xr:uid="{00000000-0009-0000-0100-000004000000}"/>
  <tableColumns count="3">
    <tableColumn id="1" xr3:uid="{00000000-0010-0000-0500-000001000000}" name="Item" totalsRowLabel="Total" dataDxfId="14">
      <calculatedColumnFormula>IF(OR(ISBLANK(Analysis[[#This Row],[ItemID]]), Analysis[[#This Row],[ItemID]]="", Analysis[[#This Row],[ItemID]]=0), "", Analysis[[#This Row],[ItemID]])</calculatedColumnFormula>
    </tableColumn>
    <tableColumn id="2" xr3:uid="{00000000-0010-0000-0500-000002000000}" name="Component Name" dataDxfId="13">
      <calculatedColumnFormula>IF(OR(ISBLANK(Costs[[#This Row],[Item]]), Costs[[#This Row],[Item]]="", Costs[[#This Row],[Item]]=0), "", VLOOKUP(Costs[[#This Row],[Item]], Items[], COLUMN(Items[Name])-COLUMN(Items[])+1, FALSE))</calculatedColumnFormula>
    </tableColumn>
    <tableColumn id="3" xr3:uid="{00000000-0010-0000-0500-000003000000}" name="Cost" totalsRowFunction="count" dataDxfId="12">
      <calculatedColumnFormula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Nextrox-Converter-Regulator-Step-Down/dp/B00BWKXTUU" TargetMode="External"/><Relationship Id="rId2" Type="http://schemas.openxmlformats.org/officeDocument/2006/relationships/hyperlink" Target="http://www.batteryspace.com/lipo-battery-pack-tattu-22-2v-12ah-266wh-15c-6s1p.aspx" TargetMode="External"/><Relationship Id="rId1" Type="http://schemas.openxmlformats.org/officeDocument/2006/relationships/hyperlink" Target="http://robotshop.com/en/banebots-rs-550-motor-12v-19300rpm.html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6"/>
  <sheetViews>
    <sheetView zoomScale="85" zoomScaleNormal="85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F17" sqref="F17"/>
    </sheetView>
  </sheetViews>
  <sheetFormatPr defaultRowHeight="15" x14ac:dyDescent="0.25"/>
  <cols>
    <col min="1" max="1" width="29.7109375" customWidth="1"/>
    <col min="2" max="2" width="59.85546875" bestFit="1" customWidth="1"/>
    <col min="3" max="3" width="15.5703125" bestFit="1" customWidth="1"/>
    <col min="4" max="4" width="65" customWidth="1"/>
    <col min="5" max="5" width="19.28515625" customWidth="1"/>
    <col min="6" max="6" width="7.7109375" bestFit="1" customWidth="1"/>
    <col min="7" max="7" width="24.140625" bestFit="1" customWidth="1"/>
    <col min="8" max="8" width="27.85546875" bestFit="1" customWidth="1"/>
    <col min="9" max="9" width="12.7109375" bestFit="1" customWidth="1"/>
    <col min="10" max="10" width="12.7109375" hidden="1" customWidth="1"/>
    <col min="11" max="12" width="25.140625" bestFit="1" customWidth="1"/>
    <col min="13" max="13" width="15.7109375" bestFit="1" customWidth="1"/>
    <col min="14" max="14" width="17.140625" bestFit="1" customWidth="1"/>
  </cols>
  <sheetData>
    <row r="1" spans="1:14" x14ac:dyDescent="0.25">
      <c r="A1" t="s">
        <v>5</v>
      </c>
      <c r="B1" t="s">
        <v>0</v>
      </c>
      <c r="C1" t="s">
        <v>2</v>
      </c>
      <c r="D1" t="s">
        <v>3</v>
      </c>
      <c r="E1" t="s">
        <v>117</v>
      </c>
      <c r="F1" t="s">
        <v>4</v>
      </c>
      <c r="G1" t="s">
        <v>63</v>
      </c>
      <c r="H1" t="s">
        <v>64</v>
      </c>
      <c r="I1" t="s">
        <v>10</v>
      </c>
      <c r="J1" t="s">
        <v>11</v>
      </c>
      <c r="K1" t="s">
        <v>115</v>
      </c>
      <c r="L1" t="s">
        <v>116</v>
      </c>
      <c r="M1" t="s">
        <v>34</v>
      </c>
      <c r="N1" t="s">
        <v>92</v>
      </c>
    </row>
    <row r="2" spans="1:14" x14ac:dyDescent="0.25">
      <c r="A2" s="2" t="s">
        <v>106</v>
      </c>
      <c r="B2" s="2"/>
      <c r="C2" s="2"/>
      <c r="D2" s="7"/>
      <c r="E2" s="7"/>
      <c r="F2" s="3"/>
      <c r="G2" s="11">
        <v>0</v>
      </c>
      <c r="H2" s="11">
        <v>0</v>
      </c>
      <c r="I2" s="11">
        <v>28.8</v>
      </c>
      <c r="J2" s="11">
        <f>MAX(ComponentData[[#This Row],[Output Current Limit (A)]], ComponentData[[#This Row],[Discharge (for batteries)]]*ComponentData[[#This Row],[Battery (mAh)]]/1000)</f>
        <v>100</v>
      </c>
      <c r="K2" s="11"/>
      <c r="L2" s="31">
        <v>10</v>
      </c>
      <c r="M2" s="11">
        <v>10000</v>
      </c>
      <c r="N2" s="4">
        <v>0</v>
      </c>
    </row>
    <row r="3" spans="1:14" ht="30" x14ac:dyDescent="0.25">
      <c r="A3" s="2" t="s">
        <v>8</v>
      </c>
      <c r="B3" s="2" t="s">
        <v>84</v>
      </c>
      <c r="C3" s="2" t="s">
        <v>113</v>
      </c>
      <c r="D3" s="22" t="s">
        <v>114</v>
      </c>
      <c r="E3" s="7"/>
      <c r="F3" s="3">
        <v>254</v>
      </c>
      <c r="G3" s="11">
        <v>0</v>
      </c>
      <c r="H3" s="11">
        <v>0</v>
      </c>
      <c r="I3" s="11">
        <v>22.2</v>
      </c>
      <c r="J3" s="11">
        <f>MAX(ComponentData[[#This Row],[Output Current Limit (A)]], ComponentData[[#This Row],[Discharge (for batteries)]]*ComponentData[[#This Row],[Battery (mAh)]]/1000)</f>
        <v>360</v>
      </c>
      <c r="K3" s="11"/>
      <c r="L3" s="31">
        <v>15</v>
      </c>
      <c r="M3" s="11">
        <v>24000</v>
      </c>
      <c r="N3" s="4">
        <v>0</v>
      </c>
    </row>
    <row r="4" spans="1:14" ht="45" x14ac:dyDescent="0.25">
      <c r="A4" s="2" t="s">
        <v>82</v>
      </c>
      <c r="B4" s="2" t="s">
        <v>85</v>
      </c>
      <c r="C4" s="2" t="s">
        <v>87</v>
      </c>
      <c r="D4" s="7" t="s">
        <v>86</v>
      </c>
      <c r="E4" s="7"/>
      <c r="F4" s="3">
        <v>8.48</v>
      </c>
      <c r="G4" s="11">
        <v>0</v>
      </c>
      <c r="H4" s="11">
        <v>0</v>
      </c>
      <c r="I4" s="11"/>
      <c r="J4" s="11">
        <f>MAX(ComponentData[[#This Row],[Output Current Limit (A)]], ComponentData[[#This Row],[Discharge (for batteries)]]*ComponentData[[#This Row],[Battery (mAh)]]/1000)</f>
        <v>12</v>
      </c>
      <c r="K4" s="11">
        <v>12</v>
      </c>
      <c r="L4" s="31"/>
      <c r="M4" s="11"/>
      <c r="N4" s="4">
        <v>0.05</v>
      </c>
    </row>
    <row r="5" spans="1:14" x14ac:dyDescent="0.25">
      <c r="A5" s="2" t="s">
        <v>39</v>
      </c>
      <c r="B5" s="2" t="s">
        <v>41</v>
      </c>
      <c r="C5" s="2" t="s">
        <v>42</v>
      </c>
      <c r="D5" s="7" t="s">
        <v>42</v>
      </c>
      <c r="E5" s="7"/>
      <c r="F5" s="3" t="s">
        <v>43</v>
      </c>
      <c r="G5" s="11">
        <v>2.5</v>
      </c>
      <c r="H5" s="11">
        <v>2.5</v>
      </c>
      <c r="I5" s="11">
        <v>24</v>
      </c>
      <c r="J5" s="11">
        <f>MAX(ComponentData[[#This Row],[Output Current Limit (A)]], ComponentData[[#This Row],[Discharge (for batteries)]]*ComponentData[[#This Row],[Battery (mAh)]]/1000)</f>
        <v>1</v>
      </c>
      <c r="K5" s="11">
        <v>1</v>
      </c>
      <c r="L5" s="31"/>
      <c r="M5" s="11"/>
      <c r="N5" s="4">
        <v>0</v>
      </c>
    </row>
    <row r="6" spans="1:14" x14ac:dyDescent="0.25">
      <c r="A6" s="2" t="s">
        <v>30</v>
      </c>
      <c r="B6" s="2" t="s">
        <v>31</v>
      </c>
      <c r="C6" s="2"/>
      <c r="D6" s="7"/>
      <c r="E6" s="7"/>
      <c r="F6" s="3">
        <v>30</v>
      </c>
      <c r="G6" s="11">
        <v>7</v>
      </c>
      <c r="H6" s="11">
        <v>7</v>
      </c>
      <c r="I6" s="11">
        <v>3.3</v>
      </c>
      <c r="J6" s="11">
        <f>MAX(ComponentData[[#This Row],[Output Current Limit (A)]], ComponentData[[#This Row],[Discharge (for batteries)]]*ComponentData[[#This Row],[Battery (mAh)]]/1000)</f>
        <v>0.5</v>
      </c>
      <c r="K6" s="11">
        <v>0.5</v>
      </c>
      <c r="L6" s="31"/>
      <c r="M6" s="11"/>
      <c r="N6" s="4">
        <v>0</v>
      </c>
    </row>
    <row r="7" spans="1:14" ht="30" x14ac:dyDescent="0.25">
      <c r="A7" s="2" t="s">
        <v>109</v>
      </c>
      <c r="B7" s="2" t="s">
        <v>110</v>
      </c>
      <c r="C7" s="2" t="s">
        <v>37</v>
      </c>
      <c r="D7" s="7" t="s">
        <v>38</v>
      </c>
      <c r="E7" s="7"/>
      <c r="F7" s="3">
        <v>180</v>
      </c>
      <c r="G7" s="11">
        <v>8</v>
      </c>
      <c r="H7" s="11">
        <v>6</v>
      </c>
      <c r="I7" s="11"/>
      <c r="J7" s="11">
        <f>MAX(ComponentData[[#This Row],[Output Current Limit (A)]], ComponentData[[#This Row],[Discharge (for batteries)]]*ComponentData[[#This Row],[Battery (mAh)]]/1000)</f>
        <v>0</v>
      </c>
      <c r="K7" s="11"/>
      <c r="L7" s="31"/>
      <c r="M7" s="11"/>
      <c r="N7" s="4">
        <v>0</v>
      </c>
    </row>
    <row r="8" spans="1:14" x14ac:dyDescent="0.25">
      <c r="A8" s="2" t="s">
        <v>99</v>
      </c>
      <c r="B8" s="2" t="s">
        <v>6</v>
      </c>
      <c r="C8" s="2" t="s">
        <v>101</v>
      </c>
      <c r="D8" s="7" t="s">
        <v>7</v>
      </c>
      <c r="E8" s="7"/>
      <c r="F8" s="3">
        <v>60</v>
      </c>
      <c r="G8" s="11">
        <v>0</v>
      </c>
      <c r="H8" s="11">
        <v>0</v>
      </c>
      <c r="I8" s="11">
        <v>12</v>
      </c>
      <c r="J8" s="11">
        <f>MAX(ComponentData[[#This Row],[Output Current Limit (A)]], ComponentData[[#This Row],[Discharge (for batteries)]]*ComponentData[[#This Row],[Battery (mAh)]]/1000)</f>
        <v>60</v>
      </c>
      <c r="K8" s="11">
        <v>60</v>
      </c>
      <c r="L8" s="31"/>
      <c r="M8" s="11"/>
      <c r="N8" s="4">
        <v>0</v>
      </c>
    </row>
    <row r="9" spans="1:14" x14ac:dyDescent="0.25">
      <c r="A9" s="2" t="s">
        <v>107</v>
      </c>
      <c r="B9" s="2" t="s">
        <v>100</v>
      </c>
      <c r="C9" s="2" t="s">
        <v>101</v>
      </c>
      <c r="D9" s="7"/>
      <c r="E9" s="7"/>
      <c r="F9" s="3">
        <v>90</v>
      </c>
      <c r="G9" s="11">
        <v>0</v>
      </c>
      <c r="H9" s="11">
        <v>0</v>
      </c>
      <c r="I9" s="11" t="s">
        <v>108</v>
      </c>
      <c r="J9" s="11">
        <f>MAX(ComponentData[[#This Row],[Output Current Limit (A)]], ComponentData[[#This Row],[Discharge (for batteries)]]*ComponentData[[#This Row],[Battery (mAh)]]/1000)</f>
        <v>60</v>
      </c>
      <c r="K9" s="11">
        <v>60</v>
      </c>
      <c r="L9" s="31"/>
      <c r="M9" s="11"/>
      <c r="N9" s="4">
        <v>0</v>
      </c>
    </row>
    <row r="10" spans="1:14" x14ac:dyDescent="0.25">
      <c r="A10" s="2" t="s">
        <v>48</v>
      </c>
      <c r="B10" s="2" t="s">
        <v>13</v>
      </c>
      <c r="C10" s="2" t="s">
        <v>14</v>
      </c>
      <c r="D10" s="22" t="s">
        <v>15</v>
      </c>
      <c r="E10" s="7"/>
      <c r="F10" s="3">
        <v>7.25</v>
      </c>
      <c r="G10" s="15">
        <v>1332</v>
      </c>
      <c r="H10" s="15">
        <v>100</v>
      </c>
      <c r="I10" s="11"/>
      <c r="J10" s="11">
        <f>MAX(ComponentData[[#This Row],[Output Current Limit (A)]], ComponentData[[#This Row],[Discharge (for batteries)]]*ComponentData[[#This Row],[Battery (mAh)]]/1000)</f>
        <v>0</v>
      </c>
      <c r="K10" s="11"/>
      <c r="L10" s="31"/>
      <c r="M10" s="11"/>
      <c r="N10" s="4">
        <v>0</v>
      </c>
    </row>
    <row r="11" spans="1:14" ht="30" x14ac:dyDescent="0.25">
      <c r="A11" s="2" t="s">
        <v>53</v>
      </c>
      <c r="B11" s="2" t="s">
        <v>51</v>
      </c>
      <c r="C11" s="2"/>
      <c r="D11" s="7" t="s">
        <v>50</v>
      </c>
      <c r="E11" s="7"/>
      <c r="F11" s="3">
        <v>60</v>
      </c>
      <c r="G11" s="11">
        <v>240</v>
      </c>
      <c r="H11" s="11">
        <f>15*12</f>
        <v>180</v>
      </c>
      <c r="I11" s="11"/>
      <c r="J11" s="11">
        <f>MAX(ComponentData[[#This Row],[Output Current Limit (A)]], ComponentData[[#This Row],[Discharge (for batteries)]]*ComponentData[[#This Row],[Battery (mAh)]]/1000)</f>
        <v>0</v>
      </c>
      <c r="K11" s="11"/>
      <c r="L11" s="31"/>
      <c r="M11" s="11"/>
      <c r="N11" s="4">
        <v>0</v>
      </c>
    </row>
    <row r="12" spans="1:14" ht="30" x14ac:dyDescent="0.25">
      <c r="A12" s="2" t="s">
        <v>54</v>
      </c>
      <c r="B12" s="2" t="s">
        <v>56</v>
      </c>
      <c r="C12" s="2"/>
      <c r="D12" s="7" t="s">
        <v>55</v>
      </c>
      <c r="E12" s="7"/>
      <c r="F12" s="3">
        <v>50</v>
      </c>
      <c r="G12" s="11">
        <f>1.5*12</f>
        <v>18</v>
      </c>
      <c r="H12" s="11">
        <f>1*12</f>
        <v>12</v>
      </c>
      <c r="I12" s="11"/>
      <c r="J12" s="11">
        <f>MAX(ComponentData[[#This Row],[Output Current Limit (A)]], ComponentData[[#This Row],[Discharge (for batteries)]]*ComponentData[[#This Row],[Battery (mAh)]]/1000)</f>
        <v>0</v>
      </c>
      <c r="K12" s="11"/>
      <c r="L12" s="31"/>
      <c r="M12" s="11"/>
      <c r="N12" s="4">
        <v>0</v>
      </c>
    </row>
    <row r="13" spans="1:14" x14ac:dyDescent="0.25">
      <c r="A13" s="2" t="s">
        <v>88</v>
      </c>
      <c r="B13" s="2" t="s">
        <v>89</v>
      </c>
      <c r="C13" s="2" t="s">
        <v>90</v>
      </c>
      <c r="D13" s="7" t="s">
        <v>91</v>
      </c>
      <c r="E13" s="7"/>
      <c r="F13" s="3">
        <v>40</v>
      </c>
      <c r="G13" s="11">
        <v>0</v>
      </c>
      <c r="H13" s="11">
        <v>0</v>
      </c>
      <c r="I13" s="11">
        <v>22</v>
      </c>
      <c r="J13" s="11">
        <f>MAX(ComponentData[[#This Row],[Output Current Limit (A)]], ComponentData[[#This Row],[Discharge (for batteries)]]*ComponentData[[#This Row],[Battery (mAh)]]/1000)</f>
        <v>40</v>
      </c>
      <c r="K13" s="11">
        <v>40</v>
      </c>
      <c r="L13" s="31"/>
      <c r="M13" s="11"/>
      <c r="N13" s="4">
        <v>0</v>
      </c>
    </row>
    <row r="14" spans="1:14" ht="30" x14ac:dyDescent="0.25">
      <c r="A14" s="2" t="s">
        <v>93</v>
      </c>
      <c r="B14" t="s">
        <v>95</v>
      </c>
      <c r="C14" s="2"/>
      <c r="D14" s="22" t="s">
        <v>94</v>
      </c>
      <c r="E14" s="7" t="s">
        <v>118</v>
      </c>
      <c r="F14" s="3">
        <v>16</v>
      </c>
      <c r="G14" s="11">
        <v>0</v>
      </c>
      <c r="H14" s="11">
        <v>0</v>
      </c>
      <c r="I14" s="11">
        <v>12</v>
      </c>
      <c r="J14" s="11">
        <f>MAX(ComponentData[[#This Row],[Output Current Limit (A)]], ComponentData[[#This Row],[Discharge (for batteries)]]*ComponentData[[#This Row],[Battery (mAh)]]/1000)</f>
        <v>21</v>
      </c>
      <c r="K14" s="11">
        <v>21</v>
      </c>
      <c r="L14" s="31"/>
      <c r="M14" s="11"/>
      <c r="N14" s="4">
        <v>0.1</v>
      </c>
    </row>
    <row r="15" spans="1:14" x14ac:dyDescent="0.25">
      <c r="A15" s="2" t="s">
        <v>112</v>
      </c>
      <c r="B15" s="2"/>
      <c r="C15" s="2"/>
      <c r="D15" s="7"/>
      <c r="E15" s="7"/>
      <c r="F15" s="3"/>
      <c r="G15" s="11">
        <v>24</v>
      </c>
      <c r="H15" s="11">
        <v>8</v>
      </c>
      <c r="I15" s="11"/>
      <c r="J15" s="11">
        <f>MAX(ComponentData[[#This Row],[Output Current Limit (A)]], ComponentData[[#This Row],[Discharge (for batteries)]]*ComponentData[[#This Row],[Battery (mAh)]]/1000)</f>
        <v>0</v>
      </c>
      <c r="K15" s="11"/>
      <c r="L15" s="31"/>
      <c r="M15" s="11"/>
      <c r="N15" s="4">
        <v>0</v>
      </c>
    </row>
    <row r="16" spans="1:14" x14ac:dyDescent="0.25">
      <c r="A16" s="2" t="s">
        <v>45</v>
      </c>
      <c r="B16" s="2" t="s">
        <v>120</v>
      </c>
      <c r="C16" s="2"/>
      <c r="D16" s="7"/>
      <c r="E16" s="22"/>
      <c r="F16" s="3">
        <v>0</v>
      </c>
      <c r="G16" s="11">
        <v>0</v>
      </c>
      <c r="H16" s="11">
        <v>0</v>
      </c>
      <c r="I16" s="11" t="s">
        <v>108</v>
      </c>
      <c r="J16" s="11">
        <f>MAX(ComponentData[[#This Row],[Output Current Limit (A)]], ComponentData[[#This Row],[Discharge (for batteries)]]*ComponentData[[#This Row],[Battery (mAh)]]/1000)</f>
        <v>0</v>
      </c>
      <c r="K16" s="11">
        <v>0</v>
      </c>
      <c r="L16" s="31"/>
      <c r="M16" s="11"/>
      <c r="N16" s="4">
        <v>0</v>
      </c>
    </row>
  </sheetData>
  <hyperlinks>
    <hyperlink ref="D10" r:id="rId1" xr:uid="{00000000-0004-0000-0000-000000000000}"/>
    <hyperlink ref="D3" r:id="rId2" xr:uid="{86EF303B-6B5E-4E0B-8983-28A252B0769B}"/>
    <hyperlink ref="D14" r:id="rId3" xr:uid="{7D768727-DEDA-40C8-9759-80357E423FFD}"/>
  </hyperlinks>
  <pageMargins left="0.7" right="0.7" top="0.75" bottom="0.75" header="0.3" footer="0.3"/>
  <pageSetup orientation="portrait"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6"/>
  <sheetViews>
    <sheetView tabSelected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27" sqref="C27"/>
    </sheetView>
  </sheetViews>
  <sheetFormatPr defaultRowHeight="15" x14ac:dyDescent="0.25"/>
  <cols>
    <col min="1" max="1" width="19.7109375" style="14" bestFit="1" customWidth="1"/>
    <col min="2" max="2" width="13.7109375" style="14" bestFit="1" customWidth="1"/>
    <col min="3" max="3" width="13.85546875" style="14" bestFit="1" customWidth="1"/>
    <col min="4" max="4" width="20.42578125" style="14" bestFit="1" customWidth="1"/>
    <col min="5" max="5" width="34.140625" style="14" customWidth="1"/>
    <col min="6" max="6" width="15.5703125" style="14" bestFit="1" customWidth="1"/>
    <col min="7" max="7" width="32.5703125" style="14" customWidth="1"/>
    <col min="8" max="8" width="24.5703125" style="14" customWidth="1"/>
    <col min="9" max="9" width="24.140625" style="14" bestFit="1" customWidth="1"/>
    <col min="10" max="10" width="27.85546875" style="14" bestFit="1" customWidth="1"/>
    <col min="11" max="12" width="12.7109375" style="14" bestFit="1" customWidth="1"/>
    <col min="13" max="13" width="15.85546875" style="14" bestFit="1" customWidth="1"/>
    <col min="14" max="14" width="17.140625" style="14" bestFit="1" customWidth="1"/>
    <col min="15" max="16384" width="9.140625" style="14"/>
  </cols>
  <sheetData>
    <row r="1" spans="1:14" x14ac:dyDescent="0.25">
      <c r="A1" s="14" t="s">
        <v>9</v>
      </c>
      <c r="B1" s="14" t="s">
        <v>1</v>
      </c>
      <c r="C1" s="14" t="s">
        <v>35</v>
      </c>
      <c r="D1" s="14" t="s">
        <v>28</v>
      </c>
      <c r="E1" s="20" t="s">
        <v>0</v>
      </c>
      <c r="F1" s="14" t="s">
        <v>2</v>
      </c>
      <c r="G1" s="14" t="s">
        <v>3</v>
      </c>
      <c r="H1" s="14" t="s">
        <v>4</v>
      </c>
      <c r="I1" s="14" t="s">
        <v>63</v>
      </c>
      <c r="J1" s="14" t="s">
        <v>64</v>
      </c>
      <c r="K1" s="14" t="s">
        <v>10</v>
      </c>
      <c r="L1" s="14" t="s">
        <v>11</v>
      </c>
      <c r="M1" s="14" t="s">
        <v>34</v>
      </c>
      <c r="N1" t="s">
        <v>92</v>
      </c>
    </row>
    <row r="2" spans="1:14" x14ac:dyDescent="0.25">
      <c r="A2" s="19"/>
      <c r="D2" s="14" t="str">
        <f>IF(OR(ISBLANK(Items[[#This Row],[Supply Item]]), Items[[#This Row],[Supply Item]]="", Items[[#This Row],[Supply Item]]=0), "", VLOOKUP(Items[[#This Row],[Supply Item]], Items[], COLUMN(Items[Component])-COLUMN(Items[])+1, FALSE))</f>
        <v/>
      </c>
      <c r="E2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2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" s="17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2" s="18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2" s="18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2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" s="23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  <row r="3" spans="1:14" x14ac:dyDescent="0.25">
      <c r="A3" s="14" t="s">
        <v>12</v>
      </c>
      <c r="B3" s="14" t="s">
        <v>8</v>
      </c>
      <c r="D3" s="14" t="str">
        <f>IF(OR(ISBLANK(Items[[#This Row],[Supply Item]]), Items[[#This Row],[Supply Item]]="", Items[[#This Row],[Supply Item]]=0), "", VLOOKUP(Items[[#This Row],[Supply Item]], Items[], COLUMN(Items[Component])-COLUMN(Items[])+1, FALSE))</f>
        <v/>
      </c>
      <c r="E3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24 V Lithuim Ion Battery back</v>
      </c>
      <c r="F3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BatterySpace</v>
      </c>
      <c r="G3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http://www.batteryspace.com/lipo-battery-pack-tattu-22-2v-12ah-266wh-15c-6s1p.aspx</v>
      </c>
      <c r="H3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254</v>
      </c>
      <c r="I3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3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3" s="18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22.2</v>
      </c>
      <c r="L3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360</v>
      </c>
      <c r="M3" s="18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>24000</v>
      </c>
      <c r="N3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4" spans="1:14" x14ac:dyDescent="0.25">
      <c r="A4" s="14" t="s">
        <v>29</v>
      </c>
      <c r="B4" s="14" t="s">
        <v>82</v>
      </c>
      <c r="C4" s="14" t="s">
        <v>12</v>
      </c>
      <c r="D4" s="14" t="str">
        <f>IF(OR(ISBLANK(Items[[#This Row],[Supply Item]]), Items[[#This Row],[Supply Item]]="", Items[[#This Row],[Supply Item]]=0), "", VLOOKUP(Items[[#This Row],[Supply Item]], Items[], COLUMN(Items[Component])-COLUMN(Items[])+1, FALSE))</f>
        <v>LiPo</v>
      </c>
      <c r="E4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Adjustable Linear Voltage Regulator</v>
      </c>
      <c r="F4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Aihsd</v>
      </c>
      <c r="G4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https://www.aliexpress.com/item/DC-Adjustable-Voltage-Regulator-Module-DC-4-5-30V-to-0-8-30V-12A-Buck-Converters/1724570414.html</v>
      </c>
      <c r="H4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8.48</v>
      </c>
      <c r="I4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4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4" s="18">
        <v>5</v>
      </c>
      <c r="L4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12</v>
      </c>
      <c r="M4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4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0.05</v>
      </c>
    </row>
    <row r="5" spans="1:14" x14ac:dyDescent="0.25">
      <c r="A5" s="14" t="s">
        <v>32</v>
      </c>
      <c r="B5" s="14" t="s">
        <v>30</v>
      </c>
      <c r="C5" s="14" t="s">
        <v>29</v>
      </c>
      <c r="D5" s="14" t="str">
        <f>IF(OR(ISBLANK(Items[[#This Row],[Supply Item]]), Items[[#This Row],[Supply Item]]="", Items[[#This Row],[Supply Item]]=0), "", VLOOKUP(Items[[#This Row],[Supply Item]], Items[], COLUMN(Items[Component])-COLUMN(Items[])+1, FALSE))</f>
        <v>Regulator</v>
      </c>
      <c r="E5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Raspberry Pi 3 Rev 1.2</v>
      </c>
      <c r="F5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5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5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30</v>
      </c>
      <c r="I5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7</v>
      </c>
      <c r="J5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7</v>
      </c>
      <c r="K5" s="18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3.3</v>
      </c>
      <c r="L5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0.5</v>
      </c>
      <c r="M5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5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6" spans="1:14" x14ac:dyDescent="0.25">
      <c r="A6" s="14" t="s">
        <v>111</v>
      </c>
      <c r="B6" s="14" t="s">
        <v>82</v>
      </c>
      <c r="C6" s="14" t="s">
        <v>12</v>
      </c>
      <c r="D6" s="14" t="str">
        <f>IF(OR(ISBLANK(Items[[#This Row],[Supply Item]]), Items[[#This Row],[Supply Item]]="", Items[[#This Row],[Supply Item]]=0), "", VLOOKUP(Items[[#This Row],[Supply Item]], Items[], COLUMN(Items[Component])-COLUMN(Items[])+1, FALSE))</f>
        <v>LiPo</v>
      </c>
      <c r="E6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Adjustable Linear Voltage Regulator</v>
      </c>
      <c r="F6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Aihsd</v>
      </c>
      <c r="G6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https://www.aliexpress.com/item/DC-Adjustable-Voltage-Regulator-Module-DC-4-5-30V-to-0-8-30V-12A-Buck-Converters/1724570414.html</v>
      </c>
      <c r="H6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8.48</v>
      </c>
      <c r="I6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6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6" s="18">
        <v>12</v>
      </c>
      <c r="L6" s="18">
        <v>5</v>
      </c>
      <c r="M6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6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0.05</v>
      </c>
    </row>
    <row r="7" spans="1:14" x14ac:dyDescent="0.25">
      <c r="A7" s="14" t="s">
        <v>40</v>
      </c>
      <c r="B7" s="14" t="s">
        <v>109</v>
      </c>
      <c r="C7" s="14" t="s">
        <v>111</v>
      </c>
      <c r="D7" s="14" t="str">
        <f>IF(OR(ISBLANK(Items[[#This Row],[Supply Item]]), Items[[#This Row],[Supply Item]]="", Items[[#This Row],[Supply Item]]=0), "", VLOOKUP(Items[[#This Row],[Supply Item]], Items[], COLUMN(Items[Component])-COLUMN(Items[])+1, FALSE))</f>
        <v>Regulator</v>
      </c>
      <c r="E7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Ubiquity Rocket M5</v>
      </c>
      <c r="F7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Ubiquity</v>
      </c>
      <c r="G7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http://www.doubleradius.com/s.nl/sc.1/category./.f?search=rocket+m3</v>
      </c>
      <c r="H7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180</v>
      </c>
      <c r="I7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8</v>
      </c>
      <c r="J7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6</v>
      </c>
      <c r="K7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7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7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7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8" spans="1:14" x14ac:dyDescent="0.25">
      <c r="A8" s="14" t="s">
        <v>112</v>
      </c>
      <c r="B8" s="14" t="s">
        <v>112</v>
      </c>
      <c r="C8" s="14" t="s">
        <v>111</v>
      </c>
      <c r="D8" s="16" t="str">
        <f>IF(OR(ISBLANK(Items[[#This Row],[Supply Item]]), Items[[#This Row],[Supply Item]]="", Items[[#This Row],[Supply Item]]=0), "", VLOOKUP(Items[[#This Row],[Supply Item]], Items[], COLUMN(Items[Component])-COLUMN(Items[])+1, FALSE))</f>
        <v>Regulator</v>
      </c>
      <c r="E8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8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8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8" s="17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8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24</v>
      </c>
      <c r="J8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8</v>
      </c>
      <c r="K8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8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8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8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9" spans="1:14" x14ac:dyDescent="0.25">
      <c r="A9" s="14" t="s">
        <v>97</v>
      </c>
      <c r="B9" s="14" t="s">
        <v>93</v>
      </c>
      <c r="C9" s="14" t="s">
        <v>12</v>
      </c>
      <c r="D9" s="16" t="str">
        <f>IF(OR(ISBLANK(Items[[#This Row],[Supply Item]]), Items[[#This Row],[Supply Item]]="", Items[[#This Row],[Supply Item]]=0), "", VLOOKUP(Items[[#This Row],[Supply Item]], Items[], COLUMN(Items[Component])-COLUMN(Items[])+1, FALSE))</f>
        <v>LiPo</v>
      </c>
      <c r="E9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Nextrox DC/DC Converter Regulator 24V Step Down to 12V 20A 240W</v>
      </c>
      <c r="F9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9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https://www.amazon.com/Nextrox-Converter-Regulator-Step-Down/dp/B00BWKXTUU</v>
      </c>
      <c r="H9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16</v>
      </c>
      <c r="I9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9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9" s="18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12</v>
      </c>
      <c r="L9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21</v>
      </c>
      <c r="M9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9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0.1</v>
      </c>
    </row>
    <row r="10" spans="1:14" x14ac:dyDescent="0.25">
      <c r="A10" s="14" t="s">
        <v>98</v>
      </c>
      <c r="B10" s="14" t="s">
        <v>93</v>
      </c>
      <c r="C10" s="14" t="s">
        <v>12</v>
      </c>
      <c r="D10" s="14" t="str">
        <f>IF(OR(ISBLANK(Items[[#This Row],[Supply Item]]), Items[[#This Row],[Supply Item]]="", Items[[#This Row],[Supply Item]]=0), "", VLOOKUP(Items[[#This Row],[Supply Item]], Items[], COLUMN(Items[Component])-COLUMN(Items[])+1, FALSE))</f>
        <v>LiPo</v>
      </c>
      <c r="E10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Nextrox DC/DC Converter Regulator 24V Step Down to 12V 20A 240W</v>
      </c>
      <c r="F10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10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https://www.amazon.com/Nextrox-Converter-Regulator-Step-Down/dp/B00BWKXTUU</v>
      </c>
      <c r="H10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16</v>
      </c>
      <c r="I10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0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0" s="18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12</v>
      </c>
      <c r="L10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21</v>
      </c>
      <c r="M10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0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0.1</v>
      </c>
    </row>
    <row r="11" spans="1:14" x14ac:dyDescent="0.25">
      <c r="A11" s="14" t="s">
        <v>121</v>
      </c>
      <c r="B11" s="14" t="s">
        <v>45</v>
      </c>
      <c r="C11" s="14" t="s">
        <v>12</v>
      </c>
      <c r="D11" s="16" t="str">
        <f>IF(OR(ISBLANK(Items[[#This Row],[Supply Item]]), Items[[#This Row],[Supply Item]]="", Items[[#This Row],[Supply Item]]=0), "", VLOOKUP(Items[[#This Row],[Supply Item]], Items[], COLUMN(Items[Component])-COLUMN(Items[])+1, FALSE))</f>
        <v>LiPo</v>
      </c>
      <c r="E11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Virtual Node for system isolation</v>
      </c>
      <c r="F11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11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11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0</v>
      </c>
      <c r="I11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1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1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[INPUT]</v>
      </c>
      <c r="L11" s="18">
        <v>400</v>
      </c>
      <c r="M11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1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2" spans="1:14" x14ac:dyDescent="0.25">
      <c r="A12" s="14" t="s">
        <v>16</v>
      </c>
      <c r="B12" s="14" t="s">
        <v>107</v>
      </c>
      <c r="C12" s="14" t="s">
        <v>121</v>
      </c>
      <c r="D12" s="14" t="str">
        <f>IF(OR(ISBLANK(Items[[#This Row],[Supply Item]]), Items[[#This Row],[Supply Item]]="", Items[[#This Row],[Supply Item]]=0), "", VLOOKUP(Items[[#This Row],[Supply Item]], Items[], COLUMN(Items[Component])-COLUMN(Items[])+1, FALSE))</f>
        <v>Power Rail</v>
      </c>
      <c r="E12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Talon SRX DC Motor  Driver</v>
      </c>
      <c r="F12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Cross The Road Electronics</v>
      </c>
      <c r="G12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12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90</v>
      </c>
      <c r="I12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2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2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[INPUT]</v>
      </c>
      <c r="L12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12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2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3" spans="1:14" x14ac:dyDescent="0.25">
      <c r="A13" s="14" t="s">
        <v>22</v>
      </c>
      <c r="B13" s="14" t="s">
        <v>48</v>
      </c>
      <c r="C13" s="14" t="s">
        <v>16</v>
      </c>
      <c r="D13" s="14" t="str">
        <f>IF(OR(ISBLANK(Items[[#This Row],[Supply Item]]), Items[[#This Row],[Supply Item]]="", Items[[#This Row],[Supply Item]]=0), "", VLOOKUP(Items[[#This Row],[Supply Item]], Items[], COLUMN(Items[Component])-COLUMN(Items[])+1, FALSE))</f>
        <v>28V VEX ESC</v>
      </c>
      <c r="E13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13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13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13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13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1332</v>
      </c>
      <c r="J13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100</v>
      </c>
      <c r="K13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13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13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3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4" spans="1:14" x14ac:dyDescent="0.25">
      <c r="A14" s="14" t="s">
        <v>17</v>
      </c>
      <c r="B14" s="14" t="s">
        <v>107</v>
      </c>
      <c r="C14" s="14" t="s">
        <v>121</v>
      </c>
      <c r="D14" s="14" t="str">
        <f>IF(OR(ISBLANK(Items[[#This Row],[Supply Item]]), Items[[#This Row],[Supply Item]]="", Items[[#This Row],[Supply Item]]=0), "", VLOOKUP(Items[[#This Row],[Supply Item]], Items[], COLUMN(Items[Component])-COLUMN(Items[])+1, FALSE))</f>
        <v>Power Rail</v>
      </c>
      <c r="E14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Talon SRX DC Motor  Driver</v>
      </c>
      <c r="F14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Cross The Road Electronics</v>
      </c>
      <c r="G14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14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90</v>
      </c>
      <c r="I14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4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4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[INPUT]</v>
      </c>
      <c r="L14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14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4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5" spans="1:14" x14ac:dyDescent="0.25">
      <c r="A15" s="14" t="s">
        <v>27</v>
      </c>
      <c r="B15" s="14" t="s">
        <v>48</v>
      </c>
      <c r="C15" s="14" t="s">
        <v>17</v>
      </c>
      <c r="D15" s="14" t="str">
        <f>IF(OR(ISBLANK(Items[[#This Row],[Supply Item]]), Items[[#This Row],[Supply Item]]="", Items[[#This Row],[Supply Item]]=0), "", VLOOKUP(Items[[#This Row],[Supply Item]], Items[], COLUMN(Items[Component])-COLUMN(Items[])+1, FALSE))</f>
        <v>28V VEX ESC</v>
      </c>
      <c r="E15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15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15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15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15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1332</v>
      </c>
      <c r="J15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100</v>
      </c>
      <c r="K15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15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15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5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6" spans="1:14" x14ac:dyDescent="0.25">
      <c r="A16" s="14" t="s">
        <v>18</v>
      </c>
      <c r="B16" s="14" t="s">
        <v>107</v>
      </c>
      <c r="C16" s="14" t="s">
        <v>121</v>
      </c>
      <c r="D16" s="14" t="str">
        <f>IF(OR(ISBLANK(Items[[#This Row],[Supply Item]]), Items[[#This Row],[Supply Item]]="", Items[[#This Row],[Supply Item]]=0), "", VLOOKUP(Items[[#This Row],[Supply Item]], Items[], COLUMN(Items[Component])-COLUMN(Items[])+1, FALSE))</f>
        <v>Power Rail</v>
      </c>
      <c r="E16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Talon SRX DC Motor  Driver</v>
      </c>
      <c r="F16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Cross The Road Electronics</v>
      </c>
      <c r="G16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16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90</v>
      </c>
      <c r="I16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6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6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[INPUT]</v>
      </c>
      <c r="L16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16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6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7" spans="1:14" x14ac:dyDescent="0.25">
      <c r="A17" s="14" t="s">
        <v>23</v>
      </c>
      <c r="B17" s="14" t="s">
        <v>48</v>
      </c>
      <c r="C17" s="14" t="s">
        <v>18</v>
      </c>
      <c r="D17" s="14" t="str">
        <f>IF(OR(ISBLANK(Items[[#This Row],[Supply Item]]), Items[[#This Row],[Supply Item]]="", Items[[#This Row],[Supply Item]]=0), "", VLOOKUP(Items[[#This Row],[Supply Item]], Items[], COLUMN(Items[Component])-COLUMN(Items[])+1, FALSE))</f>
        <v>28V VEX ESC</v>
      </c>
      <c r="E17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17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17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17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17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1332</v>
      </c>
      <c r="J17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100</v>
      </c>
      <c r="K17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17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17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7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8" spans="1:14" x14ac:dyDescent="0.25">
      <c r="A18" s="14" t="s">
        <v>19</v>
      </c>
      <c r="B18" s="14" t="s">
        <v>107</v>
      </c>
      <c r="C18" s="14" t="s">
        <v>121</v>
      </c>
      <c r="D18" s="14" t="str">
        <f>IF(OR(ISBLANK(Items[[#This Row],[Supply Item]]), Items[[#This Row],[Supply Item]]="", Items[[#This Row],[Supply Item]]=0), "", VLOOKUP(Items[[#This Row],[Supply Item]], Items[], COLUMN(Items[Component])-COLUMN(Items[])+1, FALSE))</f>
        <v>Power Rail</v>
      </c>
      <c r="E18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Talon SRX DC Motor  Driver</v>
      </c>
      <c r="F18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Cross The Road Electronics</v>
      </c>
      <c r="G18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18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90</v>
      </c>
      <c r="I18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8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8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[INPUT]</v>
      </c>
      <c r="L18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18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8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9" spans="1:14" x14ac:dyDescent="0.25">
      <c r="A19" s="14" t="s">
        <v>24</v>
      </c>
      <c r="B19" s="14" t="s">
        <v>48</v>
      </c>
      <c r="C19" s="14" t="s">
        <v>19</v>
      </c>
      <c r="D19" s="14" t="str">
        <f>IF(OR(ISBLANK(Items[[#This Row],[Supply Item]]), Items[[#This Row],[Supply Item]]="", Items[[#This Row],[Supply Item]]=0), "", VLOOKUP(Items[[#This Row],[Supply Item]], Items[], COLUMN(Items[Component])-COLUMN(Items[])+1, FALSE))</f>
        <v>28V VEX ESC</v>
      </c>
      <c r="E19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19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19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19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19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1332</v>
      </c>
      <c r="J19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100</v>
      </c>
      <c r="K19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19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19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9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0" spans="1:14" x14ac:dyDescent="0.25">
      <c r="A20" s="14" t="s">
        <v>20</v>
      </c>
      <c r="B20" s="14" t="s">
        <v>107</v>
      </c>
      <c r="C20" s="14" t="s">
        <v>121</v>
      </c>
      <c r="D20" s="14" t="str">
        <f>IF(OR(ISBLANK(Items[[#This Row],[Supply Item]]), Items[[#This Row],[Supply Item]]="", Items[[#This Row],[Supply Item]]=0), "", VLOOKUP(Items[[#This Row],[Supply Item]], Items[], COLUMN(Items[Component])-COLUMN(Items[])+1, FALSE))</f>
        <v>Power Rail</v>
      </c>
      <c r="E20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Talon SRX DC Motor  Driver</v>
      </c>
      <c r="F20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Cross The Road Electronics</v>
      </c>
      <c r="G20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0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90</v>
      </c>
      <c r="I20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20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20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[INPUT]</v>
      </c>
      <c r="L20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20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0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1" spans="1:14" x14ac:dyDescent="0.25">
      <c r="A21" s="14" t="s">
        <v>25</v>
      </c>
      <c r="B21" s="14" t="s">
        <v>48</v>
      </c>
      <c r="C21" s="14" t="s">
        <v>20</v>
      </c>
      <c r="D21" s="14" t="str">
        <f>IF(OR(ISBLANK(Items[[#This Row],[Supply Item]]), Items[[#This Row],[Supply Item]]="", Items[[#This Row],[Supply Item]]=0), "", VLOOKUP(Items[[#This Row],[Supply Item]], Items[], COLUMN(Items[Component])-COLUMN(Items[])+1, FALSE))</f>
        <v>28V VEX ESC</v>
      </c>
      <c r="E21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21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21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21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21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1332</v>
      </c>
      <c r="J21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100</v>
      </c>
      <c r="K21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1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21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1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2" spans="1:14" x14ac:dyDescent="0.25">
      <c r="A22" s="14" t="s">
        <v>21</v>
      </c>
      <c r="B22" s="14" t="s">
        <v>107</v>
      </c>
      <c r="C22" s="14" t="s">
        <v>121</v>
      </c>
      <c r="D22" s="14" t="str">
        <f>IF(OR(ISBLANK(Items[[#This Row],[Supply Item]]), Items[[#This Row],[Supply Item]]="", Items[[#This Row],[Supply Item]]=0), "", VLOOKUP(Items[[#This Row],[Supply Item]], Items[], COLUMN(Items[Component])-COLUMN(Items[])+1, FALSE))</f>
        <v>Power Rail</v>
      </c>
      <c r="E22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Talon SRX DC Motor  Driver</v>
      </c>
      <c r="F22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Cross The Road Electronics</v>
      </c>
      <c r="G22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2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90</v>
      </c>
      <c r="I22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22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22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[INPUT]</v>
      </c>
      <c r="L22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22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2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3" spans="1:14" x14ac:dyDescent="0.25">
      <c r="A23" s="14" t="s">
        <v>26</v>
      </c>
      <c r="B23" s="14" t="s">
        <v>48</v>
      </c>
      <c r="C23" s="14" t="s">
        <v>21</v>
      </c>
      <c r="D23" s="14" t="str">
        <f>IF(OR(ISBLANK(Items[[#This Row],[Supply Item]]), Items[[#This Row],[Supply Item]]="", Items[[#This Row],[Supply Item]]=0), "", VLOOKUP(Items[[#This Row],[Supply Item]], Items[], COLUMN(Items[Component])-COLUMN(Items[])+1, FALSE))</f>
        <v>28V VEX ESC</v>
      </c>
      <c r="E23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23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23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23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23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1332</v>
      </c>
      <c r="J23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100</v>
      </c>
      <c r="K23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3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23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3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4" spans="1:14" x14ac:dyDescent="0.25">
      <c r="A24" s="14" t="s">
        <v>102</v>
      </c>
      <c r="B24" s="14" t="s">
        <v>107</v>
      </c>
      <c r="C24" s="14" t="s">
        <v>97</v>
      </c>
      <c r="D24" s="16" t="str">
        <f>IF(OR(ISBLANK(Items[[#This Row],[Supply Item]]), Items[[#This Row],[Supply Item]]="", Items[[#This Row],[Supply Item]]=0), "", VLOOKUP(Items[[#This Row],[Supply Item]], Items[], COLUMN(Items[Component])-COLUMN(Items[])+1, FALSE))</f>
        <v>20A 24V-&gt;12V Regulator</v>
      </c>
      <c r="E24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Talon SRX DC Motor  Driver</v>
      </c>
      <c r="F24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Cross The Road Electronics</v>
      </c>
      <c r="G24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4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90</v>
      </c>
      <c r="I24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24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24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[INPUT]</v>
      </c>
      <c r="L24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24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4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5" spans="1:14" x14ac:dyDescent="0.25">
      <c r="A25" s="14" t="s">
        <v>52</v>
      </c>
      <c r="B25" s="14" t="s">
        <v>53</v>
      </c>
      <c r="C25" s="14" t="s">
        <v>102</v>
      </c>
      <c r="D25" s="14" t="str">
        <f>IF(OR(ISBLANK(Items[[#This Row],[Supply Item]]), Items[[#This Row],[Supply Item]]="", Items[[#This Row],[Supply Item]]=0), "", VLOOKUP(Items[[#This Row],[Supply Item]], Items[], COLUMN(Items[Component])-COLUMN(Items[])+1, FALSE))</f>
        <v>28V VEX ESC</v>
      </c>
      <c r="E25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12 RPM HD Premium Planetary Gear Motor w/Encoder</v>
      </c>
      <c r="F25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5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https://www.servocity.com/12-rpm-hd-premium-planetary-gear-motor-w-encoder</v>
      </c>
      <c r="H25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60</v>
      </c>
      <c r="I25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240</v>
      </c>
      <c r="J25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180</v>
      </c>
      <c r="K25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5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25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5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6" spans="1:14" x14ac:dyDescent="0.25">
      <c r="A26" s="14" t="s">
        <v>103</v>
      </c>
      <c r="B26" s="14" t="s">
        <v>99</v>
      </c>
      <c r="C26" s="14" t="s">
        <v>98</v>
      </c>
      <c r="D26" s="16" t="str">
        <f>IF(OR(ISBLANK(Items[[#This Row],[Supply Item]]), Items[[#This Row],[Supply Item]]="", Items[[#This Row],[Supply Item]]=0), "", VLOOKUP(Items[[#This Row],[Supply Item]], Items[], COLUMN(Items[Component])-COLUMN(Items[])+1, FALSE))</f>
        <v>20A 24V-&gt;12V Regulator</v>
      </c>
      <c r="E26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Victor SP DC Motor Driver</v>
      </c>
      <c r="F26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Cross The Road Electronics</v>
      </c>
      <c r="G26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https://www.vexrobotics.com/217-9090.html</v>
      </c>
      <c r="H26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60</v>
      </c>
      <c r="I26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26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26" s="18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12</v>
      </c>
      <c r="L26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26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6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7" spans="1:14" x14ac:dyDescent="0.25">
      <c r="A27" s="14" t="s">
        <v>57</v>
      </c>
      <c r="B27" s="14" t="s">
        <v>54</v>
      </c>
      <c r="C27" s="14" t="s">
        <v>103</v>
      </c>
      <c r="D27" s="14" t="str">
        <f>IF(OR(ISBLANK(Items[[#This Row],[Supply Item]]), Items[[#This Row],[Supply Item]]="", Items[[#This Row],[Supply Item]]=0), "", VLOOKUP(Items[[#This Row],[Supply Item]], Items[], COLUMN(Items[Component])-COLUMN(Items[])+1, FALSE))</f>
        <v>12V VEX ESC</v>
      </c>
      <c r="E27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26 RPM Premium Planetary Gear Motor w/Encoder</v>
      </c>
      <c r="F27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7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https://www.servocity.com/26-rpm-premium-planetary-gear-motor-w-encoder</v>
      </c>
      <c r="H27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50</v>
      </c>
      <c r="I27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18</v>
      </c>
      <c r="J27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12</v>
      </c>
      <c r="K27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7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27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7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8" spans="1:14" x14ac:dyDescent="0.25">
      <c r="A28" s="14" t="s">
        <v>104</v>
      </c>
      <c r="B28" s="14" t="s">
        <v>99</v>
      </c>
      <c r="C28" s="14" t="s">
        <v>98</v>
      </c>
      <c r="D28" s="16" t="str">
        <f>IF(OR(ISBLANK(Items[[#This Row],[Supply Item]]), Items[[#This Row],[Supply Item]]="", Items[[#This Row],[Supply Item]]=0), "", VLOOKUP(Items[[#This Row],[Supply Item]], Items[], COLUMN(Items[Component])-COLUMN(Items[])+1, FALSE))</f>
        <v>20A 24V-&gt;12V Regulator</v>
      </c>
      <c r="E28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Victor SP DC Motor Driver</v>
      </c>
      <c r="F28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Cross The Road Electronics</v>
      </c>
      <c r="G28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https://www.vexrobotics.com/217-9090.html</v>
      </c>
      <c r="H28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60</v>
      </c>
      <c r="I28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28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28" s="18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12</v>
      </c>
      <c r="L28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28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8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9" spans="1:14" x14ac:dyDescent="0.25">
      <c r="A29" s="14" t="s">
        <v>96</v>
      </c>
      <c r="B29" s="14" t="s">
        <v>54</v>
      </c>
      <c r="C29" s="14" t="s">
        <v>104</v>
      </c>
      <c r="D29" s="14" t="str">
        <f>IF(OR(ISBLANK(Items[[#This Row],[Supply Item]]), Items[[#This Row],[Supply Item]]="", Items[[#This Row],[Supply Item]]=0), "", VLOOKUP(Items[[#This Row],[Supply Item]], Items[], COLUMN(Items[Component])-COLUMN(Items[])+1, FALSE))</f>
        <v>12V VEX ESC</v>
      </c>
      <c r="E29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26 RPM Premium Planetary Gear Motor w/Encoder</v>
      </c>
      <c r="F29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9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https://www.servocity.com/26-rpm-premium-planetary-gear-motor-w-encoder</v>
      </c>
      <c r="H29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50</v>
      </c>
      <c r="I29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18</v>
      </c>
      <c r="J29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12</v>
      </c>
      <c r="K29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9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29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9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30" spans="1:14" x14ac:dyDescent="0.25">
      <c r="D30" s="14" t="str">
        <f>IF(OR(ISBLANK(Items[[#This Row],[Supply Item]]), Items[[#This Row],[Supply Item]]="", Items[[#This Row],[Supply Item]]=0), "", VLOOKUP(Items[[#This Row],[Supply Item]], Items[], COLUMN(Items[Component])-COLUMN(Items[])+1, FALSE))</f>
        <v/>
      </c>
      <c r="E30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30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0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30" s="17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30" s="18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30" s="18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30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30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30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30" s="23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  <row r="31" spans="1:14" x14ac:dyDescent="0.25">
      <c r="D31" s="14" t="str">
        <f>IF(OR(ISBLANK(Items[[#This Row],[Supply Item]]), Items[[#This Row],[Supply Item]]="", Items[[#This Row],[Supply Item]]=0), "", VLOOKUP(Items[[#This Row],[Supply Item]], Items[], COLUMN(Items[Component])-COLUMN(Items[])+1, FALSE))</f>
        <v/>
      </c>
      <c r="E31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31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1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31" s="17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31" s="18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31" s="18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31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31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31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31" s="23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  <row r="32" spans="1:14" x14ac:dyDescent="0.25">
      <c r="D32" s="14" t="str">
        <f>IF(OR(ISBLANK(Items[[#This Row],[Supply Item]]), Items[[#This Row],[Supply Item]]="", Items[[#This Row],[Supply Item]]=0), "", VLOOKUP(Items[[#This Row],[Supply Item]], Items[], COLUMN(Items[Component])-COLUMN(Items[])+1, FALSE))</f>
        <v/>
      </c>
      <c r="E32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32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2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32" s="17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32" s="18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32" s="18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32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32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32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32" s="23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  <row r="33" spans="4:14" x14ac:dyDescent="0.25">
      <c r="D33" s="14" t="str">
        <f>IF(OR(ISBLANK(Items[[#This Row],[Supply Item]]), Items[[#This Row],[Supply Item]]="", Items[[#This Row],[Supply Item]]=0), "", VLOOKUP(Items[[#This Row],[Supply Item]], Items[], COLUMN(Items[Component])-COLUMN(Items[])+1, FALSE))</f>
        <v/>
      </c>
      <c r="E33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33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3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33" s="17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33" s="18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33" s="18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33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33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33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33" s="23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  <row r="34" spans="4:14" x14ac:dyDescent="0.25">
      <c r="D34" s="14" t="str">
        <f>IF(OR(ISBLANK(Items[[#This Row],[Supply Item]]), Items[[#This Row],[Supply Item]]="", Items[[#This Row],[Supply Item]]=0), "", VLOOKUP(Items[[#This Row],[Supply Item]], Items[], COLUMN(Items[Component])-COLUMN(Items[])+1, FALSE))</f>
        <v/>
      </c>
      <c r="E34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34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4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34" s="17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34" s="18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34" s="18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34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34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34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34" s="23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  <row r="35" spans="4:14" x14ac:dyDescent="0.25">
      <c r="D35" s="14" t="str">
        <f>IF(OR(ISBLANK(Items[[#This Row],[Supply Item]]), Items[[#This Row],[Supply Item]]="", Items[[#This Row],[Supply Item]]=0), "", VLOOKUP(Items[[#This Row],[Supply Item]], Items[], COLUMN(Items[Component])-COLUMN(Items[])+1, FALSE))</f>
        <v/>
      </c>
      <c r="E35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35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5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35" s="17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35" s="18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35" s="18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35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35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35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35" s="23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  <row r="36" spans="4:14" x14ac:dyDescent="0.25">
      <c r="D36" s="14" t="str">
        <f>IF(OR(ISBLANK(Items[[#This Row],[Supply Item]]), Items[[#This Row],[Supply Item]]="", Items[[#This Row],[Supply Item]]=0), "", VLOOKUP(Items[[#This Row],[Supply Item]], Items[], COLUMN(Items[Component])-COLUMN(Items[])+1, FALSE))</f>
        <v/>
      </c>
      <c r="E36" s="16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36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6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36" s="17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36" s="18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36" s="18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36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36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36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36" s="23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</sheetData>
  <dataValidations count="1">
    <dataValidation type="list" allowBlank="1" showInputMessage="1" showErrorMessage="1" sqref="B2:B36" xr:uid="{00000000-0002-0000-0100-000000000000}">
      <formula1>ComponentIDs</formula1>
    </dataValidation>
  </dataValidations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17.28515625" style="26" bestFit="1" customWidth="1"/>
    <col min="2" max="2" width="14" style="26" bestFit="1" customWidth="1"/>
    <col min="3" max="3" width="11.140625" style="26" bestFit="1" customWidth="1"/>
    <col min="4" max="4" width="12.7109375" style="26" bestFit="1" customWidth="1"/>
    <col min="5" max="5" width="17.5703125" style="26" bestFit="1" customWidth="1"/>
    <col min="6" max="6" width="21.28515625" style="26" bestFit="1" customWidth="1"/>
    <col min="7" max="7" width="16" style="26" bestFit="1" customWidth="1"/>
    <col min="8" max="8" width="19.7109375" style="26" bestFit="1" customWidth="1"/>
    <col min="9" max="9" width="11.85546875" style="26" bestFit="1" customWidth="1"/>
    <col min="10" max="10" width="32.42578125" style="26" bestFit="1" customWidth="1"/>
    <col min="11" max="11" width="29.140625" style="26" bestFit="1" customWidth="1"/>
    <col min="12" max="12" width="31.7109375" style="26" bestFit="1" customWidth="1"/>
    <col min="13" max="13" width="36.140625" style="26" bestFit="1" customWidth="1"/>
    <col min="14" max="14" width="32.85546875" style="26" bestFit="1" customWidth="1"/>
    <col min="15" max="15" width="36.140625" style="26" bestFit="1" customWidth="1"/>
    <col min="16" max="16" width="32.85546875" style="26" bestFit="1" customWidth="1"/>
    <col min="17" max="16384" width="9.140625" style="26"/>
  </cols>
  <sheetData>
    <row r="1" spans="1:15" x14ac:dyDescent="0.25">
      <c r="A1" s="24" t="s">
        <v>9</v>
      </c>
      <c r="B1" s="25" t="s">
        <v>35</v>
      </c>
      <c r="C1" s="26" t="s">
        <v>62</v>
      </c>
      <c r="D1" s="26" t="s">
        <v>10</v>
      </c>
      <c r="E1" s="26" t="s">
        <v>72</v>
      </c>
      <c r="F1" s="26" t="s">
        <v>74</v>
      </c>
      <c r="G1" s="26" t="s">
        <v>71</v>
      </c>
      <c r="H1" s="26" t="s">
        <v>73</v>
      </c>
      <c r="I1" t="s">
        <v>92</v>
      </c>
      <c r="J1" s="26" t="s">
        <v>65</v>
      </c>
      <c r="K1" s="26" t="s">
        <v>66</v>
      </c>
      <c r="L1" s="26" t="s">
        <v>67</v>
      </c>
      <c r="M1" s="26" t="s">
        <v>68</v>
      </c>
      <c r="N1" s="26" t="s">
        <v>69</v>
      </c>
      <c r="O1" s="26" t="s">
        <v>70</v>
      </c>
    </row>
    <row r="2" spans="1:15" x14ac:dyDescent="0.25">
      <c r="A2" s="27" t="str">
        <f>IF(IFERROR(Items[[#This Row],[ItemID]], 0)=0, "", Items[[#This Row],[ItemID]])</f>
        <v/>
      </c>
      <c r="B2" s="27"/>
      <c r="C2" s="28" t="str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/>
      </c>
      <c r="D2" s="26" t="str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/>
      </c>
      <c r="E2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" s="29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2" s="29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2" s="30" t="str">
        <f>IF(OR(ISBLANK(Analysis[[#This Row],[ItemID]]), Analysis[[#This Row],[ItemID]]=""), "", VLOOKUP(Analysis[[#This Row],[ItemID]], Items[], COLUMN(Items[Thoughput Loss])-COLUMN(Items[])+1, FALSE))</f>
        <v/>
      </c>
      <c r="J2" s="29" t="str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/>
      </c>
      <c r="K2" s="29" t="str">
        <f>IF(OR(ISBLANK(Analysis[[#This Row],[ItemID]]), Analysis[[#This Row],[ItemID]]=""), "", SUMIFS(Analysis[Total Peak Consumption (W)], Analysis[Supply Item], Analysis[[#This Row],[ItemID]]))</f>
        <v/>
      </c>
      <c r="L2" s="29" t="str">
        <f>IF(OR(ISBLANK(Analysis[[#This Row],[ItemID]]), Analysis[[#This Row],[ItemID]]=""), "", Analysis[[#This Row],[Self Peak Consumption (W)]]+Analysis[[#This Row],[Children Peak Consumption (W)]])</f>
        <v/>
      </c>
      <c r="M2" s="29" t="str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/>
      </c>
      <c r="N2" s="29" t="str">
        <f>IF(OR(ISBLANK(Analysis[[#This Row],[ItemID]]), Analysis[[#This Row],[ItemID]]=""), "", SUMIFS(Analysis[Total Constant Consumption (W)], Analysis[Supply Item], Analysis[[#This Row],[ItemID]]))</f>
        <v/>
      </c>
      <c r="O2" s="29" t="str">
        <f>IF(OR(ISBLANK(Analysis[[#This Row],[ItemID]]), Analysis[[#This Row],[ItemID]]=""), "", Analysis[[#This Row],[Self Constant Consumption (W)]]+Analysis[[#This Row],[Children Constant Consumption (W)]])</f>
        <v/>
      </c>
    </row>
    <row r="3" spans="1:15" x14ac:dyDescent="0.25">
      <c r="A3" s="27" t="str">
        <f>IF(IFERROR(Items[[#This Row],[ItemID]], 0)=0, "", Items[[#This Row],[ItemID]])</f>
        <v>Battery Pack</v>
      </c>
      <c r="B3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3" s="28" t="str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/>
      </c>
      <c r="D3" s="26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>22.2</v>
      </c>
      <c r="E3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375.52027027027026</v>
      </c>
      <c r="F3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38.128378378378379</v>
      </c>
      <c r="G3" s="29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3" s="29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3" s="30">
        <f>IF(OR(ISBLANK(Analysis[[#This Row],[ItemID]]), Analysis[[#This Row],[ItemID]]=""), "", VLOOKUP(Analysis[[#This Row],[ItemID]], Items[], COLUMN(Items[Thoughput Loss])-COLUMN(Items[])+1, FALSE))</f>
        <v>0</v>
      </c>
      <c r="J3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3" s="29">
        <f>IF(OR(ISBLANK(Analysis[[#This Row],[ItemID]]), Analysis[[#This Row],[ItemID]]=""), "", SUMIFS(Analysis[Total Peak Consumption (W)], Analysis[Supply Item], Analysis[[#This Row],[ItemID]]))</f>
        <v>8336.5499999999993</v>
      </c>
      <c r="L3" s="29">
        <f>IF(OR(ISBLANK(Analysis[[#This Row],[ItemID]]), Analysis[[#This Row],[ItemID]]=""), "", Analysis[[#This Row],[Self Peak Consumption (W)]]+Analysis[[#This Row],[Children Peak Consumption (W)]])</f>
        <v>8336.5499999999993</v>
      </c>
      <c r="M3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3" s="29">
        <f>IF(OR(ISBLANK(Analysis[[#This Row],[ItemID]]), Analysis[[#This Row],[ItemID]]=""), "", SUMIFS(Analysis[Total Constant Consumption (W)], Analysis[Supply Item], Analysis[[#This Row],[ItemID]]))</f>
        <v>846.45</v>
      </c>
      <c r="O3" s="29">
        <f>IF(OR(ISBLANK(Analysis[[#This Row],[ItemID]]), Analysis[[#This Row],[ItemID]]=""), "", Analysis[[#This Row],[Self Constant Consumption (W)]]+Analysis[[#This Row],[Children Constant Consumption (W)]])</f>
        <v>846.45</v>
      </c>
    </row>
    <row r="4" spans="1:15" x14ac:dyDescent="0.25">
      <c r="A4" s="27" t="str">
        <f>IF(IFERROR(Items[[#This Row],[ItemID]], 0)=0, "", Items[[#This Row],[ItemID]])</f>
        <v>Logic Supply</v>
      </c>
      <c r="B4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Battery Pack</v>
      </c>
      <c r="C4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4" s="26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>5</v>
      </c>
      <c r="E4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1.4</v>
      </c>
      <c r="F4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1.4</v>
      </c>
      <c r="G4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0.33108108108108109</v>
      </c>
      <c r="H4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0.33108108108108109</v>
      </c>
      <c r="I4" s="30">
        <f>IF(OR(ISBLANK(Analysis[[#This Row],[ItemID]]), Analysis[[#This Row],[ItemID]]=""), "", VLOOKUP(Analysis[[#This Row],[ItemID]], Items[], COLUMN(Items[Thoughput Loss])-COLUMN(Items[])+1, FALSE))</f>
        <v>0.05</v>
      </c>
      <c r="J4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0.35000000000000003</v>
      </c>
      <c r="K4" s="29">
        <f>IF(OR(ISBLANK(Analysis[[#This Row],[ItemID]]), Analysis[[#This Row],[ItemID]]=""), "", SUMIFS(Analysis[Total Peak Consumption (W)], Analysis[Supply Item], Analysis[[#This Row],[ItemID]]))</f>
        <v>7</v>
      </c>
      <c r="L4" s="29">
        <f>IF(OR(ISBLANK(Analysis[[#This Row],[ItemID]]), Analysis[[#This Row],[ItemID]]=""), "", Analysis[[#This Row],[Self Peak Consumption (W)]]+Analysis[[#This Row],[Children Peak Consumption (W)]])</f>
        <v>7.35</v>
      </c>
      <c r="M4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0.35000000000000003</v>
      </c>
      <c r="N4" s="29">
        <f>IF(OR(ISBLANK(Analysis[[#This Row],[ItemID]]), Analysis[[#This Row],[ItemID]]=""), "", SUMIFS(Analysis[Total Constant Consumption (W)], Analysis[Supply Item], Analysis[[#This Row],[ItemID]]))</f>
        <v>7</v>
      </c>
      <c r="O4" s="29">
        <f>IF(OR(ISBLANK(Analysis[[#This Row],[ItemID]]), Analysis[[#This Row],[ItemID]]=""), "", Analysis[[#This Row],[Self Constant Consumption (W)]]+Analysis[[#This Row],[Children Constant Consumption (W)]])</f>
        <v>7.35</v>
      </c>
    </row>
    <row r="5" spans="1:15" x14ac:dyDescent="0.25">
      <c r="A5" s="27" t="str">
        <f>IF(IFERROR(Items[[#This Row],[ItemID]], 0)=0, "", Items[[#This Row],[ItemID]])</f>
        <v>Master Control</v>
      </c>
      <c r="B5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Logic Supply</v>
      </c>
      <c r="C5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5</v>
      </c>
      <c r="D5" s="26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>3.3</v>
      </c>
      <c r="E5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0</v>
      </c>
      <c r="F5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0</v>
      </c>
      <c r="G5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1.4</v>
      </c>
      <c r="H5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1.4</v>
      </c>
      <c r="I5" s="30">
        <f>IF(OR(ISBLANK(Analysis[[#This Row],[ItemID]]), Analysis[[#This Row],[ItemID]]=""), "", VLOOKUP(Analysis[[#This Row],[ItemID]], Items[], COLUMN(Items[Thoughput Loss])-COLUMN(Items[])+1, FALSE))</f>
        <v>0</v>
      </c>
      <c r="J5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7</v>
      </c>
      <c r="K5" s="29">
        <f>IF(OR(ISBLANK(Analysis[[#This Row],[ItemID]]), Analysis[[#This Row],[ItemID]]=""), "", SUMIFS(Analysis[Total Peak Consumption (W)], Analysis[Supply Item], Analysis[[#This Row],[ItemID]]))</f>
        <v>0</v>
      </c>
      <c r="L5" s="29">
        <f>IF(OR(ISBLANK(Analysis[[#This Row],[ItemID]]), Analysis[[#This Row],[ItemID]]=""), "", Analysis[[#This Row],[Self Peak Consumption (W)]]+Analysis[[#This Row],[Children Peak Consumption (W)]])</f>
        <v>7</v>
      </c>
      <c r="M5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7</v>
      </c>
      <c r="N5" s="29">
        <f>IF(OR(ISBLANK(Analysis[[#This Row],[ItemID]]), Analysis[[#This Row],[ItemID]]=""), "", SUMIFS(Analysis[Total Constant Consumption (W)], Analysis[Supply Item], Analysis[[#This Row],[ItemID]]))</f>
        <v>0</v>
      </c>
      <c r="O5" s="29">
        <f>IF(OR(ISBLANK(Analysis[[#This Row],[ItemID]]), Analysis[[#This Row],[ItemID]]=""), "", Analysis[[#This Row],[Self Constant Consumption (W)]]+Analysis[[#This Row],[Children Constant Consumption (W)]])</f>
        <v>7</v>
      </c>
    </row>
    <row r="6" spans="1:15" x14ac:dyDescent="0.25">
      <c r="A6" s="27" t="str">
        <f>IF(IFERROR(Items[[#This Row],[ItemID]], 0)=0, "", Items[[#This Row],[ItemID]])</f>
        <v>Network Power</v>
      </c>
      <c r="B6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Battery Pack</v>
      </c>
      <c r="C6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6" s="26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>12</v>
      </c>
      <c r="E6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2.6666666666666665</v>
      </c>
      <c r="F6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1.1666666666666667</v>
      </c>
      <c r="G6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1.5135135135135136</v>
      </c>
      <c r="H6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0.66216216216216217</v>
      </c>
      <c r="I6" s="30">
        <f>IF(OR(ISBLANK(Analysis[[#This Row],[ItemID]]), Analysis[[#This Row],[ItemID]]=""), "", VLOOKUP(Analysis[[#This Row],[ItemID]], Items[], COLUMN(Items[Thoughput Loss])-COLUMN(Items[])+1, FALSE))</f>
        <v>0.05</v>
      </c>
      <c r="J6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1.6</v>
      </c>
      <c r="K6" s="29">
        <f>IF(OR(ISBLANK(Analysis[[#This Row],[ItemID]]), Analysis[[#This Row],[ItemID]]=""), "", SUMIFS(Analysis[Total Peak Consumption (W)], Analysis[Supply Item], Analysis[[#This Row],[ItemID]]))</f>
        <v>32</v>
      </c>
      <c r="L6" s="29">
        <f>IF(OR(ISBLANK(Analysis[[#This Row],[ItemID]]), Analysis[[#This Row],[ItemID]]=""), "", Analysis[[#This Row],[Self Peak Consumption (W)]]+Analysis[[#This Row],[Children Peak Consumption (W)]])</f>
        <v>33.6</v>
      </c>
      <c r="M6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0.70000000000000007</v>
      </c>
      <c r="N6" s="29">
        <f>IF(OR(ISBLANK(Analysis[[#This Row],[ItemID]]), Analysis[[#This Row],[ItemID]]=""), "", SUMIFS(Analysis[Total Constant Consumption (W)], Analysis[Supply Item], Analysis[[#This Row],[ItemID]]))</f>
        <v>14</v>
      </c>
      <c r="O6" s="29">
        <f>IF(OR(ISBLANK(Analysis[[#This Row],[ItemID]]), Analysis[[#This Row],[ItemID]]=""), "", Analysis[[#This Row],[Self Constant Consumption (W)]]+Analysis[[#This Row],[Children Constant Consumption (W)]])</f>
        <v>14.7</v>
      </c>
    </row>
    <row r="7" spans="1:15" x14ac:dyDescent="0.25">
      <c r="A7" s="27" t="str">
        <f>IF(IFERROR(Items[[#This Row],[ItemID]], 0)=0, "", Items[[#This Row],[ItemID]])</f>
        <v>Transceiver</v>
      </c>
      <c r="B7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Network Power</v>
      </c>
      <c r="C7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12</v>
      </c>
      <c r="D7" s="26" t="str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/>
      </c>
      <c r="E7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7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7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0.66666666666666663</v>
      </c>
      <c r="H7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0.5</v>
      </c>
      <c r="I7" s="30">
        <f>IF(OR(ISBLANK(Analysis[[#This Row],[ItemID]]), Analysis[[#This Row],[ItemID]]=""), "", VLOOKUP(Analysis[[#This Row],[ItemID]], Items[], COLUMN(Items[Thoughput Loss])-COLUMN(Items[])+1, FALSE))</f>
        <v>0</v>
      </c>
      <c r="J7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8</v>
      </c>
      <c r="K7" s="29">
        <f>IF(OR(ISBLANK(Analysis[[#This Row],[ItemID]]), Analysis[[#This Row],[ItemID]]=""), "", SUMIFS(Analysis[Total Peak Consumption (W)], Analysis[Supply Item], Analysis[[#This Row],[ItemID]]))</f>
        <v>0</v>
      </c>
      <c r="L7" s="29">
        <f>IF(OR(ISBLANK(Analysis[[#This Row],[ItemID]]), Analysis[[#This Row],[ItemID]]=""), "", Analysis[[#This Row],[Self Peak Consumption (W)]]+Analysis[[#This Row],[Children Peak Consumption (W)]])</f>
        <v>8</v>
      </c>
      <c r="M7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6</v>
      </c>
      <c r="N7" s="29">
        <f>IF(OR(ISBLANK(Analysis[[#This Row],[ItemID]]), Analysis[[#This Row],[ItemID]]=""), "", SUMIFS(Analysis[Total Constant Consumption (W)], Analysis[Supply Item], Analysis[[#This Row],[ItemID]]))</f>
        <v>0</v>
      </c>
      <c r="O7" s="29">
        <f>IF(OR(ISBLANK(Analysis[[#This Row],[ItemID]]), Analysis[[#This Row],[ItemID]]=""), "", Analysis[[#This Row],[Self Constant Consumption (W)]]+Analysis[[#This Row],[Children Constant Consumption (W)]])</f>
        <v>6</v>
      </c>
    </row>
    <row r="8" spans="1:15" x14ac:dyDescent="0.25">
      <c r="A8" s="27" t="str">
        <f>IF(IFERROR(Items[[#This Row],[ItemID]], 0)=0, "", Items[[#This Row],[ItemID]])</f>
        <v>Network Switch</v>
      </c>
      <c r="B8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Network Power</v>
      </c>
      <c r="C8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12</v>
      </c>
      <c r="D8" s="26" t="str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/>
      </c>
      <c r="E8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8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8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2</v>
      </c>
      <c r="H8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0.66666666666666663</v>
      </c>
      <c r="I8" s="30">
        <f>IF(OR(ISBLANK(Analysis[[#This Row],[ItemID]]), Analysis[[#This Row],[ItemID]]=""), "", VLOOKUP(Analysis[[#This Row],[ItemID]], Items[], COLUMN(Items[Thoughput Loss])-COLUMN(Items[])+1, FALSE))</f>
        <v>0</v>
      </c>
      <c r="J8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24</v>
      </c>
      <c r="K8" s="29">
        <f>IF(OR(ISBLANK(Analysis[[#This Row],[ItemID]]), Analysis[[#This Row],[ItemID]]=""), "", SUMIFS(Analysis[Total Peak Consumption (W)], Analysis[Supply Item], Analysis[[#This Row],[ItemID]]))</f>
        <v>0</v>
      </c>
      <c r="L8" s="29">
        <f>IF(OR(ISBLANK(Analysis[[#This Row],[ItemID]]), Analysis[[#This Row],[ItemID]]=""), "", Analysis[[#This Row],[Self Peak Consumption (W)]]+Analysis[[#This Row],[Children Peak Consumption (W)]])</f>
        <v>24</v>
      </c>
      <c r="M8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8</v>
      </c>
      <c r="N8" s="29">
        <f>IF(OR(ISBLANK(Analysis[[#This Row],[ItemID]]), Analysis[[#This Row],[ItemID]]=""), "", SUMIFS(Analysis[Total Constant Consumption (W)], Analysis[Supply Item], Analysis[[#This Row],[ItemID]]))</f>
        <v>0</v>
      </c>
      <c r="O8" s="29">
        <f>IF(OR(ISBLANK(Analysis[[#This Row],[ItemID]]), Analysis[[#This Row],[ItemID]]=""), "", Analysis[[#This Row],[Self Constant Consumption (W)]]+Analysis[[#This Row],[Children Constant Consumption (W)]])</f>
        <v>8</v>
      </c>
    </row>
    <row r="9" spans="1:15" x14ac:dyDescent="0.25">
      <c r="A9" s="27" t="str">
        <f>IF(IFERROR(Items[[#This Row],[ItemID]], 0)=0, "", Items[[#This Row],[ItemID]])</f>
        <v>Dirty Power 1</v>
      </c>
      <c r="B9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Battery Pack</v>
      </c>
      <c r="C9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9" s="26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>12</v>
      </c>
      <c r="E9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20</v>
      </c>
      <c r="F9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15</v>
      </c>
      <c r="G9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11.891891891891893</v>
      </c>
      <c r="H9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8.9189189189189193</v>
      </c>
      <c r="I9" s="30">
        <f>IF(OR(ISBLANK(Analysis[[#This Row],[ItemID]]), Analysis[[#This Row],[ItemID]]=""), "", VLOOKUP(Analysis[[#This Row],[ItemID]], Items[], COLUMN(Items[Thoughput Loss])-COLUMN(Items[])+1, FALSE))</f>
        <v>0.1</v>
      </c>
      <c r="J9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24</v>
      </c>
      <c r="K9" s="29">
        <f>IF(OR(ISBLANK(Analysis[[#This Row],[ItemID]]), Analysis[[#This Row],[ItemID]]=""), "", SUMIFS(Analysis[Total Peak Consumption (W)], Analysis[Supply Item], Analysis[[#This Row],[ItemID]]))</f>
        <v>240</v>
      </c>
      <c r="L9" s="29">
        <f>IF(OR(ISBLANK(Analysis[[#This Row],[ItemID]]), Analysis[[#This Row],[ItemID]]=""), "", Analysis[[#This Row],[Self Peak Consumption (W)]]+Analysis[[#This Row],[Children Peak Consumption (W)]])</f>
        <v>264</v>
      </c>
      <c r="M9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18</v>
      </c>
      <c r="N9" s="29">
        <f>IF(OR(ISBLANK(Analysis[[#This Row],[ItemID]]), Analysis[[#This Row],[ItemID]]=""), "", SUMIFS(Analysis[Total Constant Consumption (W)], Analysis[Supply Item], Analysis[[#This Row],[ItemID]]))</f>
        <v>180</v>
      </c>
      <c r="O9" s="29">
        <f>IF(OR(ISBLANK(Analysis[[#This Row],[ItemID]]), Analysis[[#This Row],[ItemID]]=""), "", Analysis[[#This Row],[Self Constant Consumption (W)]]+Analysis[[#This Row],[Children Constant Consumption (W)]])</f>
        <v>198</v>
      </c>
    </row>
    <row r="10" spans="1:15" x14ac:dyDescent="0.25">
      <c r="A10" s="27" t="str">
        <f>IF(IFERROR(Items[[#This Row],[ItemID]], 0)=0, "", Items[[#This Row],[ItemID]])</f>
        <v>Dirty Power 2</v>
      </c>
      <c r="B10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Battery Pack</v>
      </c>
      <c r="C10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10" s="26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>12</v>
      </c>
      <c r="E10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3</v>
      </c>
      <c r="F10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2</v>
      </c>
      <c r="G10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1.783783783783784</v>
      </c>
      <c r="H10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1.1891891891891893</v>
      </c>
      <c r="I10" s="30">
        <f>IF(OR(ISBLANK(Analysis[[#This Row],[ItemID]]), Analysis[[#This Row],[ItemID]]=""), "", VLOOKUP(Analysis[[#This Row],[ItemID]], Items[], COLUMN(Items[Thoughput Loss])-COLUMN(Items[])+1, FALSE))</f>
        <v>0.1</v>
      </c>
      <c r="J10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3.6</v>
      </c>
      <c r="K10" s="29">
        <f>IF(OR(ISBLANK(Analysis[[#This Row],[ItemID]]), Analysis[[#This Row],[ItemID]]=""), "", SUMIFS(Analysis[Total Peak Consumption (W)], Analysis[Supply Item], Analysis[[#This Row],[ItemID]]))</f>
        <v>36</v>
      </c>
      <c r="L10" s="29">
        <f>IF(OR(ISBLANK(Analysis[[#This Row],[ItemID]]), Analysis[[#This Row],[ItemID]]=""), "", Analysis[[#This Row],[Self Peak Consumption (W)]]+Analysis[[#This Row],[Children Peak Consumption (W)]])</f>
        <v>39.6</v>
      </c>
      <c r="M10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2.4000000000000004</v>
      </c>
      <c r="N10" s="29">
        <f>IF(OR(ISBLANK(Analysis[[#This Row],[ItemID]]), Analysis[[#This Row],[ItemID]]=""), "", SUMIFS(Analysis[Total Constant Consumption (W)], Analysis[Supply Item], Analysis[[#This Row],[ItemID]]))</f>
        <v>24</v>
      </c>
      <c r="O10" s="29">
        <f>IF(OR(ISBLANK(Analysis[[#This Row],[ItemID]]), Analysis[[#This Row],[ItemID]]=""), "", Analysis[[#This Row],[Self Constant Consumption (W)]]+Analysis[[#This Row],[Children Constant Consumption (W)]])</f>
        <v>26.4</v>
      </c>
    </row>
    <row r="11" spans="1:15" x14ac:dyDescent="0.25">
      <c r="A11" s="27" t="str">
        <f>IF(IFERROR(Items[[#This Row],[ItemID]], 0)=0, "", Items[[#This Row],[ItemID]])</f>
        <v>Drivetrain Power</v>
      </c>
      <c r="B11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Battery Pack</v>
      </c>
      <c r="C11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11" s="26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>22.2</v>
      </c>
      <c r="E11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360</v>
      </c>
      <c r="F11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27.027027027027028</v>
      </c>
      <c r="G11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360</v>
      </c>
      <c r="H11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27.027027027027028</v>
      </c>
      <c r="I11" s="30">
        <f>IF(OR(ISBLANK(Analysis[[#This Row],[ItemID]]), Analysis[[#This Row],[ItemID]]=""), "", VLOOKUP(Analysis[[#This Row],[ItemID]], Items[], COLUMN(Items[Thoughput Loss])-COLUMN(Items[])+1, FALSE))</f>
        <v>0</v>
      </c>
      <c r="J11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11" s="29">
        <f>IF(OR(ISBLANK(Analysis[[#This Row],[ItemID]]), Analysis[[#This Row],[ItemID]]=""), "", SUMIFS(Analysis[Total Peak Consumption (W)], Analysis[Supply Item], Analysis[[#This Row],[ItemID]]))</f>
        <v>7992</v>
      </c>
      <c r="L11" s="29">
        <f>IF(OR(ISBLANK(Analysis[[#This Row],[ItemID]]), Analysis[[#This Row],[ItemID]]=""), "", Analysis[[#This Row],[Self Peak Consumption (W)]]+Analysis[[#This Row],[Children Peak Consumption (W)]])</f>
        <v>7992</v>
      </c>
      <c r="M11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11" s="29">
        <f>IF(OR(ISBLANK(Analysis[[#This Row],[ItemID]]), Analysis[[#This Row],[ItemID]]=""), "", SUMIFS(Analysis[Total Constant Consumption (W)], Analysis[Supply Item], Analysis[[#This Row],[ItemID]]))</f>
        <v>600</v>
      </c>
      <c r="O11" s="29">
        <f>IF(OR(ISBLANK(Analysis[[#This Row],[ItemID]]), Analysis[[#This Row],[ItemID]]=""), "", Analysis[[#This Row],[Self Constant Consumption (W)]]+Analysis[[#This Row],[Children Constant Consumption (W)]])</f>
        <v>600</v>
      </c>
    </row>
    <row r="12" spans="1:15" x14ac:dyDescent="0.25">
      <c r="A12" s="27" t="str">
        <f>IF(IFERROR(Items[[#This Row],[ItemID]], 0)=0, "", Items[[#This Row],[ItemID]])</f>
        <v>FrontRight ESC</v>
      </c>
      <c r="B12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Drivetrain Power</v>
      </c>
      <c r="C12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12" s="26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>22.2</v>
      </c>
      <c r="E12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60</v>
      </c>
      <c r="F12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4.5045045045045047</v>
      </c>
      <c r="G12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60</v>
      </c>
      <c r="H12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4.5045045045045047</v>
      </c>
      <c r="I12" s="30">
        <f>IF(OR(ISBLANK(Analysis[[#This Row],[ItemID]]), Analysis[[#This Row],[ItemID]]=""), "", VLOOKUP(Analysis[[#This Row],[ItemID]], Items[], COLUMN(Items[Thoughput Loss])-COLUMN(Items[])+1, FALSE))</f>
        <v>0</v>
      </c>
      <c r="J12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12" s="29">
        <f>IF(OR(ISBLANK(Analysis[[#This Row],[ItemID]]), Analysis[[#This Row],[ItemID]]=""), "", SUMIFS(Analysis[Total Peak Consumption (W)], Analysis[Supply Item], Analysis[[#This Row],[ItemID]]))</f>
        <v>1332</v>
      </c>
      <c r="L12" s="29">
        <f>IF(OR(ISBLANK(Analysis[[#This Row],[ItemID]]), Analysis[[#This Row],[ItemID]]=""), "", Analysis[[#This Row],[Self Peak Consumption (W)]]+Analysis[[#This Row],[Children Peak Consumption (W)]])</f>
        <v>1332</v>
      </c>
      <c r="M12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12" s="29">
        <f>IF(OR(ISBLANK(Analysis[[#This Row],[ItemID]]), Analysis[[#This Row],[ItemID]]=""), "", SUMIFS(Analysis[Total Constant Consumption (W)], Analysis[Supply Item], Analysis[[#This Row],[ItemID]]))</f>
        <v>100</v>
      </c>
      <c r="O12" s="29">
        <f>IF(OR(ISBLANK(Analysis[[#This Row],[ItemID]]), Analysis[[#This Row],[ItemID]]=""), "", Analysis[[#This Row],[Self Constant Consumption (W)]]+Analysis[[#This Row],[Children Constant Consumption (W)]])</f>
        <v>100</v>
      </c>
    </row>
    <row r="13" spans="1:15" x14ac:dyDescent="0.25">
      <c r="A13" s="27" t="str">
        <f>IF(IFERROR(Items[[#This Row],[ItemID]], 0)=0, "", Items[[#This Row],[ItemID]])</f>
        <v>FrontRight Motor</v>
      </c>
      <c r="B13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FrontRight ESC</v>
      </c>
      <c r="C13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13" s="26" t="str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/>
      </c>
      <c r="E13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13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13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60</v>
      </c>
      <c r="H13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4.5045045045045047</v>
      </c>
      <c r="I13" s="30">
        <f>IF(OR(ISBLANK(Analysis[[#This Row],[ItemID]]), Analysis[[#This Row],[ItemID]]=""), "", VLOOKUP(Analysis[[#This Row],[ItemID]], Items[], COLUMN(Items[Thoughput Loss])-COLUMN(Items[])+1, FALSE))</f>
        <v>0</v>
      </c>
      <c r="J13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1332</v>
      </c>
      <c r="K13" s="29">
        <f>IF(OR(ISBLANK(Analysis[[#This Row],[ItemID]]), Analysis[[#This Row],[ItemID]]=""), "", SUMIFS(Analysis[Total Peak Consumption (W)], Analysis[Supply Item], Analysis[[#This Row],[ItemID]]))</f>
        <v>0</v>
      </c>
      <c r="L13" s="29">
        <f>IF(OR(ISBLANK(Analysis[[#This Row],[ItemID]]), Analysis[[#This Row],[ItemID]]=""), "", Analysis[[#This Row],[Self Peak Consumption (W)]]+Analysis[[#This Row],[Children Peak Consumption (W)]])</f>
        <v>1332</v>
      </c>
      <c r="M13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100</v>
      </c>
      <c r="N13" s="29">
        <f>IF(OR(ISBLANK(Analysis[[#This Row],[ItemID]]), Analysis[[#This Row],[ItemID]]=""), "", SUMIFS(Analysis[Total Constant Consumption (W)], Analysis[Supply Item], Analysis[[#This Row],[ItemID]]))</f>
        <v>0</v>
      </c>
      <c r="O13" s="29">
        <f>IF(OR(ISBLANK(Analysis[[#This Row],[ItemID]]), Analysis[[#This Row],[ItemID]]=""), "", Analysis[[#This Row],[Self Constant Consumption (W)]]+Analysis[[#This Row],[Children Constant Consumption (W)]])</f>
        <v>100</v>
      </c>
    </row>
    <row r="14" spans="1:15" x14ac:dyDescent="0.25">
      <c r="A14" s="27" t="str">
        <f>IF(IFERROR(Items[[#This Row],[ItemID]], 0)=0, "", Items[[#This Row],[ItemID]])</f>
        <v>MidRight ESC</v>
      </c>
      <c r="B14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Drivetrain Power</v>
      </c>
      <c r="C14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14" s="26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>22.2</v>
      </c>
      <c r="E14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60</v>
      </c>
      <c r="F14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4.5045045045045047</v>
      </c>
      <c r="G14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60</v>
      </c>
      <c r="H14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4.5045045045045047</v>
      </c>
      <c r="I14" s="30">
        <f>IF(OR(ISBLANK(Analysis[[#This Row],[ItemID]]), Analysis[[#This Row],[ItemID]]=""), "", VLOOKUP(Analysis[[#This Row],[ItemID]], Items[], COLUMN(Items[Thoughput Loss])-COLUMN(Items[])+1, FALSE))</f>
        <v>0</v>
      </c>
      <c r="J14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14" s="29">
        <f>IF(OR(ISBLANK(Analysis[[#This Row],[ItemID]]), Analysis[[#This Row],[ItemID]]=""), "", SUMIFS(Analysis[Total Peak Consumption (W)], Analysis[Supply Item], Analysis[[#This Row],[ItemID]]))</f>
        <v>1332</v>
      </c>
      <c r="L14" s="29">
        <f>IF(OR(ISBLANK(Analysis[[#This Row],[ItemID]]), Analysis[[#This Row],[ItemID]]=""), "", Analysis[[#This Row],[Self Peak Consumption (W)]]+Analysis[[#This Row],[Children Peak Consumption (W)]])</f>
        <v>1332</v>
      </c>
      <c r="M14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14" s="29">
        <f>IF(OR(ISBLANK(Analysis[[#This Row],[ItemID]]), Analysis[[#This Row],[ItemID]]=""), "", SUMIFS(Analysis[Total Constant Consumption (W)], Analysis[Supply Item], Analysis[[#This Row],[ItemID]]))</f>
        <v>100</v>
      </c>
      <c r="O14" s="29">
        <f>IF(OR(ISBLANK(Analysis[[#This Row],[ItemID]]), Analysis[[#This Row],[ItemID]]=""), "", Analysis[[#This Row],[Self Constant Consumption (W)]]+Analysis[[#This Row],[Children Constant Consumption (W)]])</f>
        <v>100</v>
      </c>
    </row>
    <row r="15" spans="1:15" x14ac:dyDescent="0.25">
      <c r="A15" s="27" t="str">
        <f>IF(IFERROR(Items[[#This Row],[ItemID]], 0)=0, "", Items[[#This Row],[ItemID]])</f>
        <v>MidRight Motor</v>
      </c>
      <c r="B15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MidRight ESC</v>
      </c>
      <c r="C15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15" s="26" t="str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/>
      </c>
      <c r="E15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15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15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60</v>
      </c>
      <c r="H15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4.5045045045045047</v>
      </c>
      <c r="I15" s="30">
        <f>IF(OR(ISBLANK(Analysis[[#This Row],[ItemID]]), Analysis[[#This Row],[ItemID]]=""), "", VLOOKUP(Analysis[[#This Row],[ItemID]], Items[], COLUMN(Items[Thoughput Loss])-COLUMN(Items[])+1, FALSE))</f>
        <v>0</v>
      </c>
      <c r="J15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1332</v>
      </c>
      <c r="K15" s="29">
        <f>IF(OR(ISBLANK(Analysis[[#This Row],[ItemID]]), Analysis[[#This Row],[ItemID]]=""), "", SUMIFS(Analysis[Total Peak Consumption (W)], Analysis[Supply Item], Analysis[[#This Row],[ItemID]]))</f>
        <v>0</v>
      </c>
      <c r="L15" s="29">
        <f>IF(OR(ISBLANK(Analysis[[#This Row],[ItemID]]), Analysis[[#This Row],[ItemID]]=""), "", Analysis[[#This Row],[Self Peak Consumption (W)]]+Analysis[[#This Row],[Children Peak Consumption (W)]])</f>
        <v>1332</v>
      </c>
      <c r="M15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100</v>
      </c>
      <c r="N15" s="29">
        <f>IF(OR(ISBLANK(Analysis[[#This Row],[ItemID]]), Analysis[[#This Row],[ItemID]]=""), "", SUMIFS(Analysis[Total Constant Consumption (W)], Analysis[Supply Item], Analysis[[#This Row],[ItemID]]))</f>
        <v>0</v>
      </c>
      <c r="O15" s="29">
        <f>IF(OR(ISBLANK(Analysis[[#This Row],[ItemID]]), Analysis[[#This Row],[ItemID]]=""), "", Analysis[[#This Row],[Self Constant Consumption (W)]]+Analysis[[#This Row],[Children Constant Consumption (W)]])</f>
        <v>100</v>
      </c>
    </row>
    <row r="16" spans="1:15" x14ac:dyDescent="0.25">
      <c r="A16" s="27" t="str">
        <f>IF(IFERROR(Items[[#This Row],[ItemID]], 0)=0, "", Items[[#This Row],[ItemID]])</f>
        <v>BackRight ESC</v>
      </c>
      <c r="B16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Drivetrain Power</v>
      </c>
      <c r="C16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16" s="26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>22.2</v>
      </c>
      <c r="E16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60</v>
      </c>
      <c r="F16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4.5045045045045047</v>
      </c>
      <c r="G16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60</v>
      </c>
      <c r="H16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4.5045045045045047</v>
      </c>
      <c r="I16" s="30">
        <f>IF(OR(ISBLANK(Analysis[[#This Row],[ItemID]]), Analysis[[#This Row],[ItemID]]=""), "", VLOOKUP(Analysis[[#This Row],[ItemID]], Items[], COLUMN(Items[Thoughput Loss])-COLUMN(Items[])+1, FALSE))</f>
        <v>0</v>
      </c>
      <c r="J16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16" s="29">
        <f>IF(OR(ISBLANK(Analysis[[#This Row],[ItemID]]), Analysis[[#This Row],[ItemID]]=""), "", SUMIFS(Analysis[Total Peak Consumption (W)], Analysis[Supply Item], Analysis[[#This Row],[ItemID]]))</f>
        <v>1332</v>
      </c>
      <c r="L16" s="29">
        <f>IF(OR(ISBLANK(Analysis[[#This Row],[ItemID]]), Analysis[[#This Row],[ItemID]]=""), "", Analysis[[#This Row],[Self Peak Consumption (W)]]+Analysis[[#This Row],[Children Peak Consumption (W)]])</f>
        <v>1332</v>
      </c>
      <c r="M16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16" s="29">
        <f>IF(OR(ISBLANK(Analysis[[#This Row],[ItemID]]), Analysis[[#This Row],[ItemID]]=""), "", SUMIFS(Analysis[Total Constant Consumption (W)], Analysis[Supply Item], Analysis[[#This Row],[ItemID]]))</f>
        <v>100</v>
      </c>
      <c r="O16" s="29">
        <f>IF(OR(ISBLANK(Analysis[[#This Row],[ItemID]]), Analysis[[#This Row],[ItemID]]=""), "", Analysis[[#This Row],[Self Constant Consumption (W)]]+Analysis[[#This Row],[Children Constant Consumption (W)]])</f>
        <v>100</v>
      </c>
    </row>
    <row r="17" spans="1:15" x14ac:dyDescent="0.25">
      <c r="A17" s="27" t="str">
        <f>IF(IFERROR(Items[[#This Row],[ItemID]], 0)=0, "", Items[[#This Row],[ItemID]])</f>
        <v>BackRight Motor</v>
      </c>
      <c r="B17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BackRight ESC</v>
      </c>
      <c r="C17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17" s="26" t="str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/>
      </c>
      <c r="E17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17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17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60</v>
      </c>
      <c r="H17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4.5045045045045047</v>
      </c>
      <c r="I17" s="30">
        <f>IF(OR(ISBLANK(Analysis[[#This Row],[ItemID]]), Analysis[[#This Row],[ItemID]]=""), "", VLOOKUP(Analysis[[#This Row],[ItemID]], Items[], COLUMN(Items[Thoughput Loss])-COLUMN(Items[])+1, FALSE))</f>
        <v>0</v>
      </c>
      <c r="J17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1332</v>
      </c>
      <c r="K17" s="29">
        <f>IF(OR(ISBLANK(Analysis[[#This Row],[ItemID]]), Analysis[[#This Row],[ItemID]]=""), "", SUMIFS(Analysis[Total Peak Consumption (W)], Analysis[Supply Item], Analysis[[#This Row],[ItemID]]))</f>
        <v>0</v>
      </c>
      <c r="L17" s="29">
        <f>IF(OR(ISBLANK(Analysis[[#This Row],[ItemID]]), Analysis[[#This Row],[ItemID]]=""), "", Analysis[[#This Row],[Self Peak Consumption (W)]]+Analysis[[#This Row],[Children Peak Consumption (W)]])</f>
        <v>1332</v>
      </c>
      <c r="M17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100</v>
      </c>
      <c r="N17" s="29">
        <f>IF(OR(ISBLANK(Analysis[[#This Row],[ItemID]]), Analysis[[#This Row],[ItemID]]=""), "", SUMIFS(Analysis[Total Constant Consumption (W)], Analysis[Supply Item], Analysis[[#This Row],[ItemID]]))</f>
        <v>0</v>
      </c>
      <c r="O17" s="29">
        <f>IF(OR(ISBLANK(Analysis[[#This Row],[ItemID]]), Analysis[[#This Row],[ItemID]]=""), "", Analysis[[#This Row],[Self Constant Consumption (W)]]+Analysis[[#This Row],[Children Constant Consumption (W)]])</f>
        <v>100</v>
      </c>
    </row>
    <row r="18" spans="1:15" x14ac:dyDescent="0.25">
      <c r="A18" s="27" t="str">
        <f>IF(IFERROR(Items[[#This Row],[ItemID]], 0)=0, "", Items[[#This Row],[ItemID]])</f>
        <v>FrontLeft ESC</v>
      </c>
      <c r="B18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Drivetrain Power</v>
      </c>
      <c r="C18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18" s="26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>22.2</v>
      </c>
      <c r="E18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60</v>
      </c>
      <c r="F18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4.5045045045045047</v>
      </c>
      <c r="G18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60</v>
      </c>
      <c r="H18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4.5045045045045047</v>
      </c>
      <c r="I18" s="30">
        <f>IF(OR(ISBLANK(Analysis[[#This Row],[ItemID]]), Analysis[[#This Row],[ItemID]]=""), "", VLOOKUP(Analysis[[#This Row],[ItemID]], Items[], COLUMN(Items[Thoughput Loss])-COLUMN(Items[])+1, FALSE))</f>
        <v>0</v>
      </c>
      <c r="J18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18" s="29">
        <f>IF(OR(ISBLANK(Analysis[[#This Row],[ItemID]]), Analysis[[#This Row],[ItemID]]=""), "", SUMIFS(Analysis[Total Peak Consumption (W)], Analysis[Supply Item], Analysis[[#This Row],[ItemID]]))</f>
        <v>1332</v>
      </c>
      <c r="L18" s="29">
        <f>IF(OR(ISBLANK(Analysis[[#This Row],[ItemID]]), Analysis[[#This Row],[ItemID]]=""), "", Analysis[[#This Row],[Self Peak Consumption (W)]]+Analysis[[#This Row],[Children Peak Consumption (W)]])</f>
        <v>1332</v>
      </c>
      <c r="M18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18" s="29">
        <f>IF(OR(ISBLANK(Analysis[[#This Row],[ItemID]]), Analysis[[#This Row],[ItemID]]=""), "", SUMIFS(Analysis[Total Constant Consumption (W)], Analysis[Supply Item], Analysis[[#This Row],[ItemID]]))</f>
        <v>100</v>
      </c>
      <c r="O18" s="29">
        <f>IF(OR(ISBLANK(Analysis[[#This Row],[ItemID]]), Analysis[[#This Row],[ItemID]]=""), "", Analysis[[#This Row],[Self Constant Consumption (W)]]+Analysis[[#This Row],[Children Constant Consumption (W)]])</f>
        <v>100</v>
      </c>
    </row>
    <row r="19" spans="1:15" x14ac:dyDescent="0.25">
      <c r="A19" s="27" t="str">
        <f>IF(IFERROR(Items[[#This Row],[ItemID]], 0)=0, "", Items[[#This Row],[ItemID]])</f>
        <v>FrontLeft Motor</v>
      </c>
      <c r="B19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FrontLeft ESC</v>
      </c>
      <c r="C19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19" s="26" t="str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/>
      </c>
      <c r="E19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19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19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60</v>
      </c>
      <c r="H19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4.5045045045045047</v>
      </c>
      <c r="I19" s="30">
        <f>IF(OR(ISBLANK(Analysis[[#This Row],[ItemID]]), Analysis[[#This Row],[ItemID]]=""), "", VLOOKUP(Analysis[[#This Row],[ItemID]], Items[], COLUMN(Items[Thoughput Loss])-COLUMN(Items[])+1, FALSE))</f>
        <v>0</v>
      </c>
      <c r="J19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1332</v>
      </c>
      <c r="K19" s="29">
        <f>IF(OR(ISBLANK(Analysis[[#This Row],[ItemID]]), Analysis[[#This Row],[ItemID]]=""), "", SUMIFS(Analysis[Total Peak Consumption (W)], Analysis[Supply Item], Analysis[[#This Row],[ItemID]]))</f>
        <v>0</v>
      </c>
      <c r="L19" s="29">
        <f>IF(OR(ISBLANK(Analysis[[#This Row],[ItemID]]), Analysis[[#This Row],[ItemID]]=""), "", Analysis[[#This Row],[Self Peak Consumption (W)]]+Analysis[[#This Row],[Children Peak Consumption (W)]])</f>
        <v>1332</v>
      </c>
      <c r="M19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100</v>
      </c>
      <c r="N19" s="29">
        <f>IF(OR(ISBLANK(Analysis[[#This Row],[ItemID]]), Analysis[[#This Row],[ItemID]]=""), "", SUMIFS(Analysis[Total Constant Consumption (W)], Analysis[Supply Item], Analysis[[#This Row],[ItemID]]))</f>
        <v>0</v>
      </c>
      <c r="O19" s="29">
        <f>IF(OR(ISBLANK(Analysis[[#This Row],[ItemID]]), Analysis[[#This Row],[ItemID]]=""), "", Analysis[[#This Row],[Self Constant Consumption (W)]]+Analysis[[#This Row],[Children Constant Consumption (W)]])</f>
        <v>100</v>
      </c>
    </row>
    <row r="20" spans="1:15" x14ac:dyDescent="0.25">
      <c r="A20" s="27" t="str">
        <f>IF(IFERROR(Items[[#This Row],[ItemID]], 0)=0, "", Items[[#This Row],[ItemID]])</f>
        <v>MidLeft ESC</v>
      </c>
      <c r="B20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Drivetrain Power</v>
      </c>
      <c r="C20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20" s="26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>22.2</v>
      </c>
      <c r="E20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60</v>
      </c>
      <c r="F20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4.5045045045045047</v>
      </c>
      <c r="G20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60</v>
      </c>
      <c r="H20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4.5045045045045047</v>
      </c>
      <c r="I20" s="30">
        <f>IF(OR(ISBLANK(Analysis[[#This Row],[ItemID]]), Analysis[[#This Row],[ItemID]]=""), "", VLOOKUP(Analysis[[#This Row],[ItemID]], Items[], COLUMN(Items[Thoughput Loss])-COLUMN(Items[])+1, FALSE))</f>
        <v>0</v>
      </c>
      <c r="J20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20" s="29">
        <f>IF(OR(ISBLANK(Analysis[[#This Row],[ItemID]]), Analysis[[#This Row],[ItemID]]=""), "", SUMIFS(Analysis[Total Peak Consumption (W)], Analysis[Supply Item], Analysis[[#This Row],[ItemID]]))</f>
        <v>1332</v>
      </c>
      <c r="L20" s="29">
        <f>IF(OR(ISBLANK(Analysis[[#This Row],[ItemID]]), Analysis[[#This Row],[ItemID]]=""), "", Analysis[[#This Row],[Self Peak Consumption (W)]]+Analysis[[#This Row],[Children Peak Consumption (W)]])</f>
        <v>1332</v>
      </c>
      <c r="M20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20" s="29">
        <f>IF(OR(ISBLANK(Analysis[[#This Row],[ItemID]]), Analysis[[#This Row],[ItemID]]=""), "", SUMIFS(Analysis[Total Constant Consumption (W)], Analysis[Supply Item], Analysis[[#This Row],[ItemID]]))</f>
        <v>100</v>
      </c>
      <c r="O20" s="29">
        <f>IF(OR(ISBLANK(Analysis[[#This Row],[ItemID]]), Analysis[[#This Row],[ItemID]]=""), "", Analysis[[#This Row],[Self Constant Consumption (W)]]+Analysis[[#This Row],[Children Constant Consumption (W)]])</f>
        <v>100</v>
      </c>
    </row>
    <row r="21" spans="1:15" x14ac:dyDescent="0.25">
      <c r="A21" s="27" t="str">
        <f>IF(IFERROR(Items[[#This Row],[ItemID]], 0)=0, "", Items[[#This Row],[ItemID]])</f>
        <v>MidLeft Motor</v>
      </c>
      <c r="B21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MidLeft ESC</v>
      </c>
      <c r="C21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21" s="26" t="str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/>
      </c>
      <c r="E21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1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1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60</v>
      </c>
      <c r="H21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4.5045045045045047</v>
      </c>
      <c r="I21" s="30">
        <f>IF(OR(ISBLANK(Analysis[[#This Row],[ItemID]]), Analysis[[#This Row],[ItemID]]=""), "", VLOOKUP(Analysis[[#This Row],[ItemID]], Items[], COLUMN(Items[Thoughput Loss])-COLUMN(Items[])+1, FALSE))</f>
        <v>0</v>
      </c>
      <c r="J21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1332</v>
      </c>
      <c r="K21" s="29">
        <f>IF(OR(ISBLANK(Analysis[[#This Row],[ItemID]]), Analysis[[#This Row],[ItemID]]=""), "", SUMIFS(Analysis[Total Peak Consumption (W)], Analysis[Supply Item], Analysis[[#This Row],[ItemID]]))</f>
        <v>0</v>
      </c>
      <c r="L21" s="29">
        <f>IF(OR(ISBLANK(Analysis[[#This Row],[ItemID]]), Analysis[[#This Row],[ItemID]]=""), "", Analysis[[#This Row],[Self Peak Consumption (W)]]+Analysis[[#This Row],[Children Peak Consumption (W)]])</f>
        <v>1332</v>
      </c>
      <c r="M21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100</v>
      </c>
      <c r="N21" s="29">
        <f>IF(OR(ISBLANK(Analysis[[#This Row],[ItemID]]), Analysis[[#This Row],[ItemID]]=""), "", SUMIFS(Analysis[Total Constant Consumption (W)], Analysis[Supply Item], Analysis[[#This Row],[ItemID]]))</f>
        <v>0</v>
      </c>
      <c r="O21" s="29">
        <f>IF(OR(ISBLANK(Analysis[[#This Row],[ItemID]]), Analysis[[#This Row],[ItemID]]=""), "", Analysis[[#This Row],[Self Constant Consumption (W)]]+Analysis[[#This Row],[Children Constant Consumption (W)]])</f>
        <v>100</v>
      </c>
    </row>
    <row r="22" spans="1:15" x14ac:dyDescent="0.25">
      <c r="A22" s="27" t="str">
        <f>IF(IFERROR(Items[[#This Row],[ItemID]], 0)=0, "", Items[[#This Row],[ItemID]])</f>
        <v>BackLeft ESC</v>
      </c>
      <c r="B22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Drivetrain Power</v>
      </c>
      <c r="C22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22" s="26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>22.2</v>
      </c>
      <c r="E22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60</v>
      </c>
      <c r="F22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4.5045045045045047</v>
      </c>
      <c r="G22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60</v>
      </c>
      <c r="H22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4.5045045045045047</v>
      </c>
      <c r="I22" s="30">
        <f>IF(OR(ISBLANK(Analysis[[#This Row],[ItemID]]), Analysis[[#This Row],[ItemID]]=""), "", VLOOKUP(Analysis[[#This Row],[ItemID]], Items[], COLUMN(Items[Thoughput Loss])-COLUMN(Items[])+1, FALSE))</f>
        <v>0</v>
      </c>
      <c r="J22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22" s="29">
        <f>IF(OR(ISBLANK(Analysis[[#This Row],[ItemID]]), Analysis[[#This Row],[ItemID]]=""), "", SUMIFS(Analysis[Total Peak Consumption (W)], Analysis[Supply Item], Analysis[[#This Row],[ItemID]]))</f>
        <v>1332</v>
      </c>
      <c r="L22" s="29">
        <f>IF(OR(ISBLANK(Analysis[[#This Row],[ItemID]]), Analysis[[#This Row],[ItemID]]=""), "", Analysis[[#This Row],[Self Peak Consumption (W)]]+Analysis[[#This Row],[Children Peak Consumption (W)]])</f>
        <v>1332</v>
      </c>
      <c r="M22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22" s="29">
        <f>IF(OR(ISBLANK(Analysis[[#This Row],[ItemID]]), Analysis[[#This Row],[ItemID]]=""), "", SUMIFS(Analysis[Total Constant Consumption (W)], Analysis[Supply Item], Analysis[[#This Row],[ItemID]]))</f>
        <v>100</v>
      </c>
      <c r="O22" s="29">
        <f>IF(OR(ISBLANK(Analysis[[#This Row],[ItemID]]), Analysis[[#This Row],[ItemID]]=""), "", Analysis[[#This Row],[Self Constant Consumption (W)]]+Analysis[[#This Row],[Children Constant Consumption (W)]])</f>
        <v>100</v>
      </c>
    </row>
    <row r="23" spans="1:15" x14ac:dyDescent="0.25">
      <c r="A23" s="27" t="str">
        <f>IF(IFERROR(Items[[#This Row],[ItemID]], 0)=0, "", Items[[#This Row],[ItemID]])</f>
        <v>BackLeft Motor</v>
      </c>
      <c r="B23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BackLeft ESC</v>
      </c>
      <c r="C23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23" s="26" t="str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/>
      </c>
      <c r="E23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3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3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60</v>
      </c>
      <c r="H23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4.5045045045045047</v>
      </c>
      <c r="I23" s="30">
        <f>IF(OR(ISBLANK(Analysis[[#This Row],[ItemID]]), Analysis[[#This Row],[ItemID]]=""), "", VLOOKUP(Analysis[[#This Row],[ItemID]], Items[], COLUMN(Items[Thoughput Loss])-COLUMN(Items[])+1, FALSE))</f>
        <v>0</v>
      </c>
      <c r="J23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1332</v>
      </c>
      <c r="K23" s="29">
        <f>IF(OR(ISBLANK(Analysis[[#This Row],[ItemID]]), Analysis[[#This Row],[ItemID]]=""), "", SUMIFS(Analysis[Total Peak Consumption (W)], Analysis[Supply Item], Analysis[[#This Row],[ItemID]]))</f>
        <v>0</v>
      </c>
      <c r="L23" s="29">
        <f>IF(OR(ISBLANK(Analysis[[#This Row],[ItemID]]), Analysis[[#This Row],[ItemID]]=""), "", Analysis[[#This Row],[Self Peak Consumption (W)]]+Analysis[[#This Row],[Children Peak Consumption (W)]])</f>
        <v>1332</v>
      </c>
      <c r="M23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100</v>
      </c>
      <c r="N23" s="29">
        <f>IF(OR(ISBLANK(Analysis[[#This Row],[ItemID]]), Analysis[[#This Row],[ItemID]]=""), "", SUMIFS(Analysis[Total Constant Consumption (W)], Analysis[Supply Item], Analysis[[#This Row],[ItemID]]))</f>
        <v>0</v>
      </c>
      <c r="O23" s="29">
        <f>IF(OR(ISBLANK(Analysis[[#This Row],[ItemID]]), Analysis[[#This Row],[ItemID]]=""), "", Analysis[[#This Row],[Self Constant Consumption (W)]]+Analysis[[#This Row],[Children Constant Consumption (W)]])</f>
        <v>100</v>
      </c>
    </row>
    <row r="24" spans="1:15" x14ac:dyDescent="0.25">
      <c r="A24" s="27" t="str">
        <f>IF(IFERROR(Items[[#This Row],[ItemID]], 0)=0, "", Items[[#This Row],[ItemID]])</f>
        <v>Shoulder ESC</v>
      </c>
      <c r="B24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Dirty Power 1</v>
      </c>
      <c r="C24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12</v>
      </c>
      <c r="D24" s="26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>12</v>
      </c>
      <c r="E24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20</v>
      </c>
      <c r="F24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15</v>
      </c>
      <c r="G24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20</v>
      </c>
      <c r="H24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15</v>
      </c>
      <c r="I24" s="30">
        <f>IF(OR(ISBLANK(Analysis[[#This Row],[ItemID]]), Analysis[[#This Row],[ItemID]]=""), "", VLOOKUP(Analysis[[#This Row],[ItemID]], Items[], COLUMN(Items[Thoughput Loss])-COLUMN(Items[])+1, FALSE))</f>
        <v>0</v>
      </c>
      <c r="J24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24" s="29">
        <f>IF(OR(ISBLANK(Analysis[[#This Row],[ItemID]]), Analysis[[#This Row],[ItemID]]=""), "", SUMIFS(Analysis[Total Peak Consumption (W)], Analysis[Supply Item], Analysis[[#This Row],[ItemID]]))</f>
        <v>240</v>
      </c>
      <c r="L24" s="29">
        <f>IF(OR(ISBLANK(Analysis[[#This Row],[ItemID]]), Analysis[[#This Row],[ItemID]]=""), "", Analysis[[#This Row],[Self Peak Consumption (W)]]+Analysis[[#This Row],[Children Peak Consumption (W)]])</f>
        <v>240</v>
      </c>
      <c r="M24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24" s="29">
        <f>IF(OR(ISBLANK(Analysis[[#This Row],[ItemID]]), Analysis[[#This Row],[ItemID]]=""), "", SUMIFS(Analysis[Total Constant Consumption (W)], Analysis[Supply Item], Analysis[[#This Row],[ItemID]]))</f>
        <v>180</v>
      </c>
      <c r="O24" s="29">
        <f>IF(OR(ISBLANK(Analysis[[#This Row],[ItemID]]), Analysis[[#This Row],[ItemID]]=""), "", Analysis[[#This Row],[Self Constant Consumption (W)]]+Analysis[[#This Row],[Children Constant Consumption (W)]])</f>
        <v>180</v>
      </c>
    </row>
    <row r="25" spans="1:15" x14ac:dyDescent="0.25">
      <c r="A25" s="27" t="str">
        <f>IF(IFERROR(Items[[#This Row],[ItemID]], 0)=0, "", Items[[#This Row],[ItemID]])</f>
        <v>Shoulder Motor</v>
      </c>
      <c r="B25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Shoulder ESC</v>
      </c>
      <c r="C25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12</v>
      </c>
      <c r="D25" s="26" t="str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/>
      </c>
      <c r="E25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5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5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20</v>
      </c>
      <c r="H25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15</v>
      </c>
      <c r="I25" s="30">
        <f>IF(OR(ISBLANK(Analysis[[#This Row],[ItemID]]), Analysis[[#This Row],[ItemID]]=""), "", VLOOKUP(Analysis[[#This Row],[ItemID]], Items[], COLUMN(Items[Thoughput Loss])-COLUMN(Items[])+1, FALSE))</f>
        <v>0</v>
      </c>
      <c r="J25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240</v>
      </c>
      <c r="K25" s="29">
        <f>IF(OR(ISBLANK(Analysis[[#This Row],[ItemID]]), Analysis[[#This Row],[ItemID]]=""), "", SUMIFS(Analysis[Total Peak Consumption (W)], Analysis[Supply Item], Analysis[[#This Row],[ItemID]]))</f>
        <v>0</v>
      </c>
      <c r="L25" s="29">
        <f>IF(OR(ISBLANK(Analysis[[#This Row],[ItemID]]), Analysis[[#This Row],[ItemID]]=""), "", Analysis[[#This Row],[Self Peak Consumption (W)]]+Analysis[[#This Row],[Children Peak Consumption (W)]])</f>
        <v>240</v>
      </c>
      <c r="M25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180</v>
      </c>
      <c r="N25" s="29">
        <f>IF(OR(ISBLANK(Analysis[[#This Row],[ItemID]]), Analysis[[#This Row],[ItemID]]=""), "", SUMIFS(Analysis[Total Constant Consumption (W)], Analysis[Supply Item], Analysis[[#This Row],[ItemID]]))</f>
        <v>0</v>
      </c>
      <c r="O25" s="29">
        <f>IF(OR(ISBLANK(Analysis[[#This Row],[ItemID]]), Analysis[[#This Row],[ItemID]]=""), "", Analysis[[#This Row],[Self Constant Consumption (W)]]+Analysis[[#This Row],[Children Constant Consumption (W)]])</f>
        <v>180</v>
      </c>
    </row>
    <row r="26" spans="1:15" x14ac:dyDescent="0.25">
      <c r="A26" s="27" t="str">
        <f>IF(IFERROR(Items[[#This Row],[ItemID]], 0)=0, "", Items[[#This Row],[ItemID]])</f>
        <v>Base ESC</v>
      </c>
      <c r="B26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Dirty Power 2</v>
      </c>
      <c r="C26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12</v>
      </c>
      <c r="D26" s="26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>12</v>
      </c>
      <c r="E26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1.5</v>
      </c>
      <c r="F26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</v>
      </c>
      <c r="G26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1.5</v>
      </c>
      <c r="H26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</v>
      </c>
      <c r="I26" s="30">
        <f>IF(OR(ISBLANK(Analysis[[#This Row],[ItemID]]), Analysis[[#This Row],[ItemID]]=""), "", VLOOKUP(Analysis[[#This Row],[ItemID]], Items[], COLUMN(Items[Thoughput Loss])-COLUMN(Items[])+1, FALSE))</f>
        <v>0</v>
      </c>
      <c r="J26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26" s="29">
        <f>IF(OR(ISBLANK(Analysis[[#This Row],[ItemID]]), Analysis[[#This Row],[ItemID]]=""), "", SUMIFS(Analysis[Total Peak Consumption (W)], Analysis[Supply Item], Analysis[[#This Row],[ItemID]]))</f>
        <v>18</v>
      </c>
      <c r="L26" s="29">
        <f>IF(OR(ISBLANK(Analysis[[#This Row],[ItemID]]), Analysis[[#This Row],[ItemID]]=""), "", Analysis[[#This Row],[Self Peak Consumption (W)]]+Analysis[[#This Row],[Children Peak Consumption (W)]])</f>
        <v>18</v>
      </c>
      <c r="M26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26" s="29">
        <f>IF(OR(ISBLANK(Analysis[[#This Row],[ItemID]]), Analysis[[#This Row],[ItemID]]=""), "", SUMIFS(Analysis[Total Constant Consumption (W)], Analysis[Supply Item], Analysis[[#This Row],[ItemID]]))</f>
        <v>12</v>
      </c>
      <c r="O26" s="29">
        <f>IF(OR(ISBLANK(Analysis[[#This Row],[ItemID]]), Analysis[[#This Row],[ItemID]]=""), "", Analysis[[#This Row],[Self Constant Consumption (W)]]+Analysis[[#This Row],[Children Constant Consumption (W)]])</f>
        <v>12</v>
      </c>
    </row>
    <row r="27" spans="1:15" x14ac:dyDescent="0.25">
      <c r="A27" s="27" t="str">
        <f>IF(IFERROR(Items[[#This Row],[ItemID]], 0)=0, "", Items[[#This Row],[ItemID]])</f>
        <v>Base Motor</v>
      </c>
      <c r="B27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Base ESC</v>
      </c>
      <c r="C27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12</v>
      </c>
      <c r="D27" s="26" t="str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/>
      </c>
      <c r="E27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7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7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1.5</v>
      </c>
      <c r="H27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</v>
      </c>
      <c r="I27" s="30">
        <f>IF(OR(ISBLANK(Analysis[[#This Row],[ItemID]]), Analysis[[#This Row],[ItemID]]=""), "", VLOOKUP(Analysis[[#This Row],[ItemID]], Items[], COLUMN(Items[Thoughput Loss])-COLUMN(Items[])+1, FALSE))</f>
        <v>0</v>
      </c>
      <c r="J27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18</v>
      </c>
      <c r="K27" s="29">
        <f>IF(OR(ISBLANK(Analysis[[#This Row],[ItemID]]), Analysis[[#This Row],[ItemID]]=""), "", SUMIFS(Analysis[Total Peak Consumption (W)], Analysis[Supply Item], Analysis[[#This Row],[ItemID]]))</f>
        <v>0</v>
      </c>
      <c r="L27" s="29">
        <f>IF(OR(ISBLANK(Analysis[[#This Row],[ItemID]]), Analysis[[#This Row],[ItemID]]=""), "", Analysis[[#This Row],[Self Peak Consumption (W)]]+Analysis[[#This Row],[Children Peak Consumption (W)]])</f>
        <v>18</v>
      </c>
      <c r="M27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12</v>
      </c>
      <c r="N27" s="29">
        <f>IF(OR(ISBLANK(Analysis[[#This Row],[ItemID]]), Analysis[[#This Row],[ItemID]]=""), "", SUMIFS(Analysis[Total Constant Consumption (W)], Analysis[Supply Item], Analysis[[#This Row],[ItemID]]))</f>
        <v>0</v>
      </c>
      <c r="O27" s="29">
        <f>IF(OR(ISBLANK(Analysis[[#This Row],[ItemID]]), Analysis[[#This Row],[ItemID]]=""), "", Analysis[[#This Row],[Self Constant Consumption (W)]]+Analysis[[#This Row],[Children Constant Consumption (W)]])</f>
        <v>12</v>
      </c>
    </row>
    <row r="28" spans="1:15" x14ac:dyDescent="0.25">
      <c r="A28" s="27" t="str">
        <f>IF(IFERROR(Items[[#This Row],[ItemID]], 0)=0, "", Items[[#This Row],[ItemID]])</f>
        <v>Elbow ESC</v>
      </c>
      <c r="B28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Dirty Power 2</v>
      </c>
      <c r="C28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12</v>
      </c>
      <c r="D28" s="26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>12</v>
      </c>
      <c r="E28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1.5</v>
      </c>
      <c r="F28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</v>
      </c>
      <c r="G28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1.5</v>
      </c>
      <c r="H28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</v>
      </c>
      <c r="I28" s="30">
        <f>IF(OR(ISBLANK(Analysis[[#This Row],[ItemID]]), Analysis[[#This Row],[ItemID]]=""), "", VLOOKUP(Analysis[[#This Row],[ItemID]], Items[], COLUMN(Items[Thoughput Loss])-COLUMN(Items[])+1, FALSE))</f>
        <v>0</v>
      </c>
      <c r="J28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28" s="29">
        <f>IF(OR(ISBLANK(Analysis[[#This Row],[ItemID]]), Analysis[[#This Row],[ItemID]]=""), "", SUMIFS(Analysis[Total Peak Consumption (W)], Analysis[Supply Item], Analysis[[#This Row],[ItemID]]))</f>
        <v>18</v>
      </c>
      <c r="L28" s="29">
        <f>IF(OR(ISBLANK(Analysis[[#This Row],[ItemID]]), Analysis[[#This Row],[ItemID]]=""), "", Analysis[[#This Row],[Self Peak Consumption (W)]]+Analysis[[#This Row],[Children Peak Consumption (W)]])</f>
        <v>18</v>
      </c>
      <c r="M28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28" s="29">
        <f>IF(OR(ISBLANK(Analysis[[#This Row],[ItemID]]), Analysis[[#This Row],[ItemID]]=""), "", SUMIFS(Analysis[Total Constant Consumption (W)], Analysis[Supply Item], Analysis[[#This Row],[ItemID]]))</f>
        <v>12</v>
      </c>
      <c r="O28" s="29">
        <f>IF(OR(ISBLANK(Analysis[[#This Row],[ItemID]]), Analysis[[#This Row],[ItemID]]=""), "", Analysis[[#This Row],[Self Constant Consumption (W)]]+Analysis[[#This Row],[Children Constant Consumption (W)]])</f>
        <v>12</v>
      </c>
    </row>
    <row r="29" spans="1:15" x14ac:dyDescent="0.25">
      <c r="A29" s="27" t="str">
        <f>IF(IFERROR(Items[[#This Row],[ItemID]], 0)=0, "", Items[[#This Row],[ItemID]])</f>
        <v>Elbow Motor</v>
      </c>
      <c r="B29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Elbow ESC</v>
      </c>
      <c r="C29" s="28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12</v>
      </c>
      <c r="D29" s="26" t="str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/>
      </c>
      <c r="E29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9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9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1.5</v>
      </c>
      <c r="H29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</v>
      </c>
      <c r="I29" s="30">
        <f>IF(OR(ISBLANK(Analysis[[#This Row],[ItemID]]), Analysis[[#This Row],[ItemID]]=""), "", VLOOKUP(Analysis[[#This Row],[ItemID]], Items[], COLUMN(Items[Thoughput Loss])-COLUMN(Items[])+1, FALSE))</f>
        <v>0</v>
      </c>
      <c r="J29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18</v>
      </c>
      <c r="K29" s="29">
        <f>IF(OR(ISBLANK(Analysis[[#This Row],[ItemID]]), Analysis[[#This Row],[ItemID]]=""), "", SUMIFS(Analysis[Total Peak Consumption (W)], Analysis[Supply Item], Analysis[[#This Row],[ItemID]]))</f>
        <v>0</v>
      </c>
      <c r="L29" s="29">
        <f>IF(OR(ISBLANK(Analysis[[#This Row],[ItemID]]), Analysis[[#This Row],[ItemID]]=""), "", Analysis[[#This Row],[Self Peak Consumption (W)]]+Analysis[[#This Row],[Children Peak Consumption (W)]])</f>
        <v>18</v>
      </c>
      <c r="M29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12</v>
      </c>
      <c r="N29" s="29">
        <f>IF(OR(ISBLANK(Analysis[[#This Row],[ItemID]]), Analysis[[#This Row],[ItemID]]=""), "", SUMIFS(Analysis[Total Constant Consumption (W)], Analysis[Supply Item], Analysis[[#This Row],[ItemID]]))</f>
        <v>0</v>
      </c>
      <c r="O29" s="29">
        <f>IF(OR(ISBLANK(Analysis[[#This Row],[ItemID]]), Analysis[[#This Row],[ItemID]]=""), "", Analysis[[#This Row],[Self Constant Consumption (W)]]+Analysis[[#This Row],[Children Constant Consumption (W)]])</f>
        <v>12</v>
      </c>
    </row>
    <row r="30" spans="1:15" x14ac:dyDescent="0.25">
      <c r="A30" s="27" t="str">
        <f>IF(IFERROR(Items[[#This Row],[ItemID]], 0)=0, "", Items[[#This Row],[ItemID]])</f>
        <v/>
      </c>
      <c r="B30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30" s="28" t="str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/>
      </c>
      <c r="D30" s="26" t="str">
        <f>IF(OR(ISBLANK(Analysis[[#This Row],[ItemID]]), Analysis[[#This Row],[ItemID]]=""), "", IF(INDEX(Items[], ROW()-1, COLUMN(Items[Output (V)]))="[INPUT]", Analysis[[#This Row],[Input (V)]], VLOOKUP(Analysis[[#This Row],[ItemID]], Items[], COLUMN(Items[Output (V)])-COLUMN(Items[])+1, FALSE)))</f>
        <v/>
      </c>
      <c r="E30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30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30" s="29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30" s="29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30" s="30" t="str">
        <f>IF(OR(ISBLANK(Analysis[[#This Row],[ItemID]]), Analysis[[#This Row],[ItemID]]=""), "", VLOOKUP(Analysis[[#This Row],[ItemID]], Items[], COLUMN(Items[Thoughput Loss])-COLUMN(Items[])+1, FALSE))</f>
        <v/>
      </c>
      <c r="J30" s="29" t="str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/>
      </c>
      <c r="K30" s="29" t="str">
        <f>IF(OR(ISBLANK(Analysis[[#This Row],[ItemID]]), Analysis[[#This Row],[ItemID]]=""), "", SUMIFS(Analysis[Total Peak Consumption (W)], Analysis[Supply Item], Analysis[[#This Row],[ItemID]]))</f>
        <v/>
      </c>
      <c r="L30" s="29" t="str">
        <f>IF(OR(ISBLANK(Analysis[[#This Row],[ItemID]]), Analysis[[#This Row],[ItemID]]=""), "", Analysis[[#This Row],[Self Peak Consumption (W)]]+Analysis[[#This Row],[Children Peak Consumption (W)]])</f>
        <v/>
      </c>
      <c r="M30" s="29" t="str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/>
      </c>
      <c r="N30" s="29" t="str">
        <f>IF(OR(ISBLANK(Analysis[[#This Row],[ItemID]]), Analysis[[#This Row],[ItemID]]=""), "", SUMIFS(Analysis[Total Constant Consumption (W)], Analysis[Supply Item], Analysis[[#This Row],[ItemID]]))</f>
        <v/>
      </c>
      <c r="O30" s="29" t="str">
        <f>IF(OR(ISBLANK(Analysis[[#This Row],[ItemID]]), Analysis[[#This Row],[ItemID]]=""), "", Analysis[[#This Row],[Self Constant Consumption (W)]]+Analysis[[#This Row],[Children Constant Consumption (W)]])</f>
        <v/>
      </c>
    </row>
  </sheetData>
  <dataValidations count="1">
    <dataValidation type="list" allowBlank="1" showInputMessage="1" showErrorMessage="1" sqref="B2:B30" xr:uid="{00000000-0002-0000-0200-000000000000}">
      <formula1>ItemIDs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0"/>
  <sheetViews>
    <sheetView workbookViewId="0">
      <selection activeCell="F31" sqref="F31"/>
    </sheetView>
  </sheetViews>
  <sheetFormatPr defaultRowHeight="15" x14ac:dyDescent="0.25"/>
  <cols>
    <col min="1" max="1" width="17.28515625" bestFit="1" customWidth="1"/>
    <col min="2" max="2" width="18" hidden="1" customWidth="1"/>
    <col min="3" max="3" width="20" hidden="1" customWidth="1"/>
    <col min="4" max="4" width="23.7109375" hidden="1" customWidth="1"/>
    <col min="5" max="5" width="17.5703125" bestFit="1" customWidth="1"/>
    <col min="6" max="6" width="21.28515625" bestFit="1" customWidth="1"/>
    <col min="7" max="7" width="15.85546875" hidden="1" customWidth="1"/>
    <col min="8" max="8" width="18.140625" bestFit="1" customWidth="1"/>
    <col min="9" max="9" width="2.42578125" customWidth="1"/>
    <col min="10" max="10" width="11.7109375" bestFit="1" customWidth="1"/>
    <col min="11" max="11" width="9.140625" customWidth="1"/>
    <col min="12" max="12" width="2.42578125" customWidth="1"/>
    <col min="13" max="13" width="16.140625" bestFit="1" customWidth="1"/>
    <col min="14" max="14" width="13.28515625" bestFit="1" customWidth="1"/>
    <col min="15" max="15" width="13.28515625" customWidth="1"/>
    <col min="16" max="16" width="18" bestFit="1" customWidth="1"/>
    <col min="17" max="17" width="12.85546875" bestFit="1" customWidth="1"/>
  </cols>
  <sheetData>
    <row r="1" spans="1:17" x14ac:dyDescent="0.25">
      <c r="A1" t="s">
        <v>9</v>
      </c>
      <c r="B1" t="s">
        <v>78</v>
      </c>
      <c r="C1" t="s">
        <v>79</v>
      </c>
      <c r="D1" t="s">
        <v>80</v>
      </c>
      <c r="E1" t="s">
        <v>76</v>
      </c>
      <c r="F1" t="s">
        <v>75</v>
      </c>
      <c r="G1" t="s">
        <v>34</v>
      </c>
      <c r="H1" t="s">
        <v>33</v>
      </c>
      <c r="M1" t="s">
        <v>45</v>
      </c>
      <c r="N1" t="s">
        <v>46</v>
      </c>
      <c r="O1" t="s">
        <v>105</v>
      </c>
      <c r="P1" t="s">
        <v>119</v>
      </c>
      <c r="Q1" t="s">
        <v>47</v>
      </c>
    </row>
    <row r="2" spans="1:17" x14ac:dyDescent="0.25">
      <c r="A2" t="str">
        <f>IF(IFERROR(Analysis[[#This Row],[ItemID]], 0)=0, "", Analysis[[#This Row],[ItemID]])</f>
        <v/>
      </c>
      <c r="B2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  <c r="M2" s="5" t="s">
        <v>12</v>
      </c>
      <c r="N2" s="5">
        <f>IF(ISBLANK(RailSummary[[#This Row],[Power Rail]]), "", VLOOKUP(RailSummary[[#This Row],[Power Rail]], Analysis[], COLUMN(Analysis[Output (V)])-COLUMN(Analysis[])+1, FALSE))</f>
        <v>22.2</v>
      </c>
      <c r="O2" s="5">
        <f>IF(ISBLANK(RailSummary[[#This Row],[Power Rail]]), "", VLOOKUP(RailSummary[[#This Row],[Power Rail]], Analysis[], COLUMN(Analysis[Constant Output (A)])-COLUMN(Analysis[])+1, FALSE))</f>
        <v>38.128378378378379</v>
      </c>
      <c r="P2" s="5">
        <f>IF(ISBLANK(RailSummary[[#This Row],[Power Rail]]), "", VLOOKUP(RailSummary[[#This Row],[Power Rail]], Analysis[], COLUMN(Analysis[Peak Output (A)])-COLUMN(Analysis[])+1, FALSE))</f>
        <v>375.52027027027026</v>
      </c>
      <c r="Q2" s="5">
        <f>IF(ISBLANK(RailSummary[[#This Row],[Power Rail]]), "", RailSummary[[#This Row],[Voltage (V)]]*RailSummary[[#This Row],[Peak Current (A)]])</f>
        <v>8336.5499999999993</v>
      </c>
    </row>
    <row r="3" spans="1:17" x14ac:dyDescent="0.25">
      <c r="A3" t="str">
        <f>IF(IFERROR(Analysis[[#This Row],[ItemID]], 0)=0, "", Analysis[[#This Row],[ItemID]])</f>
        <v>Battery Pack</v>
      </c>
      <c r="B3">
        <f>IF(OR(ISBLANK(Results[[#This Row],[ItemID]]), Results[[#This Row],[ItemID]]=0, Results[[#This Row],[ItemID]]=""), "", VLOOKUP(Results[[#This Row],[ItemID]], Items[], COLUMN(Items[Output (A)])-COLUMN(Items[])+1, FALSE))</f>
        <v>360</v>
      </c>
      <c r="C3" s="11">
        <f>IF(OR(ISBLANK(Results[[#This Row],[ItemID]]), Results[[#This Row],[ItemID]]=0, Results[[#This Row],[ItemID]]=""), "", VLOOKUP(Results[[#This Row],[ItemID]], Analysis[], COLUMN(Analysis[Peak Output (A)])-COLUMN(Analysis[])+1, FALSE))</f>
        <v>375.52027027027026</v>
      </c>
      <c r="D3" s="11">
        <f>IF(OR(ISBLANK(Results[[#This Row],[ItemID]]), Results[[#This Row],[ItemID]]=0, Results[[#This Row],[ItemID]]=""), "", VLOOKUP(Results[[#This Row],[ItemID]], Analysis[], COLUMN(Analysis[Constant Output (A)])-COLUMN(Analysis[])+1, FALSE))</f>
        <v>38.128378378378379</v>
      </c>
      <c r="E3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1.0431118618618618</v>
      </c>
      <c r="F3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0.10591216216216216</v>
      </c>
      <c r="G3" s="10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>24000</v>
      </c>
      <c r="H3" s="5">
        <f>IF(OR(ISBLANK(Results[[#This Row],[ItemID]]), Results[[#This Row],[Constant Current Used]]="", Results[[#This Row],[Battery (mAh)]]=""), "", (Results[[#This Row],[Battery (mAh)]]/1000)/Results[[#This Row],[Constant Current Used]])</f>
        <v>0.62945241892610315</v>
      </c>
      <c r="J3" t="s">
        <v>36</v>
      </c>
      <c r="K3" s="12" t="str">
        <f>IF(COUNTIF(Results[Constant % Capacity], "&gt;1")=0, IF(COUNTIF(Results[Peak % Capacity], "&gt;1")=0, "GO", "MAYBE"), "HOLD")</f>
        <v>MAYBE</v>
      </c>
      <c r="M3" s="5" t="s">
        <v>111</v>
      </c>
      <c r="N3" s="5">
        <f>IF(ISBLANK(RailSummary[[#This Row],[Power Rail]]), "", VLOOKUP(RailSummary[[#This Row],[Power Rail]], Analysis[], COLUMN(Analysis[Output (V)])-COLUMN(Analysis[])+1, FALSE))</f>
        <v>12</v>
      </c>
      <c r="O3" s="5">
        <f>IF(ISBLANK(RailSummary[[#This Row],[Power Rail]]), "", VLOOKUP(RailSummary[[#This Row],[Power Rail]], Analysis[], COLUMN(Analysis[Constant Output (A)])-COLUMN(Analysis[])+1, FALSE))</f>
        <v>1.1666666666666667</v>
      </c>
      <c r="P3" s="5">
        <f>IF(ISBLANK(RailSummary[[#This Row],[Power Rail]]), "", VLOOKUP(RailSummary[[#This Row],[Power Rail]], Analysis[], COLUMN(Analysis[Peak Output (A)])-COLUMN(Analysis[])+1, FALSE))</f>
        <v>2.6666666666666665</v>
      </c>
      <c r="Q3" s="5">
        <f>IF(ISBLANK(RailSummary[[#This Row],[Power Rail]]), "", RailSummary[[#This Row],[Voltage (V)]]*RailSummary[[#This Row],[Peak Current (A)]])</f>
        <v>32</v>
      </c>
    </row>
    <row r="4" spans="1:17" x14ac:dyDescent="0.25">
      <c r="A4" t="str">
        <f>IF(IFERROR(Analysis[[#This Row],[ItemID]], 0)=0, "", Analysis[[#This Row],[ItemID]])</f>
        <v>Logic Supply</v>
      </c>
      <c r="B4">
        <f>IF(OR(ISBLANK(Results[[#This Row],[ItemID]]), Results[[#This Row],[ItemID]]=0, Results[[#This Row],[ItemID]]=""), "", VLOOKUP(Results[[#This Row],[ItemID]], Items[], COLUMN(Items[Output (A)])-COLUMN(Items[])+1, FALSE))</f>
        <v>12</v>
      </c>
      <c r="C4" s="11">
        <f>IF(OR(ISBLANK(Results[[#This Row],[ItemID]]), Results[[#This Row],[ItemID]]=0, Results[[#This Row],[ItemID]]=""), "", VLOOKUP(Results[[#This Row],[ItemID]], Analysis[], COLUMN(Analysis[Peak Output (A)])-COLUMN(Analysis[])+1, FALSE))</f>
        <v>1.4</v>
      </c>
      <c r="D4" s="11">
        <f>IF(OR(ISBLANK(Results[[#This Row],[ItemID]]), Results[[#This Row],[ItemID]]=0, Results[[#This Row],[ItemID]]=""), "", VLOOKUP(Results[[#This Row],[ItemID]], Analysis[], COLUMN(Analysis[Constant Output (A)])-COLUMN(Analysis[])+1, FALSE))</f>
        <v>1.4</v>
      </c>
      <c r="E4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0.11666666666666665</v>
      </c>
      <c r="F4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0.11666666666666665</v>
      </c>
      <c r="G4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4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  <c r="J4" t="s">
        <v>77</v>
      </c>
      <c r="K4" s="13" t="str">
        <f>IF(MIN(Results[Battery Life (hrs)]) &lt; 1, CONCATENATE(TEXT(MIN(Results[Battery Life (hrs)])*60, "#.#"), " min"), CONCATENATE(TEXT(INT(MIN(Results[Battery Life (hrs)])), "0#"),":",TEXT(MOD(MIN(Results[Battery Life (hrs)]), 1)*60, "00")))</f>
        <v>37.8 min</v>
      </c>
      <c r="M4" s="5" t="s">
        <v>29</v>
      </c>
      <c r="N4" s="5">
        <f>IF(ISBLANK(RailSummary[[#This Row],[Power Rail]]), "", VLOOKUP(RailSummary[[#This Row],[Power Rail]], Analysis[], COLUMN(Analysis[Output (V)])-COLUMN(Analysis[])+1, FALSE))</f>
        <v>5</v>
      </c>
      <c r="O4" s="5">
        <f>IF(ISBLANK(RailSummary[[#This Row],[Power Rail]]), "", VLOOKUP(RailSummary[[#This Row],[Power Rail]], Analysis[], COLUMN(Analysis[Constant Output (A)])-COLUMN(Analysis[])+1, FALSE))</f>
        <v>1.4</v>
      </c>
      <c r="P4" s="5">
        <f>IF(ISBLANK(RailSummary[[#This Row],[Power Rail]]), "", VLOOKUP(RailSummary[[#This Row],[Power Rail]], Analysis[], COLUMN(Analysis[Peak Output (A)])-COLUMN(Analysis[])+1, FALSE))</f>
        <v>1.4</v>
      </c>
      <c r="Q4" s="5">
        <f>IF(ISBLANK(RailSummary[[#This Row],[Power Rail]]), "", RailSummary[[#This Row],[Voltage (V)]]*RailSummary[[#This Row],[Peak Current (A)]])</f>
        <v>7</v>
      </c>
    </row>
    <row r="5" spans="1:17" x14ac:dyDescent="0.25">
      <c r="A5" t="str">
        <f>IF(IFERROR(Analysis[[#This Row],[ItemID]], 0)=0, "", Analysis[[#This Row],[ItemID]])</f>
        <v>Master Control</v>
      </c>
      <c r="B5">
        <f>IF(OR(ISBLANK(Results[[#This Row],[ItemID]]), Results[[#This Row],[ItemID]]=0, Results[[#This Row],[ItemID]]=""), "", VLOOKUP(Results[[#This Row],[ItemID]], Items[], COLUMN(Items[Output (A)])-COLUMN(Items[])+1, FALSE))</f>
        <v>0.5</v>
      </c>
      <c r="C5" s="11">
        <f>IF(OR(ISBLANK(Results[[#This Row],[ItemID]]), Results[[#This Row],[ItemID]]=0, Results[[#This Row],[ItemID]]=""), "", VLOOKUP(Results[[#This Row],[ItemID]], Analysis[], COLUMN(Analysis[Peak Output (A)])-COLUMN(Analysis[])+1, FALSE))</f>
        <v>0</v>
      </c>
      <c r="D5" s="11">
        <f>IF(OR(ISBLANK(Results[[#This Row],[ItemID]]), Results[[#This Row],[ItemID]]=0, Results[[#This Row],[ItemID]]=""), "", VLOOKUP(Results[[#This Row],[ItemID]], Analysis[], COLUMN(Analysis[Constant Output (A)])-COLUMN(Analysis[])+1, FALSE))</f>
        <v>0</v>
      </c>
      <c r="E5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</v>
      </c>
      <c r="F5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</v>
      </c>
      <c r="G5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5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  <c r="M5" s="5" t="s">
        <v>97</v>
      </c>
      <c r="N5" s="5">
        <f>IF(ISBLANK(RailSummary[[#This Row],[Power Rail]]), "", VLOOKUP(RailSummary[[#This Row],[Power Rail]], Analysis[], COLUMN(Analysis[Output (V)])-COLUMN(Analysis[])+1, FALSE))</f>
        <v>12</v>
      </c>
      <c r="O5" s="5">
        <f>IF(ISBLANK(RailSummary[[#This Row],[Power Rail]]), "", VLOOKUP(RailSummary[[#This Row],[Power Rail]], Analysis[], COLUMN(Analysis[Constant Output (A)])-COLUMN(Analysis[])+1, FALSE))</f>
        <v>15</v>
      </c>
      <c r="P5" s="5">
        <f>IF(ISBLANK(RailSummary[[#This Row],[Power Rail]]), "", VLOOKUP(RailSummary[[#This Row],[Power Rail]], Analysis[], COLUMN(Analysis[Peak Output (A)])-COLUMN(Analysis[])+1, FALSE))</f>
        <v>20</v>
      </c>
      <c r="Q5" s="5">
        <f>IF(ISBLANK(RailSummary[[#This Row],[Power Rail]]), "", RailSummary[[#This Row],[Voltage (V)]]*RailSummary[[#This Row],[Peak Current (A)]])</f>
        <v>240</v>
      </c>
    </row>
    <row r="6" spans="1:17" x14ac:dyDescent="0.25">
      <c r="A6" t="str">
        <f>IF(IFERROR(Analysis[[#This Row],[ItemID]], 0)=0, "", Analysis[[#This Row],[ItemID]])</f>
        <v>Network Power</v>
      </c>
      <c r="B6">
        <f>IF(OR(ISBLANK(Results[[#This Row],[ItemID]]), Results[[#This Row],[ItemID]]=0, Results[[#This Row],[ItemID]]=""), "", VLOOKUP(Results[[#This Row],[ItemID]], Items[], COLUMN(Items[Output (A)])-COLUMN(Items[])+1, FALSE))</f>
        <v>5</v>
      </c>
      <c r="C6" s="11">
        <f>IF(OR(ISBLANK(Results[[#This Row],[ItemID]]), Results[[#This Row],[ItemID]]=0, Results[[#This Row],[ItemID]]=""), "", VLOOKUP(Results[[#This Row],[ItemID]], Analysis[], COLUMN(Analysis[Peak Output (A)])-COLUMN(Analysis[])+1, FALSE))</f>
        <v>2.6666666666666665</v>
      </c>
      <c r="D6" s="11">
        <f>IF(OR(ISBLANK(Results[[#This Row],[ItemID]]), Results[[#This Row],[ItemID]]=0, Results[[#This Row],[ItemID]]=""), "", VLOOKUP(Results[[#This Row],[ItemID]], Analysis[], COLUMN(Analysis[Constant Output (A)])-COLUMN(Analysis[])+1, FALSE))</f>
        <v>1.1666666666666667</v>
      </c>
      <c r="E6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0.53333333333333333</v>
      </c>
      <c r="F6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0.23333333333333334</v>
      </c>
      <c r="G6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6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  <c r="M6" s="5" t="s">
        <v>98</v>
      </c>
      <c r="N6" s="5">
        <f>IF(ISBLANK(RailSummary[[#This Row],[Power Rail]]), "", VLOOKUP(RailSummary[[#This Row],[Power Rail]], Analysis[], COLUMN(Analysis[Output (V)])-COLUMN(Analysis[])+1, FALSE))</f>
        <v>12</v>
      </c>
      <c r="O6" s="5">
        <f>IF(ISBLANK(RailSummary[[#This Row],[Power Rail]]), "", VLOOKUP(RailSummary[[#This Row],[Power Rail]], Analysis[], COLUMN(Analysis[Constant Output (A)])-COLUMN(Analysis[])+1, FALSE))</f>
        <v>2</v>
      </c>
      <c r="P6" s="5">
        <f>IF(ISBLANK(RailSummary[[#This Row],[Power Rail]]), "", VLOOKUP(RailSummary[[#This Row],[Power Rail]], Analysis[], COLUMN(Analysis[Peak Output (A)])-COLUMN(Analysis[])+1, FALSE))</f>
        <v>3</v>
      </c>
      <c r="Q6" s="5">
        <f>IF(ISBLANK(RailSummary[[#This Row],[Power Rail]]), "", RailSummary[[#This Row],[Voltage (V)]]*RailSummary[[#This Row],[Peak Current (A)]])</f>
        <v>36</v>
      </c>
    </row>
    <row r="7" spans="1:17" x14ac:dyDescent="0.25">
      <c r="A7" t="str">
        <f>IF(IFERROR(Analysis[[#This Row],[ItemID]], 0)=0, "", Analysis[[#This Row],[ItemID]])</f>
        <v>Transceiver</v>
      </c>
      <c r="B7">
        <f>IF(OR(ISBLANK(Results[[#This Row],[ItemID]]), Results[[#This Row],[ItemID]]=0, Results[[#This Row],[ItemID]]=""), "", VLOOKUP(Results[[#This Row],[ItemID]], Items[], COLUMN(Items[Output (A)])-COLUMN(Items[])+1, FALSE))</f>
        <v>0</v>
      </c>
      <c r="C7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7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7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7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7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7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  <c r="I7" s="14"/>
      <c r="J7" s="14"/>
      <c r="M7" s="5" t="s">
        <v>121</v>
      </c>
      <c r="N7" s="5">
        <f>IF(ISBLANK(RailSummary[[#This Row],[Power Rail]]), "", VLOOKUP(RailSummary[[#This Row],[Power Rail]], Analysis[], COLUMN(Analysis[Output (V)])-COLUMN(Analysis[])+1, FALSE))</f>
        <v>22.2</v>
      </c>
      <c r="O7" s="5">
        <f>IF(ISBLANK(RailSummary[[#This Row],[Power Rail]]), "", VLOOKUP(RailSummary[[#This Row],[Power Rail]], Analysis[], COLUMN(Analysis[Constant Output (A)])-COLUMN(Analysis[])+1, FALSE))</f>
        <v>27.027027027027028</v>
      </c>
      <c r="P7" s="5">
        <f>IF(ISBLANK(RailSummary[[#This Row],[Power Rail]]), "", VLOOKUP(RailSummary[[#This Row],[Power Rail]], Analysis[], COLUMN(Analysis[Peak Output (A)])-COLUMN(Analysis[])+1, FALSE))</f>
        <v>360</v>
      </c>
      <c r="Q7" s="5">
        <f>IF(ISBLANK(RailSummary[[#This Row],[Power Rail]]), "", RailSummary[[#This Row],[Voltage (V)]]*RailSummary[[#This Row],[Peak Current (A)]])</f>
        <v>7992</v>
      </c>
    </row>
    <row r="8" spans="1:17" x14ac:dyDescent="0.25">
      <c r="A8" t="str">
        <f>IF(IFERROR(Analysis[[#This Row],[ItemID]], 0)=0, "", Analysis[[#This Row],[ItemID]])</f>
        <v>Network Switch</v>
      </c>
      <c r="B8">
        <f>IF(OR(ISBLANK(Results[[#This Row],[ItemID]]), Results[[#This Row],[ItemID]]=0, Results[[#This Row],[ItemID]]=""), "", VLOOKUP(Results[[#This Row],[ItemID]], Items[], COLUMN(Items[Output (A)])-COLUMN(Items[])+1, FALSE))</f>
        <v>0</v>
      </c>
      <c r="C8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8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8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8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8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8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  <c r="M8" s="5"/>
      <c r="N8" s="5" t="str">
        <f>IF(ISBLANK(RailSummary[[#This Row],[Power Rail]]), "", VLOOKUP(RailSummary[[#This Row],[Power Rail]], Analysis[], COLUMN(Analysis[Output (V)])-COLUMN(Analysis[])+1, FALSE))</f>
        <v/>
      </c>
      <c r="O8" s="5" t="str">
        <f>IF(ISBLANK(RailSummary[[#This Row],[Power Rail]]), "", VLOOKUP(RailSummary[[#This Row],[Power Rail]], Analysis[], COLUMN(Analysis[Constant Output (A)])-COLUMN(Analysis[])+1, FALSE))</f>
        <v/>
      </c>
      <c r="P8" s="5" t="str">
        <f>IF(ISBLANK(RailSummary[[#This Row],[Power Rail]]), "", VLOOKUP(RailSummary[[#This Row],[Power Rail]], Analysis[], COLUMN(Analysis[Peak Output (A)])-COLUMN(Analysis[])+1, FALSE))</f>
        <v/>
      </c>
      <c r="Q8" s="5" t="str">
        <f>IF(ISBLANK(RailSummary[[#This Row],[Power Rail]]), "", RailSummary[[#This Row],[Voltage (V)]]*RailSummary[[#This Row],[Peak Current (A)]])</f>
        <v/>
      </c>
    </row>
    <row r="9" spans="1:17" x14ac:dyDescent="0.25">
      <c r="A9" t="str">
        <f>IF(IFERROR(Analysis[[#This Row],[ItemID]], 0)=0, "", Analysis[[#This Row],[ItemID]])</f>
        <v>Dirty Power 1</v>
      </c>
      <c r="B9">
        <f>IF(OR(ISBLANK(Results[[#This Row],[ItemID]]), Results[[#This Row],[ItemID]]=0, Results[[#This Row],[ItemID]]=""), "", VLOOKUP(Results[[#This Row],[ItemID]], Items[], COLUMN(Items[Output (A)])-COLUMN(Items[])+1, FALSE))</f>
        <v>21</v>
      </c>
      <c r="C9" s="11">
        <f>IF(OR(ISBLANK(Results[[#This Row],[ItemID]]), Results[[#This Row],[ItemID]]=0, Results[[#This Row],[ItemID]]=""), "", VLOOKUP(Results[[#This Row],[ItemID]], Analysis[], COLUMN(Analysis[Peak Output (A)])-COLUMN(Analysis[])+1, FALSE))</f>
        <v>20</v>
      </c>
      <c r="D9" s="11">
        <f>IF(OR(ISBLANK(Results[[#This Row],[ItemID]]), Results[[#This Row],[ItemID]]=0, Results[[#This Row],[ItemID]]=""), "", VLOOKUP(Results[[#This Row],[ItemID]], Analysis[], COLUMN(Analysis[Constant Output (A)])-COLUMN(Analysis[])+1, FALSE))</f>
        <v>15</v>
      </c>
      <c r="E9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0.95238095238095233</v>
      </c>
      <c r="F9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0.7142857142857143</v>
      </c>
      <c r="G9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9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0" spans="1:17" x14ac:dyDescent="0.25">
      <c r="A10" t="str">
        <f>IF(IFERROR(Analysis[[#This Row],[ItemID]], 0)=0, "", Analysis[[#This Row],[ItemID]])</f>
        <v>Dirty Power 2</v>
      </c>
      <c r="B10">
        <f>IF(OR(ISBLANK(Results[[#This Row],[ItemID]]), Results[[#This Row],[ItemID]]=0, Results[[#This Row],[ItemID]]=""), "", VLOOKUP(Results[[#This Row],[ItemID]], Items[], COLUMN(Items[Output (A)])-COLUMN(Items[])+1, FALSE))</f>
        <v>21</v>
      </c>
      <c r="C10" s="11">
        <f>IF(OR(ISBLANK(Results[[#This Row],[ItemID]]), Results[[#This Row],[ItemID]]=0, Results[[#This Row],[ItemID]]=""), "", VLOOKUP(Results[[#This Row],[ItemID]], Analysis[], COLUMN(Analysis[Peak Output (A)])-COLUMN(Analysis[])+1, FALSE))</f>
        <v>3</v>
      </c>
      <c r="D10" s="11">
        <f>IF(OR(ISBLANK(Results[[#This Row],[ItemID]]), Results[[#This Row],[ItemID]]=0, Results[[#This Row],[ItemID]]=""), "", VLOOKUP(Results[[#This Row],[ItemID]], Analysis[], COLUMN(Analysis[Constant Output (A)])-COLUMN(Analysis[])+1, FALSE))</f>
        <v>2</v>
      </c>
      <c r="E10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0.14285714285714285</v>
      </c>
      <c r="F10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9.5238095238095233E-2</v>
      </c>
      <c r="G10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0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1" spans="1:17" x14ac:dyDescent="0.25">
      <c r="A11" t="str">
        <f>IF(IFERROR(Analysis[[#This Row],[ItemID]], 0)=0, "", Analysis[[#This Row],[ItemID]])</f>
        <v>Drivetrain Power</v>
      </c>
      <c r="B11">
        <f>IF(OR(ISBLANK(Results[[#This Row],[ItemID]]), Results[[#This Row],[ItemID]]=0, Results[[#This Row],[ItemID]]=""), "", VLOOKUP(Results[[#This Row],[ItemID]], Items[], COLUMN(Items[Output (A)])-COLUMN(Items[])+1, FALSE))</f>
        <v>400</v>
      </c>
      <c r="C11" s="11">
        <f>IF(OR(ISBLANK(Results[[#This Row],[ItemID]]), Results[[#This Row],[ItemID]]=0, Results[[#This Row],[ItemID]]=""), "", VLOOKUP(Results[[#This Row],[ItemID]], Analysis[], COLUMN(Analysis[Peak Output (A)])-COLUMN(Analysis[])+1, FALSE))</f>
        <v>360</v>
      </c>
      <c r="D11" s="11">
        <f>IF(OR(ISBLANK(Results[[#This Row],[ItemID]]), Results[[#This Row],[ItemID]]=0, Results[[#This Row],[ItemID]]=""), "", VLOOKUP(Results[[#This Row],[ItemID]], Analysis[], COLUMN(Analysis[Constant Output (A)])-COLUMN(Analysis[])+1, FALSE))</f>
        <v>27.027027027027028</v>
      </c>
      <c r="E11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0.9</v>
      </c>
      <c r="F11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6.7567567567567571E-2</v>
      </c>
      <c r="G11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1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2" spans="1:17" x14ac:dyDescent="0.25">
      <c r="A12" t="str">
        <f>IF(IFERROR(Analysis[[#This Row],[ItemID]], 0)=0, "", Analysis[[#This Row],[ItemID]])</f>
        <v>FrontRight ESC</v>
      </c>
      <c r="B12">
        <f>IF(OR(ISBLANK(Results[[#This Row],[ItemID]]), Results[[#This Row],[ItemID]]=0, Results[[#This Row],[ItemID]]=""), "", VLOOKUP(Results[[#This Row],[ItemID]], Items[], COLUMN(Items[Output (A)])-COLUMN(Items[])+1, FALSE))</f>
        <v>60</v>
      </c>
      <c r="C12" s="11">
        <f>IF(OR(ISBLANK(Results[[#This Row],[ItemID]]), Results[[#This Row],[ItemID]]=0, Results[[#This Row],[ItemID]]=""), "", VLOOKUP(Results[[#This Row],[ItemID]], Analysis[], COLUMN(Analysis[Peak Output (A)])-COLUMN(Analysis[])+1, FALSE))</f>
        <v>60</v>
      </c>
      <c r="D12" s="11">
        <f>IF(OR(ISBLANK(Results[[#This Row],[ItemID]]), Results[[#This Row],[ItemID]]=0, Results[[#This Row],[ItemID]]=""), "", VLOOKUP(Results[[#This Row],[ItemID]], Analysis[], COLUMN(Analysis[Constant Output (A)])-COLUMN(Analysis[])+1, FALSE))</f>
        <v>4.5045045045045047</v>
      </c>
      <c r="E12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1</v>
      </c>
      <c r="F12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7.5075075075075076E-2</v>
      </c>
      <c r="G12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2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3" spans="1:17" x14ac:dyDescent="0.25">
      <c r="A13" t="str">
        <f>IF(IFERROR(Analysis[[#This Row],[ItemID]], 0)=0, "", Analysis[[#This Row],[ItemID]])</f>
        <v>FrontRight Motor</v>
      </c>
      <c r="B13">
        <f>IF(OR(ISBLANK(Results[[#This Row],[ItemID]]), Results[[#This Row],[ItemID]]=0, Results[[#This Row],[ItemID]]=""), "", VLOOKUP(Results[[#This Row],[ItemID]], Items[], COLUMN(Items[Output (A)])-COLUMN(Items[])+1, FALSE))</f>
        <v>0</v>
      </c>
      <c r="C13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13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13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13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13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3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4" spans="1:17" x14ac:dyDescent="0.25">
      <c r="A14" t="str">
        <f>IF(IFERROR(Analysis[[#This Row],[ItemID]], 0)=0, "", Analysis[[#This Row],[ItemID]])</f>
        <v>MidRight ESC</v>
      </c>
      <c r="B14">
        <f>IF(OR(ISBLANK(Results[[#This Row],[ItemID]]), Results[[#This Row],[ItemID]]=0, Results[[#This Row],[ItemID]]=""), "", VLOOKUP(Results[[#This Row],[ItemID]], Items[], COLUMN(Items[Output (A)])-COLUMN(Items[])+1, FALSE))</f>
        <v>60</v>
      </c>
      <c r="C14" s="11">
        <f>IF(OR(ISBLANK(Results[[#This Row],[ItemID]]), Results[[#This Row],[ItemID]]=0, Results[[#This Row],[ItemID]]=""), "", VLOOKUP(Results[[#This Row],[ItemID]], Analysis[], COLUMN(Analysis[Peak Output (A)])-COLUMN(Analysis[])+1, FALSE))</f>
        <v>60</v>
      </c>
      <c r="D14" s="11">
        <f>IF(OR(ISBLANK(Results[[#This Row],[ItemID]]), Results[[#This Row],[ItemID]]=0, Results[[#This Row],[ItemID]]=""), "", VLOOKUP(Results[[#This Row],[ItemID]], Analysis[], COLUMN(Analysis[Constant Output (A)])-COLUMN(Analysis[])+1, FALSE))</f>
        <v>4.5045045045045047</v>
      </c>
      <c r="E14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1</v>
      </c>
      <c r="F14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7.5075075075075076E-2</v>
      </c>
      <c r="G14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4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5" spans="1:17" x14ac:dyDescent="0.25">
      <c r="A15" t="str">
        <f>IF(IFERROR(Analysis[[#This Row],[ItemID]], 0)=0, "", Analysis[[#This Row],[ItemID]])</f>
        <v>MidRight Motor</v>
      </c>
      <c r="B15" s="1">
        <f>IF(OR(ISBLANK(Results[[#This Row],[ItemID]]), Results[[#This Row],[ItemID]]=0, Results[[#This Row],[ItemID]]=""), "", VLOOKUP(Results[[#This Row],[ItemID]], Items[], COLUMN(Items[Output (A)])-COLUMN(Items[])+1, FALSE))</f>
        <v>0</v>
      </c>
      <c r="C15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15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15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15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15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5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6" spans="1:17" x14ac:dyDescent="0.25">
      <c r="A16" t="str">
        <f>IF(IFERROR(Analysis[[#This Row],[ItemID]], 0)=0, "", Analysis[[#This Row],[ItemID]])</f>
        <v>BackRight ESC</v>
      </c>
      <c r="B16" s="1">
        <f>IF(OR(ISBLANK(Results[[#This Row],[ItemID]]), Results[[#This Row],[ItemID]]=0, Results[[#This Row],[ItemID]]=""), "", VLOOKUP(Results[[#This Row],[ItemID]], Items[], COLUMN(Items[Output (A)])-COLUMN(Items[])+1, FALSE))</f>
        <v>60</v>
      </c>
      <c r="C16" s="11">
        <f>IF(OR(ISBLANK(Results[[#This Row],[ItemID]]), Results[[#This Row],[ItemID]]=0, Results[[#This Row],[ItemID]]=""), "", VLOOKUP(Results[[#This Row],[ItemID]], Analysis[], COLUMN(Analysis[Peak Output (A)])-COLUMN(Analysis[])+1, FALSE))</f>
        <v>60</v>
      </c>
      <c r="D16" s="11">
        <f>IF(OR(ISBLANK(Results[[#This Row],[ItemID]]), Results[[#This Row],[ItemID]]=0, Results[[#This Row],[ItemID]]=""), "", VLOOKUP(Results[[#This Row],[ItemID]], Analysis[], COLUMN(Analysis[Constant Output (A)])-COLUMN(Analysis[])+1, FALSE))</f>
        <v>4.5045045045045047</v>
      </c>
      <c r="E16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1</v>
      </c>
      <c r="F16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7.5075075075075076E-2</v>
      </c>
      <c r="G16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6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7" spans="1:8" x14ac:dyDescent="0.25">
      <c r="A17" t="str">
        <f>IF(IFERROR(Analysis[[#This Row],[ItemID]], 0)=0, "", Analysis[[#This Row],[ItemID]])</f>
        <v>BackRight Motor</v>
      </c>
      <c r="B17" s="1">
        <f>IF(OR(ISBLANK(Results[[#This Row],[ItemID]]), Results[[#This Row],[ItemID]]=0, Results[[#This Row],[ItemID]]=""), "", VLOOKUP(Results[[#This Row],[ItemID]], Items[], COLUMN(Items[Output (A)])-COLUMN(Items[])+1, FALSE))</f>
        <v>0</v>
      </c>
      <c r="C17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17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17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17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17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7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8" spans="1:8" x14ac:dyDescent="0.25">
      <c r="A18" t="str">
        <f>IF(IFERROR(Analysis[[#This Row],[ItemID]], 0)=0, "", Analysis[[#This Row],[ItemID]])</f>
        <v>FrontLeft ESC</v>
      </c>
      <c r="B18" s="1">
        <f>IF(OR(ISBLANK(Results[[#This Row],[ItemID]]), Results[[#This Row],[ItemID]]=0, Results[[#This Row],[ItemID]]=""), "", VLOOKUP(Results[[#This Row],[ItemID]], Items[], COLUMN(Items[Output (A)])-COLUMN(Items[])+1, FALSE))</f>
        <v>60</v>
      </c>
      <c r="C18" s="11">
        <f>IF(OR(ISBLANK(Results[[#This Row],[ItemID]]), Results[[#This Row],[ItemID]]=0, Results[[#This Row],[ItemID]]=""), "", VLOOKUP(Results[[#This Row],[ItemID]], Analysis[], COLUMN(Analysis[Peak Output (A)])-COLUMN(Analysis[])+1, FALSE))</f>
        <v>60</v>
      </c>
      <c r="D18" s="11">
        <f>IF(OR(ISBLANK(Results[[#This Row],[ItemID]]), Results[[#This Row],[ItemID]]=0, Results[[#This Row],[ItemID]]=""), "", VLOOKUP(Results[[#This Row],[ItemID]], Analysis[], COLUMN(Analysis[Constant Output (A)])-COLUMN(Analysis[])+1, FALSE))</f>
        <v>4.5045045045045047</v>
      </c>
      <c r="E18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1</v>
      </c>
      <c r="F18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7.5075075075075076E-2</v>
      </c>
      <c r="G18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8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9" spans="1:8" x14ac:dyDescent="0.25">
      <c r="A19" t="str">
        <f>IF(IFERROR(Analysis[[#This Row],[ItemID]], 0)=0, "", Analysis[[#This Row],[ItemID]])</f>
        <v>FrontLeft Motor</v>
      </c>
      <c r="B19" s="1">
        <f>IF(OR(ISBLANK(Results[[#This Row],[ItemID]]), Results[[#This Row],[ItemID]]=0, Results[[#This Row],[ItemID]]=""), "", VLOOKUP(Results[[#This Row],[ItemID]], Items[], COLUMN(Items[Output (A)])-COLUMN(Items[])+1, FALSE))</f>
        <v>0</v>
      </c>
      <c r="C19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19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19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19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19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9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0" spans="1:8" x14ac:dyDescent="0.25">
      <c r="A20" t="str">
        <f>IF(IFERROR(Analysis[[#This Row],[ItemID]], 0)=0, "", Analysis[[#This Row],[ItemID]])</f>
        <v>MidLeft ESC</v>
      </c>
      <c r="B20" s="1">
        <f>IF(OR(ISBLANK(Results[[#This Row],[ItemID]]), Results[[#This Row],[ItemID]]=0, Results[[#This Row],[ItemID]]=""), "", VLOOKUP(Results[[#This Row],[ItemID]], Items[], COLUMN(Items[Output (A)])-COLUMN(Items[])+1, FALSE))</f>
        <v>60</v>
      </c>
      <c r="C20" s="11">
        <f>IF(OR(ISBLANK(Results[[#This Row],[ItemID]]), Results[[#This Row],[ItemID]]=0, Results[[#This Row],[ItemID]]=""), "", VLOOKUP(Results[[#This Row],[ItemID]], Analysis[], COLUMN(Analysis[Peak Output (A)])-COLUMN(Analysis[])+1, FALSE))</f>
        <v>60</v>
      </c>
      <c r="D20" s="11">
        <f>IF(OR(ISBLANK(Results[[#This Row],[ItemID]]), Results[[#This Row],[ItemID]]=0, Results[[#This Row],[ItemID]]=""), "", VLOOKUP(Results[[#This Row],[ItemID]], Analysis[], COLUMN(Analysis[Constant Output (A)])-COLUMN(Analysis[])+1, FALSE))</f>
        <v>4.5045045045045047</v>
      </c>
      <c r="E20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1</v>
      </c>
      <c r="F20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7.5075075075075076E-2</v>
      </c>
      <c r="G20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0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1" spans="1:8" x14ac:dyDescent="0.25">
      <c r="A21" t="str">
        <f>IF(IFERROR(Analysis[[#This Row],[ItemID]], 0)=0, "", Analysis[[#This Row],[ItemID]])</f>
        <v>MidLeft Motor</v>
      </c>
      <c r="B21" s="1">
        <f>IF(OR(ISBLANK(Results[[#This Row],[ItemID]]), Results[[#This Row],[ItemID]]=0, Results[[#This Row],[ItemID]]=""), "", VLOOKUP(Results[[#This Row],[ItemID]], Items[], COLUMN(Items[Output (A)])-COLUMN(Items[])+1, FALSE))</f>
        <v>0</v>
      </c>
      <c r="C21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1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1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1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1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1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2" spans="1:8" x14ac:dyDescent="0.25">
      <c r="A22" t="str">
        <f>IF(IFERROR(Analysis[[#This Row],[ItemID]], 0)=0, "", Analysis[[#This Row],[ItemID]])</f>
        <v>BackLeft ESC</v>
      </c>
      <c r="B22" s="1">
        <f>IF(OR(ISBLANK(Results[[#This Row],[ItemID]]), Results[[#This Row],[ItemID]]=0, Results[[#This Row],[ItemID]]=""), "", VLOOKUP(Results[[#This Row],[ItemID]], Items[], COLUMN(Items[Output (A)])-COLUMN(Items[])+1, FALSE))</f>
        <v>60</v>
      </c>
      <c r="C22" s="11">
        <f>IF(OR(ISBLANK(Results[[#This Row],[ItemID]]), Results[[#This Row],[ItemID]]=0, Results[[#This Row],[ItemID]]=""), "", VLOOKUP(Results[[#This Row],[ItemID]], Analysis[], COLUMN(Analysis[Peak Output (A)])-COLUMN(Analysis[])+1, FALSE))</f>
        <v>60</v>
      </c>
      <c r="D22" s="11">
        <f>IF(OR(ISBLANK(Results[[#This Row],[ItemID]]), Results[[#This Row],[ItemID]]=0, Results[[#This Row],[ItemID]]=""), "", VLOOKUP(Results[[#This Row],[ItemID]], Analysis[], COLUMN(Analysis[Constant Output (A)])-COLUMN(Analysis[])+1, FALSE))</f>
        <v>4.5045045045045047</v>
      </c>
      <c r="E22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1</v>
      </c>
      <c r="F22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7.5075075075075076E-2</v>
      </c>
      <c r="G22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2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3" spans="1:8" x14ac:dyDescent="0.25">
      <c r="A23" t="str">
        <f>IF(IFERROR(Analysis[[#This Row],[ItemID]], 0)=0, "", Analysis[[#This Row],[ItemID]])</f>
        <v>BackLeft Motor</v>
      </c>
      <c r="B23" s="1">
        <f>IF(OR(ISBLANK(Results[[#This Row],[ItemID]]), Results[[#This Row],[ItemID]]=0, Results[[#This Row],[ItemID]]=""), "", VLOOKUP(Results[[#This Row],[ItemID]], Items[], COLUMN(Items[Output (A)])-COLUMN(Items[])+1, FALSE))</f>
        <v>0</v>
      </c>
      <c r="C23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3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3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3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3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3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4" spans="1:8" x14ac:dyDescent="0.25">
      <c r="A24" t="str">
        <f>IF(IFERROR(Analysis[[#This Row],[ItemID]], 0)=0, "", Analysis[[#This Row],[ItemID]])</f>
        <v>Shoulder ESC</v>
      </c>
      <c r="B24" s="1">
        <f>IF(OR(ISBLANK(Results[[#This Row],[ItemID]]), Results[[#This Row],[ItemID]]=0, Results[[#This Row],[ItemID]]=""), "", VLOOKUP(Results[[#This Row],[ItemID]], Items[], COLUMN(Items[Output (A)])-COLUMN(Items[])+1, FALSE))</f>
        <v>60</v>
      </c>
      <c r="C24" s="11">
        <f>IF(OR(ISBLANK(Results[[#This Row],[ItemID]]), Results[[#This Row],[ItemID]]=0, Results[[#This Row],[ItemID]]=""), "", VLOOKUP(Results[[#This Row],[ItemID]], Analysis[], COLUMN(Analysis[Peak Output (A)])-COLUMN(Analysis[])+1, FALSE))</f>
        <v>20</v>
      </c>
      <c r="D24" s="11">
        <f>IF(OR(ISBLANK(Results[[#This Row],[ItemID]]), Results[[#This Row],[ItemID]]=0, Results[[#This Row],[ItemID]]=""), "", VLOOKUP(Results[[#This Row],[ItemID]], Analysis[], COLUMN(Analysis[Constant Output (A)])-COLUMN(Analysis[])+1, FALSE))</f>
        <v>15</v>
      </c>
      <c r="E24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0.33333333333333331</v>
      </c>
      <c r="F24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0.25</v>
      </c>
      <c r="G24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4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5" spans="1:8" x14ac:dyDescent="0.25">
      <c r="A25" t="str">
        <f>IF(IFERROR(Analysis[[#This Row],[ItemID]], 0)=0, "", Analysis[[#This Row],[ItemID]])</f>
        <v>Shoulder Motor</v>
      </c>
      <c r="B25" s="1">
        <f>IF(OR(ISBLANK(Results[[#This Row],[ItemID]]), Results[[#This Row],[ItemID]]=0, Results[[#This Row],[ItemID]]=""), "", VLOOKUP(Results[[#This Row],[ItemID]], Items[], COLUMN(Items[Output (A)])-COLUMN(Items[])+1, FALSE))</f>
        <v>0</v>
      </c>
      <c r="C25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5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5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5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5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5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6" spans="1:8" x14ac:dyDescent="0.25">
      <c r="A26" t="str">
        <f>IF(IFERROR(Analysis[[#This Row],[ItemID]], 0)=0, "", Analysis[[#This Row],[ItemID]])</f>
        <v>Base ESC</v>
      </c>
      <c r="B26" s="1">
        <f>IF(OR(ISBLANK(Results[[#This Row],[ItemID]]), Results[[#This Row],[ItemID]]=0, Results[[#This Row],[ItemID]]=""), "", VLOOKUP(Results[[#This Row],[ItemID]], Items[], COLUMN(Items[Output (A)])-COLUMN(Items[])+1, FALSE))</f>
        <v>60</v>
      </c>
      <c r="C26" s="11">
        <f>IF(OR(ISBLANK(Results[[#This Row],[ItemID]]), Results[[#This Row],[ItemID]]=0, Results[[#This Row],[ItemID]]=""), "", VLOOKUP(Results[[#This Row],[ItemID]], Analysis[], COLUMN(Analysis[Peak Output (A)])-COLUMN(Analysis[])+1, FALSE))</f>
        <v>1.5</v>
      </c>
      <c r="D26" s="11">
        <f>IF(OR(ISBLANK(Results[[#This Row],[ItemID]]), Results[[#This Row],[ItemID]]=0, Results[[#This Row],[ItemID]]=""), "", VLOOKUP(Results[[#This Row],[ItemID]], Analysis[], COLUMN(Analysis[Constant Output (A)])-COLUMN(Analysis[])+1, FALSE))</f>
        <v>1</v>
      </c>
      <c r="E26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2.5000000000000001E-2</v>
      </c>
      <c r="F26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1.6666666666666666E-2</v>
      </c>
      <c r="G26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6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7" spans="1:8" x14ac:dyDescent="0.25">
      <c r="A27" t="str">
        <f>IF(IFERROR(Analysis[[#This Row],[ItemID]], 0)=0, "", Analysis[[#This Row],[ItemID]])</f>
        <v>Base Motor</v>
      </c>
      <c r="B27" s="1">
        <f>IF(OR(ISBLANK(Results[[#This Row],[ItemID]]), Results[[#This Row],[ItemID]]=0, Results[[#This Row],[ItemID]]=""), "", VLOOKUP(Results[[#This Row],[ItemID]], Items[], COLUMN(Items[Output (A)])-COLUMN(Items[])+1, FALSE))</f>
        <v>0</v>
      </c>
      <c r="C27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7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7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7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7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7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8" spans="1:8" x14ac:dyDescent="0.25">
      <c r="A28" t="str">
        <f>IF(IFERROR(Analysis[[#This Row],[ItemID]], 0)=0, "", Analysis[[#This Row],[ItemID]])</f>
        <v>Elbow ESC</v>
      </c>
      <c r="B28" s="1">
        <f>IF(OR(ISBLANK(Results[[#This Row],[ItemID]]), Results[[#This Row],[ItemID]]=0, Results[[#This Row],[ItemID]]=""), "", VLOOKUP(Results[[#This Row],[ItemID]], Items[], COLUMN(Items[Output (A)])-COLUMN(Items[])+1, FALSE))</f>
        <v>60</v>
      </c>
      <c r="C28" s="11">
        <f>IF(OR(ISBLANK(Results[[#This Row],[ItemID]]), Results[[#This Row],[ItemID]]=0, Results[[#This Row],[ItemID]]=""), "", VLOOKUP(Results[[#This Row],[ItemID]], Analysis[], COLUMN(Analysis[Peak Output (A)])-COLUMN(Analysis[])+1, FALSE))</f>
        <v>1.5</v>
      </c>
      <c r="D28" s="11">
        <f>IF(OR(ISBLANK(Results[[#This Row],[ItemID]]), Results[[#This Row],[ItemID]]=0, Results[[#This Row],[ItemID]]=""), "", VLOOKUP(Results[[#This Row],[ItemID]], Analysis[], COLUMN(Analysis[Constant Output (A)])-COLUMN(Analysis[])+1, FALSE))</f>
        <v>1</v>
      </c>
      <c r="E28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2.5000000000000001E-2</v>
      </c>
      <c r="F28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1.6666666666666666E-2</v>
      </c>
      <c r="G28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8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9" spans="1:8" x14ac:dyDescent="0.25">
      <c r="A29" t="str">
        <f>IF(IFERROR(Analysis[[#This Row],[ItemID]], 0)=0, "", Analysis[[#This Row],[ItemID]])</f>
        <v>Elbow Motor</v>
      </c>
      <c r="B29" s="1">
        <f>IF(OR(ISBLANK(Results[[#This Row],[ItemID]]), Results[[#This Row],[ItemID]]=0, Results[[#This Row],[ItemID]]=""), "", VLOOKUP(Results[[#This Row],[ItemID]], Items[], COLUMN(Items[Output (A)])-COLUMN(Items[])+1, FALSE))</f>
        <v>0</v>
      </c>
      <c r="C29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9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9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9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9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9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30" spans="1:8" x14ac:dyDescent="0.25">
      <c r="A30" t="str">
        <f>IF(IFERROR(Analysis[[#This Row],[ItemID]], 0)=0, "", Analysis[[#This Row],[ItemID]])</f>
        <v/>
      </c>
      <c r="B30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30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30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30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30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30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30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</sheetData>
  <conditionalFormatting sqref="K3">
    <cfRule type="expression" dxfId="8" priority="2">
      <formula>INDIRECT(ADDRESS(ROW(), COLUMN()))="HOLD"</formula>
    </cfRule>
    <cfRule type="expression" dxfId="7" priority="4">
      <formula>INDIRECT(ADDRESS(ROW(), COLUMN()))="MAYBE"</formula>
    </cfRule>
    <cfRule type="expression" dxfId="6" priority="5">
      <formula>INDIRECT(ADDRESS(ROW(), COLUMN()))="GO"</formula>
    </cfRule>
  </conditionalFormatting>
  <conditionalFormatting sqref="E2:F30">
    <cfRule type="colorScale" priority="1">
      <colorScale>
        <cfvo type="num" val="0"/>
        <cfvo type="num" val="1"/>
        <cfvo type="num" val="1.1000000000000001"/>
        <color rgb="FF00B050"/>
        <color rgb="FFDCDE80"/>
        <color rgb="FFFF0000"/>
      </colorScale>
    </cfRule>
  </conditionalFormatting>
  <dataValidations count="2">
    <dataValidation type="list" allowBlank="1" showInputMessage="1" showErrorMessage="1" sqref="A2:A30 M2:M8" xr:uid="{00000000-0002-0000-0300-000000000000}">
      <formula1>ItemIDs</formula1>
    </dataValidation>
    <dataValidation allowBlank="1" showInputMessage="1" showErrorMessage="1" sqref="G2:G30" xr:uid="{00000000-0002-0000-0300-000001000000}"/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0"/>
  <sheetViews>
    <sheetView workbookViewId="0">
      <selection activeCell="E20" sqref="E20"/>
    </sheetView>
  </sheetViews>
  <sheetFormatPr defaultRowHeight="15" x14ac:dyDescent="0.25"/>
  <cols>
    <col min="1" max="1" width="17.28515625" bestFit="1" customWidth="1"/>
    <col min="2" max="2" width="59.85546875" bestFit="1" customWidth="1"/>
    <col min="3" max="3" width="13.7109375" bestFit="1" customWidth="1"/>
    <col min="4" max="4" width="11" customWidth="1"/>
    <col min="5" max="5" width="59.85546875" customWidth="1"/>
    <col min="6" max="6" width="8.7109375" bestFit="1" customWidth="1"/>
    <col min="7" max="7" width="9.7109375" bestFit="1" customWidth="1"/>
  </cols>
  <sheetData>
    <row r="1" spans="1:7" x14ac:dyDescent="0.25">
      <c r="A1" t="s">
        <v>58</v>
      </c>
      <c r="B1" t="s">
        <v>81</v>
      </c>
      <c r="C1" t="s">
        <v>59</v>
      </c>
      <c r="E1" s="8" t="s">
        <v>1</v>
      </c>
      <c r="F1" t="s">
        <v>83</v>
      </c>
      <c r="G1" t="s">
        <v>61</v>
      </c>
    </row>
    <row r="2" spans="1:7" x14ac:dyDescent="0.25">
      <c r="A2" t="str">
        <f>IF(OR(ISBLANK(Analysis[[#This Row],[ItemID]]), Analysis[[#This Row],[ItemID]]="", Analysis[[#This Row],[ItemID]]=0), "", Analysis[[#This Row],[ItemID]])</f>
        <v/>
      </c>
      <c r="B2" t="str">
        <f>IF(OR(ISBLANK(Costs[[#This Row],[Item]]), Costs[[#This Row],[Item]]="", Costs[[#This Row],[Item]]=0), "", VLOOKUP(Costs[[#This Row],[Item]], Items[], COLUMN(Items[Name])-COLUMN(Items[])+1, FALSE))</f>
        <v/>
      </c>
      <c r="C2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  <c r="E2" s="9" t="s">
        <v>51</v>
      </c>
      <c r="F2" s="1">
        <v>1</v>
      </c>
      <c r="G2" s="3">
        <v>60</v>
      </c>
    </row>
    <row r="3" spans="1:7" x14ac:dyDescent="0.25">
      <c r="A3" t="str">
        <f>IF(OR(ISBLANK(Analysis[[#This Row],[ItemID]]), Analysis[[#This Row],[ItemID]]="", Analysis[[#This Row],[ItemID]]=0), "", Analysis[[#This Row],[ItemID]])</f>
        <v>Battery Pack</v>
      </c>
      <c r="B3" t="str">
        <f>IF(OR(ISBLANK(Costs[[#This Row],[Item]]), Costs[[#This Row],[Item]]="", Costs[[#This Row],[Item]]=0), "", VLOOKUP(Costs[[#This Row],[Item]], Items[], COLUMN(Items[Name])-COLUMN(Items[])+1, FALSE))</f>
        <v>24 V Lithuim Ion Battery back</v>
      </c>
      <c r="C3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254</v>
      </c>
      <c r="E3" s="9" t="s">
        <v>56</v>
      </c>
      <c r="F3" s="1">
        <v>2</v>
      </c>
      <c r="G3" s="3">
        <v>100</v>
      </c>
    </row>
    <row r="4" spans="1:7" x14ac:dyDescent="0.25">
      <c r="A4" t="str">
        <f>IF(OR(ISBLANK(Analysis[[#This Row],[ItemID]]), Analysis[[#This Row],[ItemID]]="", Analysis[[#This Row],[ItemID]]=0), "", Analysis[[#This Row],[ItemID]])</f>
        <v>Logic Supply</v>
      </c>
      <c r="B4" t="str">
        <f>IF(OR(ISBLANK(Costs[[#This Row],[Item]]), Costs[[#This Row],[Item]]="", Costs[[#This Row],[Item]]=0), "", VLOOKUP(Costs[[#This Row],[Item]], Items[], COLUMN(Items[Name])-COLUMN(Items[])+1, FALSE))</f>
        <v>Adjustable Linear Voltage Regulator</v>
      </c>
      <c r="C4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8.48</v>
      </c>
      <c r="E4" s="9" t="s">
        <v>44</v>
      </c>
      <c r="F4" s="1">
        <v>1</v>
      </c>
      <c r="G4" s="3">
        <v>150</v>
      </c>
    </row>
    <row r="5" spans="1:7" x14ac:dyDescent="0.25">
      <c r="A5" t="str">
        <f>IF(OR(ISBLANK(Analysis[[#This Row],[ItemID]]), Analysis[[#This Row],[ItemID]]="", Analysis[[#This Row],[ItemID]]=0), "", Analysis[[#This Row],[ItemID]])</f>
        <v>Master Control</v>
      </c>
      <c r="B5" t="str">
        <f>IF(OR(ISBLANK(Costs[[#This Row],[Item]]), Costs[[#This Row],[Item]]="", Costs[[#This Row],[Item]]=0), "", VLOOKUP(Costs[[#This Row],[Item]], Items[], COLUMN(Items[Name])-COLUMN(Items[])+1, FALSE))</f>
        <v>Raspberry Pi 3 Rev 1.2</v>
      </c>
      <c r="C5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30</v>
      </c>
      <c r="E5" s="9" t="s">
        <v>13</v>
      </c>
      <c r="F5" s="1">
        <v>6</v>
      </c>
      <c r="G5" s="3">
        <v>43.5</v>
      </c>
    </row>
    <row r="6" spans="1:7" x14ac:dyDescent="0.25">
      <c r="A6" t="str">
        <f>IF(OR(ISBLANK(Analysis[[#This Row],[ItemID]]), Analysis[[#This Row],[ItemID]]="", Analysis[[#This Row],[ItemID]]=0), "", Analysis[[#This Row],[ItemID]])</f>
        <v>Network Power</v>
      </c>
      <c r="B6" t="str">
        <f>IF(OR(ISBLANK(Costs[[#This Row],[Item]]), Costs[[#This Row],[Item]]="", Costs[[#This Row],[Item]]=0), "", VLOOKUP(Costs[[#This Row],[Item]], Items[], COLUMN(Items[Name])-COLUMN(Items[])+1, FALSE))</f>
        <v>Adjustable Linear Voltage Regulator</v>
      </c>
      <c r="C6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8.48</v>
      </c>
      <c r="E6" s="9" t="s">
        <v>41</v>
      </c>
      <c r="F6" s="1">
        <v>1</v>
      </c>
      <c r="G6" s="3">
        <v>0</v>
      </c>
    </row>
    <row r="7" spans="1:7" x14ac:dyDescent="0.25">
      <c r="A7" t="str">
        <f>IF(OR(ISBLANK(Analysis[[#This Row],[ItemID]]), Analysis[[#This Row],[ItemID]]="", Analysis[[#This Row],[ItemID]]=0), "", Analysis[[#This Row],[ItemID]])</f>
        <v>Transceiver</v>
      </c>
      <c r="B7" t="str">
        <f>IF(OR(ISBLANK(Costs[[#This Row],[Item]]), Costs[[#This Row],[Item]]="", Costs[[#This Row],[Item]]=0), "", VLOOKUP(Costs[[#This Row],[Item]], Items[], COLUMN(Items[Name])-COLUMN(Items[])+1, FALSE))</f>
        <v>Ubiquity Rocket M5</v>
      </c>
      <c r="C7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180</v>
      </c>
      <c r="E7" s="9" t="s">
        <v>31</v>
      </c>
      <c r="F7" s="1">
        <v>1</v>
      </c>
      <c r="G7" s="3">
        <v>30</v>
      </c>
    </row>
    <row r="8" spans="1:7" x14ac:dyDescent="0.25">
      <c r="A8" s="1" t="str">
        <f>IF(OR(ISBLANK(Analysis[[#This Row],[ItemID]]), Analysis[[#This Row],[ItemID]]="", Analysis[[#This Row],[ItemID]]=0), "", Analysis[[#This Row],[ItemID]])</f>
        <v>Network Switch</v>
      </c>
      <c r="B8" s="1" t="str">
        <f>IF(OR(ISBLANK(Costs[[#This Row],[Item]]), Costs[[#This Row],[Item]]="", Costs[[#This Row],[Item]]=0), "", VLOOKUP(Costs[[#This Row],[Item]], Items[], COLUMN(Items[Name])-COLUMN(Items[])+1, FALSE))</f>
        <v/>
      </c>
      <c r="C8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  <c r="E8" s="9" t="s">
        <v>49</v>
      </c>
      <c r="F8" s="1">
        <v>1</v>
      </c>
      <c r="G8" s="3">
        <v>180</v>
      </c>
    </row>
    <row r="9" spans="1:7" x14ac:dyDescent="0.25">
      <c r="A9" s="1" t="str">
        <f>IF(OR(ISBLANK(Analysis[[#This Row],[ItemID]]), Analysis[[#This Row],[ItemID]]="", Analysis[[#This Row],[ItemID]]=0), "", Analysis[[#This Row],[ItemID]])</f>
        <v>Dirty Power 1</v>
      </c>
      <c r="B9" s="1" t="str">
        <f>IF(OR(ISBLANK(Costs[[#This Row],[Item]]), Costs[[#This Row],[Item]]="", Costs[[#This Row],[Item]]=0), "", VLOOKUP(Costs[[#This Row],[Item]], Items[], COLUMN(Items[Name])-COLUMN(Items[])+1, FALSE))</f>
        <v>Nextrox DC/DC Converter Regulator 24V Step Down to 12V 20A 240W</v>
      </c>
      <c r="C9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16</v>
      </c>
      <c r="E9" s="9" t="s">
        <v>6</v>
      </c>
      <c r="F9" s="1">
        <v>6</v>
      </c>
      <c r="G9" s="3">
        <v>360</v>
      </c>
    </row>
    <row r="10" spans="1:7" x14ac:dyDescent="0.25">
      <c r="A10" s="1" t="str">
        <f>IF(OR(ISBLANK(Analysis[[#This Row],[ItemID]]), Analysis[[#This Row],[ItemID]]="", Analysis[[#This Row],[ItemID]]=0), "", Analysis[[#This Row],[ItemID]])</f>
        <v>Dirty Power 2</v>
      </c>
      <c r="B10" s="1" t="str">
        <f>IF(OR(ISBLANK(Costs[[#This Row],[Item]]), Costs[[#This Row],[Item]]="", Costs[[#This Row],[Item]]=0), "", VLOOKUP(Costs[[#This Row],[Item]], Items[], COLUMN(Items[Name])-COLUMN(Items[])+1, FALSE))</f>
        <v>Nextrox DC/DC Converter Regulator 24V Step Down to 12V 20A 240W</v>
      </c>
      <c r="C10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16</v>
      </c>
      <c r="E10" s="9" t="s">
        <v>84</v>
      </c>
      <c r="F10" s="1">
        <v>1</v>
      </c>
      <c r="G10" s="3">
        <v>0</v>
      </c>
    </row>
    <row r="11" spans="1:7" x14ac:dyDescent="0.25">
      <c r="A11" s="1" t="str">
        <f>IF(OR(ISBLANK(Analysis[[#This Row],[ItemID]]), Analysis[[#This Row],[ItemID]]="", Analysis[[#This Row],[ItemID]]=0), "", Analysis[[#This Row],[ItemID]])</f>
        <v>Drivetrain Power</v>
      </c>
      <c r="B11" s="1" t="str">
        <f>IF(OR(ISBLANK(Costs[[#This Row],[Item]]), Costs[[#This Row],[Item]]="", Costs[[#This Row],[Item]]=0), "", VLOOKUP(Costs[[#This Row],[Item]], Items[], COLUMN(Items[Name])-COLUMN(Items[])+1, FALSE))</f>
        <v>Virtual Node for system isolation</v>
      </c>
      <c r="C11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0</v>
      </c>
      <c r="E11" s="9" t="s">
        <v>85</v>
      </c>
      <c r="F11" s="1">
        <v>2</v>
      </c>
      <c r="G11" s="3">
        <v>0</v>
      </c>
    </row>
    <row r="12" spans="1:7" x14ac:dyDescent="0.25">
      <c r="A12" s="1" t="str">
        <f>IF(OR(ISBLANK(Analysis[[#This Row],[ItemID]]), Analysis[[#This Row],[ItemID]]="", Analysis[[#This Row],[ItemID]]=0), "", Analysis[[#This Row],[ItemID]])</f>
        <v>FrontRight ESC</v>
      </c>
      <c r="B12" s="1" t="str">
        <f>IF(OR(ISBLANK(Costs[[#This Row],[Item]]), Costs[[#This Row],[Item]]="", Costs[[#This Row],[Item]]=0), "", VLOOKUP(Costs[[#This Row],[Item]], Items[], COLUMN(Items[Name])-COLUMN(Items[])+1, FALSE))</f>
        <v>Talon SRX DC Motor  Driver</v>
      </c>
      <c r="C12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90</v>
      </c>
      <c r="E12" s="9" t="s">
        <v>60</v>
      </c>
      <c r="F12" s="1">
        <v>22</v>
      </c>
      <c r="G12" s="3">
        <v>923.5</v>
      </c>
    </row>
    <row r="13" spans="1:7" x14ac:dyDescent="0.25">
      <c r="A13" s="1" t="str">
        <f>IF(OR(ISBLANK(Analysis[[#This Row],[ItemID]]), Analysis[[#This Row],[ItemID]]="", Analysis[[#This Row],[ItemID]]=0), "", Analysis[[#This Row],[ItemID]])</f>
        <v>FrontRight Motor</v>
      </c>
      <c r="B13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13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</row>
    <row r="14" spans="1:7" x14ac:dyDescent="0.25">
      <c r="A14" s="1" t="str">
        <f>IF(OR(ISBLANK(Analysis[[#This Row],[ItemID]]), Analysis[[#This Row],[ItemID]]="", Analysis[[#This Row],[ItemID]]=0), "", Analysis[[#This Row],[ItemID]])</f>
        <v>MidRight ESC</v>
      </c>
      <c r="B14" s="1" t="str">
        <f>IF(OR(ISBLANK(Costs[[#This Row],[Item]]), Costs[[#This Row],[Item]]="", Costs[[#This Row],[Item]]=0), "", VLOOKUP(Costs[[#This Row],[Item]], Items[], COLUMN(Items[Name])-COLUMN(Items[])+1, FALSE))</f>
        <v>Talon SRX DC Motor  Driver</v>
      </c>
      <c r="C14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90</v>
      </c>
    </row>
    <row r="15" spans="1:7" x14ac:dyDescent="0.25">
      <c r="A15" s="1" t="str">
        <f>IF(OR(ISBLANK(Analysis[[#This Row],[ItemID]]), Analysis[[#This Row],[ItemID]]="", Analysis[[#This Row],[ItemID]]=0), "", Analysis[[#This Row],[ItemID]])</f>
        <v>MidRight Motor</v>
      </c>
      <c r="B15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15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</row>
    <row r="16" spans="1:7" x14ac:dyDescent="0.25">
      <c r="A16" s="1" t="str">
        <f>IF(OR(ISBLANK(Analysis[[#This Row],[ItemID]]), Analysis[[#This Row],[ItemID]]="", Analysis[[#This Row],[ItemID]]=0), "", Analysis[[#This Row],[ItemID]])</f>
        <v>BackRight ESC</v>
      </c>
      <c r="B16" s="1" t="str">
        <f>IF(OR(ISBLANK(Costs[[#This Row],[Item]]), Costs[[#This Row],[Item]]="", Costs[[#This Row],[Item]]=0), "", VLOOKUP(Costs[[#This Row],[Item]], Items[], COLUMN(Items[Name])-COLUMN(Items[])+1, FALSE))</f>
        <v>Talon SRX DC Motor  Driver</v>
      </c>
      <c r="C16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90</v>
      </c>
    </row>
    <row r="17" spans="1:3" x14ac:dyDescent="0.25">
      <c r="A17" s="1" t="str">
        <f>IF(OR(ISBLANK(Analysis[[#This Row],[ItemID]]), Analysis[[#This Row],[ItemID]]="", Analysis[[#This Row],[ItemID]]=0), "", Analysis[[#This Row],[ItemID]])</f>
        <v>BackRight Motor</v>
      </c>
      <c r="B17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17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</row>
    <row r="18" spans="1:3" x14ac:dyDescent="0.25">
      <c r="A18" s="1" t="str">
        <f>IF(OR(ISBLANK(Analysis[[#This Row],[ItemID]]), Analysis[[#This Row],[ItemID]]="", Analysis[[#This Row],[ItemID]]=0), "", Analysis[[#This Row],[ItemID]])</f>
        <v>FrontLeft ESC</v>
      </c>
      <c r="B18" s="1" t="str">
        <f>IF(OR(ISBLANK(Costs[[#This Row],[Item]]), Costs[[#This Row],[Item]]="", Costs[[#This Row],[Item]]=0), "", VLOOKUP(Costs[[#This Row],[Item]], Items[], COLUMN(Items[Name])-COLUMN(Items[])+1, FALSE))</f>
        <v>Talon SRX DC Motor  Driver</v>
      </c>
      <c r="C18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90</v>
      </c>
    </row>
    <row r="19" spans="1:3" x14ac:dyDescent="0.25">
      <c r="A19" s="1" t="str">
        <f>IF(OR(ISBLANK(Analysis[[#This Row],[ItemID]]), Analysis[[#This Row],[ItemID]]="", Analysis[[#This Row],[ItemID]]=0), "", Analysis[[#This Row],[ItemID]])</f>
        <v>FrontLeft Motor</v>
      </c>
      <c r="B19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19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</row>
    <row r="20" spans="1:3" x14ac:dyDescent="0.25">
      <c r="A20" s="1" t="str">
        <f>IF(OR(ISBLANK(Analysis[[#This Row],[ItemID]]), Analysis[[#This Row],[ItemID]]="", Analysis[[#This Row],[ItemID]]=0), "", Analysis[[#This Row],[ItemID]])</f>
        <v>MidLeft ESC</v>
      </c>
      <c r="B20" s="1" t="str">
        <f>IF(OR(ISBLANK(Costs[[#This Row],[Item]]), Costs[[#This Row],[Item]]="", Costs[[#This Row],[Item]]=0), "", VLOOKUP(Costs[[#This Row],[Item]], Items[], COLUMN(Items[Name])-COLUMN(Items[])+1, FALSE))</f>
        <v>Talon SRX DC Motor  Driver</v>
      </c>
      <c r="C20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90</v>
      </c>
    </row>
    <row r="21" spans="1:3" x14ac:dyDescent="0.25">
      <c r="A21" s="1" t="str">
        <f>IF(OR(ISBLANK(Analysis[[#This Row],[ItemID]]), Analysis[[#This Row],[ItemID]]="", Analysis[[#This Row],[ItemID]]=0), "", Analysis[[#This Row],[ItemID]])</f>
        <v>MidLeft Motor</v>
      </c>
      <c r="B21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21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</row>
    <row r="22" spans="1:3" x14ac:dyDescent="0.25">
      <c r="A22" s="1" t="str">
        <f>IF(OR(ISBLANK(Analysis[[#This Row],[ItemID]]), Analysis[[#This Row],[ItemID]]="", Analysis[[#This Row],[ItemID]]=0), "", Analysis[[#This Row],[ItemID]])</f>
        <v>BackLeft ESC</v>
      </c>
      <c r="B22" s="1" t="str">
        <f>IF(OR(ISBLANK(Costs[[#This Row],[Item]]), Costs[[#This Row],[Item]]="", Costs[[#This Row],[Item]]=0), "", VLOOKUP(Costs[[#This Row],[Item]], Items[], COLUMN(Items[Name])-COLUMN(Items[])+1, FALSE))</f>
        <v>Talon SRX DC Motor  Driver</v>
      </c>
      <c r="C22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90</v>
      </c>
    </row>
    <row r="23" spans="1:3" x14ac:dyDescent="0.25">
      <c r="A23" s="1" t="str">
        <f>IF(OR(ISBLANK(Analysis[[#This Row],[ItemID]]), Analysis[[#This Row],[ItemID]]="", Analysis[[#This Row],[ItemID]]=0), "", Analysis[[#This Row],[ItemID]])</f>
        <v>BackLeft Motor</v>
      </c>
      <c r="B23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23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</row>
    <row r="24" spans="1:3" x14ac:dyDescent="0.25">
      <c r="A24" s="1" t="str">
        <f>IF(OR(ISBLANK(Analysis[[#This Row],[ItemID]]), Analysis[[#This Row],[ItemID]]="", Analysis[[#This Row],[ItemID]]=0), "", Analysis[[#This Row],[ItemID]])</f>
        <v>Shoulder ESC</v>
      </c>
      <c r="B24" s="1" t="str">
        <f>IF(OR(ISBLANK(Costs[[#This Row],[Item]]), Costs[[#This Row],[Item]]="", Costs[[#This Row],[Item]]=0), "", VLOOKUP(Costs[[#This Row],[Item]], Items[], COLUMN(Items[Name])-COLUMN(Items[])+1, FALSE))</f>
        <v>Talon SRX DC Motor  Driver</v>
      </c>
      <c r="C24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90</v>
      </c>
    </row>
    <row r="25" spans="1:3" x14ac:dyDescent="0.25">
      <c r="A25" s="1" t="str">
        <f>IF(OR(ISBLANK(Analysis[[#This Row],[ItemID]]), Analysis[[#This Row],[ItemID]]="", Analysis[[#This Row],[ItemID]]=0), "", Analysis[[#This Row],[ItemID]])</f>
        <v>Shoulder Motor</v>
      </c>
      <c r="B25" s="1" t="str">
        <f>IF(OR(ISBLANK(Costs[[#This Row],[Item]]), Costs[[#This Row],[Item]]="", Costs[[#This Row],[Item]]=0), "", VLOOKUP(Costs[[#This Row],[Item]], Items[], COLUMN(Items[Name])-COLUMN(Items[])+1, FALSE))</f>
        <v>12 RPM HD Premium Planetary Gear Motor w/Encoder</v>
      </c>
      <c r="C25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60</v>
      </c>
    </row>
    <row r="26" spans="1:3" x14ac:dyDescent="0.25">
      <c r="A26" s="1" t="str">
        <f>IF(OR(ISBLANK(Analysis[[#This Row],[ItemID]]), Analysis[[#This Row],[ItemID]]="", Analysis[[#This Row],[ItemID]]=0), "", Analysis[[#This Row],[ItemID]])</f>
        <v>Base ESC</v>
      </c>
      <c r="B26" s="1" t="str">
        <f>IF(OR(ISBLANK(Costs[[#This Row],[Item]]), Costs[[#This Row],[Item]]="", Costs[[#This Row],[Item]]=0), "", VLOOKUP(Costs[[#This Row],[Item]], Items[], COLUMN(Items[Name])-COLUMN(Items[])+1, FALSE))</f>
        <v>Victor SP DC Motor Driver</v>
      </c>
      <c r="C26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60</v>
      </c>
    </row>
    <row r="27" spans="1:3" x14ac:dyDescent="0.25">
      <c r="A27" s="1" t="str">
        <f>IF(OR(ISBLANK(Analysis[[#This Row],[ItemID]]), Analysis[[#This Row],[ItemID]]="", Analysis[[#This Row],[ItemID]]=0), "", Analysis[[#This Row],[ItemID]])</f>
        <v>Base Motor</v>
      </c>
      <c r="B27" s="1" t="str">
        <f>IF(OR(ISBLANK(Costs[[#This Row],[Item]]), Costs[[#This Row],[Item]]="", Costs[[#This Row],[Item]]=0), "", VLOOKUP(Costs[[#This Row],[Item]], Items[], COLUMN(Items[Name])-COLUMN(Items[])+1, FALSE))</f>
        <v>26 RPM Premium Planetary Gear Motor w/Encoder</v>
      </c>
      <c r="C27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50</v>
      </c>
    </row>
    <row r="28" spans="1:3" x14ac:dyDescent="0.25">
      <c r="A28" s="1" t="str">
        <f>IF(OR(ISBLANK(Analysis[[#This Row],[ItemID]]), Analysis[[#This Row],[ItemID]]="", Analysis[[#This Row],[ItemID]]=0), "", Analysis[[#This Row],[ItemID]])</f>
        <v>Elbow ESC</v>
      </c>
      <c r="B28" s="1" t="str">
        <f>IF(OR(ISBLANK(Costs[[#This Row],[Item]]), Costs[[#This Row],[Item]]="", Costs[[#This Row],[Item]]=0), "", VLOOKUP(Costs[[#This Row],[Item]], Items[], COLUMN(Items[Name])-COLUMN(Items[])+1, FALSE))</f>
        <v>Victor SP DC Motor Driver</v>
      </c>
      <c r="C28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60</v>
      </c>
    </row>
    <row r="29" spans="1:3" x14ac:dyDescent="0.25">
      <c r="A29" s="1" t="str">
        <f>IF(OR(ISBLANK(Analysis[[#This Row],[ItemID]]), Analysis[[#This Row],[ItemID]]="", Analysis[[#This Row],[ItemID]]=0), "", Analysis[[#This Row],[ItemID]])</f>
        <v>Elbow Motor</v>
      </c>
      <c r="B29" s="1" t="str">
        <f>IF(OR(ISBLANK(Costs[[#This Row],[Item]]), Costs[[#This Row],[Item]]="", Costs[[#This Row],[Item]]=0), "", VLOOKUP(Costs[[#This Row],[Item]], Items[], COLUMN(Items[Name])-COLUMN(Items[])+1, FALSE))</f>
        <v>26 RPM Premium Planetary Gear Motor w/Encoder</v>
      </c>
      <c r="C29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50</v>
      </c>
    </row>
    <row r="30" spans="1:3" x14ac:dyDescent="0.25">
      <c r="A30" s="1" t="str">
        <f>IF(OR(ISBLANK(Analysis[[#This Row],[ItemID]]), Analysis[[#This Row],[ItemID]]="", Analysis[[#This Row],[ItemID]]=0), "", Analysis[[#This Row],[ItemID]])</f>
        <v/>
      </c>
      <c r="B30" s="1" t="str">
        <f>IF(OR(ISBLANK(Costs[[#This Row],[Item]]), Costs[[#This Row],[Item]]="", Costs[[#This Row],[Item]]=0), "", VLOOKUP(Costs[[#This Row],[Item]], Items[], COLUMN(Items[Name])-COLUMN(Items[])+1, FALSE))</f>
        <v/>
      </c>
      <c r="C30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</row>
  </sheetData>
  <pageMargins left="0.7" right="0.7" top="0.75" bottom="0.75" header="0.3" footer="0.3"/>
  <pageSetup orientation="portrait" horizontalDpi="0" verticalDpi="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Component Data</vt:lpstr>
      <vt:lpstr>Items</vt:lpstr>
      <vt:lpstr>Analysis</vt:lpstr>
      <vt:lpstr>Results</vt:lpstr>
      <vt:lpstr>Costs</vt:lpstr>
      <vt:lpstr>ComponentIDs</vt:lpstr>
      <vt:lpstr>ItemIDs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Talbert</dc:creator>
  <cp:lastModifiedBy>James Talbert</cp:lastModifiedBy>
  <dcterms:created xsi:type="dcterms:W3CDTF">2017-07-13T19:20:27Z</dcterms:created>
  <dcterms:modified xsi:type="dcterms:W3CDTF">2018-03-30T15:14:20Z</dcterms:modified>
</cp:coreProperties>
</file>